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390" yWindow="570" windowWidth="26535" windowHeight="11955" tabRatio="850" activeTab="28"/>
  </bookViews>
  <sheets>
    <sheet name="Титульный" sheetId="2" r:id="rId1"/>
    <sheet name="Список территорий" sheetId="3" r:id="rId2"/>
    <sheet name="Дифференциация" sheetId="4" state="hidden" r:id="rId3"/>
    <sheet name="Перечень тарифов" sheetId="5" r:id="rId4"/>
    <sheet name="Дифференциация тариф показатель" sheetId="6" state="hidden" r:id="rId5"/>
    <sheet name="Общая информация об организации" sheetId="7" state="hidden" r:id="rId6"/>
    <sheet name="Общая информация по ВД" sheetId="8" state="hidden" r:id="rId7"/>
    <sheet name="Виды объектов" sheetId="9" state="hidden" r:id="rId8"/>
    <sheet name="Сведения по территориям" sheetId="10" state="hidden" r:id="rId9"/>
    <sheet name="ТС. Т-ТЭ | &gt;=25МВт" sheetId="11" state="hidden" r:id="rId10"/>
    <sheet name="ТС. Т-ТЭ | ТСО" sheetId="12" state="hidden" r:id="rId11"/>
    <sheet name="ТС. Т-ТЭ | предел" sheetId="13" state="hidden" r:id="rId12"/>
    <sheet name="ТС. Т-ТЭ | индикат" sheetId="14" state="hidden" r:id="rId13"/>
    <sheet name="ТС. Резерв мощности" sheetId="15" state="hidden" r:id="rId14"/>
    <sheet name="ТС. Т-ТН" sheetId="16" state="hidden" r:id="rId15"/>
    <sheet name="ТС. Т-передача ТЭ" sheetId="17" state="hidden" r:id="rId16"/>
    <sheet name="ТС. Т-передача ТН" sheetId="18" state="hidden" r:id="rId17"/>
    <sheet name="ТС. Т-гор.вода" sheetId="19" state="hidden" r:id="rId18"/>
    <sheet name="ТС. Т-подкл" sheetId="20" state="hidden" r:id="rId19"/>
    <sheet name="ХВС. Т-пит" sheetId="21" state="hidden" r:id="rId20"/>
    <sheet name="ХВС. Т-тех" sheetId="22" state="hidden" r:id="rId21"/>
    <sheet name="ХВС. Т-транс" sheetId="23" state="hidden" r:id="rId22"/>
    <sheet name="ХВС. Т-подвоз" sheetId="24" state="hidden" r:id="rId23"/>
    <sheet name="ТС. Т-подкл(инд)" sheetId="25" state="hidden" r:id="rId24"/>
    <sheet name="ХВС. Т-подкл" sheetId="26" state="hidden" r:id="rId25"/>
    <sheet name="ВО. Т-во" sheetId="27" state="hidden" r:id="rId26"/>
    <sheet name="ВО. Т-транс" sheetId="28" state="hidden" r:id="rId27"/>
    <sheet name="ВО. Т-подкл" sheetId="29" state="hidden" r:id="rId28"/>
    <sheet name="ГВС. Т-гор.вода" sheetId="30" r:id="rId29"/>
    <sheet name="ГВС. Т-транс" sheetId="31" state="hidden" r:id="rId30"/>
    <sheet name="ГВС. Т-подкл" sheetId="32" state="hidden" r:id="rId31"/>
    <sheet name="Показатели ФХД" sheetId="33" state="hidden" r:id="rId32"/>
    <sheet name="Показатели ФХД &gt;20%" sheetId="34" state="hidden" r:id="rId33"/>
    <sheet name="Показатели ОТЭП" sheetId="35" state="hidden" r:id="rId34"/>
    <sheet name="Стандарты качества" sheetId="36" state="hidden" r:id="rId35"/>
    <sheet name="ТКО. Показатели ФХД" sheetId="37" state="hidden" r:id="rId36"/>
    <sheet name="ТКО. Транс. Показатели ФХД" sheetId="38" state="hidden" r:id="rId37"/>
    <sheet name="Показатели КНЭ" sheetId="39" state="hidden" r:id="rId38"/>
    <sheet name="Ограничения" sheetId="40" state="hidden" r:id="rId39"/>
    <sheet name="ИП" sheetId="41" state="hidden" r:id="rId40"/>
    <sheet name="ИП. Детализация" sheetId="42" state="hidden" r:id="rId41"/>
    <sheet name="ИП. Финансовый план" sheetId="43" state="hidden" r:id="rId42"/>
    <sheet name="ИП. КНЭ" sheetId="44" state="hidden" r:id="rId43"/>
    <sheet name="ТП" sheetId="45" state="hidden" r:id="rId44"/>
    <sheet name="Договоры" sheetId="46" state="hidden" r:id="rId45"/>
    <sheet name="Порядок ТП" sheetId="47" state="hidden" r:id="rId46"/>
    <sheet name="Предложение" sheetId="48" state="hidden" r:id="rId47"/>
    <sheet name="Сведения о закупках" sheetId="49" state="hidden" r:id="rId48"/>
    <sheet name="Потребительские характеристики" sheetId="50" state="hidden" r:id="rId49"/>
    <sheet name="TEHSHEET" sheetId="51" state="hidden" r:id="rId50"/>
    <sheet name="Орган регулирования" sheetId="52" state="hidden" r:id="rId51"/>
    <sheet name="Перечень организаций" sheetId="53" state="hidden" r:id="rId52"/>
    <sheet name="Дела об установлении тарифов" sheetId="54" state="hidden" r:id="rId53"/>
    <sheet name="Дела об утверждении ПУЦ" sheetId="55" state="hidden" r:id="rId54"/>
    <sheet name="Привлечение к ответственности" sheetId="56" state="hidden" r:id="rId55"/>
    <sheet name="ЭД" sheetId="57" state="hidden" r:id="rId56"/>
    <sheet name="Сведения об изменении" sheetId="58" r:id="rId57"/>
    <sheet name="Комментарии" sheetId="59" r:id="rId58"/>
    <sheet name="Проверка" sheetId="60" state="hidden" r:id="rId59"/>
    <sheet name="et_union_hor" sheetId="61" state="hidden" r:id="rId60"/>
    <sheet name="DATA_FORMS" sheetId="62" state="hidden" r:id="rId61"/>
    <sheet name="DATA_NPA" sheetId="63" state="hidden" r:id="rId62"/>
    <sheet name="Т-ТЭ | потр" sheetId="64" state="hidden" r:id="rId63"/>
    <sheet name="modMainProcedures" sheetId="65" state="hidden" r:id="rId64"/>
    <sheet name="modB_FHD" sheetId="66" state="hidden" r:id="rId65"/>
    <sheet name="modB_FHD20" sheetId="67" state="hidden" r:id="rId66"/>
    <sheet name="modB_KNE" sheetId="68" state="hidden" r:id="rId67"/>
    <sheet name="modIP_MAIN" sheetId="69" state="hidden" r:id="rId68"/>
    <sheet name="modIP_QRE" sheetId="70" state="hidden" r:id="rId69"/>
    <sheet name="modIP_DETAILED" sheetId="71" state="hidden" r:id="rId70"/>
    <sheet name="et_union_vert" sheetId="72" state="hidden" r:id="rId71"/>
    <sheet name="Легенда" sheetId="73" state="hidden" r:id="rId72"/>
    <sheet name="modfrmListIP" sheetId="74" state="hidden" r:id="rId73"/>
    <sheet name="modfrmActivity" sheetId="75" state="hidden" r:id="rId74"/>
    <sheet name="REESTR_ORG" sheetId="76" state="hidden" r:id="rId75"/>
    <sheet name="REESTR_MO" sheetId="77" state="hidden" r:id="rId76"/>
    <sheet name="REESTR_IP" sheetId="78" state="hidden" r:id="rId77"/>
    <sheet name="REESTR_OBJ_INFR" sheetId="79" state="hidden" r:id="rId78"/>
    <sheet name="REESTR_DS" sheetId="80" state="hidden" r:id="rId79"/>
    <sheet name="REESTR_VT" sheetId="81" state="hidden" r:id="rId80"/>
    <sheet name="REESTR_VED" sheetId="82" state="hidden" r:id="rId81"/>
    <sheet name="REESTR_MO_FILTER" sheetId="83" state="hidden" r:id="rId82"/>
    <sheet name="REESTR_LINK" sheetId="84" state="hidden" r:id="rId83"/>
    <sheet name="modSheetMain" sheetId="85" state="hidden" r:id="rId84"/>
    <sheet name="modfrmReportMode" sheetId="86" state="hidden" r:id="rId85"/>
    <sheet name="modfrmReestrObj" sheetId="87" state="hidden" r:id="rId86"/>
    <sheet name="AllSheetsInThisWorkbook" sheetId="88" state="hidden" r:id="rId87"/>
    <sheet name="modInfo" sheetId="89" state="hidden" r:id="rId88"/>
  </sheets>
  <definedNames>
    <definedName name="_xlnm._FilterDatabase" localSheetId="58">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Т-гор.вода'!$497:$498</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Т-гор.вода'!$499:$500</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тарифов'!$105:$210</definedName>
    <definedName name="BLOCK_PT_VOTV">'Перечень тарифов'!$212:$226</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территорий'!$E$85:$I$85</definedName>
    <definedName name="checkCell_List07">'Сведения об изменении'!$D$11:$E$21</definedName>
    <definedName name="CLASS_TKO_LIST">TEHSHEET!$AZ$90:$AZ$94</definedName>
    <definedName name="code">#REF!</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REESTR_DS!$B$2:$B$25</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тарифов'!$Z$12:$Z$228</definedName>
    <definedName name="DIFFERENTIATION_TARIFF_VD_ID">'Перечень тарифов'!$AB$12:$AB$228</definedName>
    <definedName name="DIFFERENTIATION_TARIFF_VTAR_ID">'Перечень тарифов'!$AA$12:$AA$228</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изменении'!$C$12:$C$21</definedName>
    <definedName name="pDel_Comm">Комментарии!$C$11:$C$24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изменении'!$C$11:$C$21</definedName>
    <definedName name="pDel_LT_AREA">'Список территорий'!$C$12:$C$85</definedName>
    <definedName name="pDel_LT_MO">'Список территорий'!$D$11:$D$85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изменении'!$E$21</definedName>
    <definedName name="pIns_Comm">Комментарии!$E$24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изменении'!$E$21</definedName>
    <definedName name="pIns_LT_AREA">'Список территорий'!$G$85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Т-гор.вода'!$T$496</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Т-гор.вода'!$FT$37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Т-гор.вода'!$44:$55</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'ГВС. Т-гор.вода'!$114:$125</definedName>
    <definedName name="pt_cs_31">'ГВС. Т-гор.вода'!$128:$139</definedName>
    <definedName name="pt_cs_32">'ГВС. Т-гор.вода'!$142:$153</definedName>
    <definedName name="pt_cs_33">'ГВС. Т-гор.вода'!$176:$187</definedName>
    <definedName name="pt_cs_34">'ГВС. Т-гор.вода'!$190:$201</definedName>
    <definedName name="pt_cs_35">'ГВС. Т-гор.вода'!$224:$235</definedName>
    <definedName name="pt_cs_36">'ГВС. Т-гор.вода'!$238:$249</definedName>
    <definedName name="pt_cs_37">'ГВС. Т-гор.вода'!$252:$263</definedName>
    <definedName name="pt_cs_38">'ГВС. Т-гор.вода'!$266:$277</definedName>
    <definedName name="pt_cs_39">'ГВС. Т-гор.вода'!$280:$291</definedName>
    <definedName name="pt_cs_4">'ТС. Т-гор.вода'!$51:$62</definedName>
    <definedName name="pt_cs_40">'ГВС. Т-гор.вода'!$294:$305</definedName>
    <definedName name="pt_cs_41">'ГВС. Т-гор.вода'!$320:$331</definedName>
    <definedName name="pt_cs_42">'ГВС. Т-гор.вода'!$334:$345</definedName>
    <definedName name="pt_cs_43">'ГВС. Т-гор.вода'!$348:$359</definedName>
    <definedName name="pt_cs_44">'ГВС. Т-гор.вода'!$362:$373</definedName>
    <definedName name="pt_cs_45">'ГВС. Т-гор.вода'!$376:$387</definedName>
    <definedName name="pt_cs_46">'ГВС. Т-гор.вода'!$390:$401</definedName>
    <definedName name="pt_cs_47">'ГВС. Т-гор.вода'!$404:$415</definedName>
    <definedName name="pt_cs_48">'ГВС. Т-гор.вода'!$418:$429</definedName>
    <definedName name="pt_cs_49">'ГВС. Т-гор.вода'!$56:$67</definedName>
    <definedName name="pt_cs_5">'ТС. Т-передача ТЭ'!$45:$54</definedName>
    <definedName name="pt_cs_50">'ГВС. Т-гор.вода'!$68:$79</definedName>
    <definedName name="pt_cs_51">'ГВС. Т-гор.вода'!$80:$87</definedName>
    <definedName name="pt_cs_52">'ГВС. Т-гор.вода'!$88:$99</definedName>
    <definedName name="pt_cs_53">'ГВС. Т-гор.вода'!$154:$161</definedName>
    <definedName name="pt_cs_54">'ГВС. Т-гор.вода'!$162:$173</definedName>
    <definedName name="pt_cs_55">'ГВС. Т-гор.вода'!$202:$213</definedName>
    <definedName name="pt_cs_56">'ГВС. Т-гор.вода'!$214:$221</definedName>
    <definedName name="pt_cs_57">'ГВС. Т-гор.вода'!$306:$317</definedName>
    <definedName name="pt_cs_58">'ГВС. Т-гор.вода'!$432:$443</definedName>
    <definedName name="pt_cs_59">'ГВС. Т-гор.вода'!$446:$457</definedName>
    <definedName name="pt_cs_6">'ТС. Т-передача ТН'!$45:$54</definedName>
    <definedName name="pt_cs_60">'ГВС. Т-гор.вода'!$460:$471</definedName>
    <definedName name="pt_cs_61">'ГВС. Т-гор.вода'!$474:$485</definedName>
    <definedName name="pt_cs_62">'ГВС. Т-гор.вода'!$100:$111</definedName>
    <definedName name="pt_cs_63">'ГВС. Т-гор.вода'!$486:$493</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тарифов'!$AL$12:$AL$228</definedName>
    <definedName name="PT_DIFFERENTIATION_CS_ID">'Перечень тарифов'!$AF$12:$AF$228</definedName>
    <definedName name="PT_DIFFERENTIATION_IST_TE">'Перечень тарифов'!$AM$12:$AM$228</definedName>
    <definedName name="PT_DIFFERENTIATION_IST_TE_ID">'Перечень тарифов'!$AG$12:$AG$228</definedName>
    <definedName name="PT_DIFFERENTIATION_NTAR">'Перечень тарифов'!$AJ$12:$AJ$228</definedName>
    <definedName name="PT_DIFFERENTIATION_NTAR_ID">'Перечень тарифов'!$AD$12:$AD$228</definedName>
    <definedName name="PT_DIFFERENTIATION_NUM_CS">'Перечень тарифов'!$AP$12:$AP$228</definedName>
    <definedName name="PT_DIFFERENTIATION_NUM_IST_TE">'Перечень тарифов'!$AQ$12:$AQ$228</definedName>
    <definedName name="PT_DIFFERENTIATION_NUM_NTAR">'Перечень тарифов'!$AN$12:$AN$228</definedName>
    <definedName name="PT_DIFFERENTIATION_NUM_TER">'Перечень тарифов'!$AO$12:$AO$228</definedName>
    <definedName name="PT_DIFFERENTIATION_TER">'Перечень тарифов'!$AK$12:$AK$228</definedName>
    <definedName name="PT_DIFFERENTIATION_TER_ID">'Перечень тарифов'!$AE$12:$AE$228</definedName>
    <definedName name="PT_DIFFERENTIATION_VDET">'Перечень тарифов'!$AI$12:$AI$228</definedName>
    <definedName name="PT_DIFFERENTIATION_VTAR">'Перечень тарифов'!$AH$12:$AH$228</definedName>
    <definedName name="PT_DIFFERENTIATION_VTAR_ID">'Перечень тарифов'!$AC$12:$AC$228</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Т-гор.вода'!$42:$495</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Т-гор.вода'!$43:$112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'ГВС. Т-гор.вода'!$113:$126</definedName>
    <definedName name="pt_ter_31">'ГВС. Т-гор.вода'!$127:$140</definedName>
    <definedName name="pt_ter_32">'ГВС. Т-гор.вода'!$141:$174</definedName>
    <definedName name="pt_ter_33">'ГВС. Т-гор.вода'!$175:$188</definedName>
    <definedName name="pt_ter_34">'ГВС. Т-гор.вода'!$189:$222</definedName>
    <definedName name="pt_ter_35">'ГВС. Т-гор.вода'!$223:$236</definedName>
    <definedName name="pt_ter_36">'ГВС. Т-гор.вода'!$237:$250</definedName>
    <definedName name="pt_ter_37">'ГВС. Т-гор.вода'!$251:$264</definedName>
    <definedName name="pt_ter_38">'ГВС. Т-гор.вода'!$265:$278</definedName>
    <definedName name="pt_ter_39">'ГВС. Т-гор.вода'!$279:$292</definedName>
    <definedName name="pt_ter_4">'ТС. Т-гор.вода'!$50:$63</definedName>
    <definedName name="pt_ter_40">'ГВС. Т-гор.вода'!$293:$318</definedName>
    <definedName name="pt_ter_41">'ГВС. Т-гор.вода'!$319:$332</definedName>
    <definedName name="pt_ter_42">'ГВС. Т-гор.вода'!$333:$346</definedName>
    <definedName name="pt_ter_43">'ГВС. Т-гор.вода'!$347:$360</definedName>
    <definedName name="pt_ter_44">'ГВС. Т-гор.вода'!$361:$374</definedName>
    <definedName name="pt_ter_45">'ГВС. Т-гор.вода'!$375:$388</definedName>
    <definedName name="pt_ter_46">'ГВС. Т-гор.вода'!$389:$402</definedName>
    <definedName name="pt_ter_47">'ГВС. Т-гор.вода'!$403:$416</definedName>
    <definedName name="pt_ter_48">'ГВС. Т-гор.вода'!$417:$430</definedName>
    <definedName name="pt_ter_49">'ГВС. Т-гор.вода'!$431:$444</definedName>
    <definedName name="pt_ter_5">'ТС. Т-передача ТЭ'!$44:$55</definedName>
    <definedName name="pt_ter_50">'ГВС. Т-гор.вода'!$445:$458</definedName>
    <definedName name="pt_ter_51">'ГВС. Т-гор.вода'!$459:$472</definedName>
    <definedName name="pt_ter_52">'ГВС. Т-гор.вода'!$473:$494</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изменении'!$E$22</definedName>
    <definedName name="tblEnd_1_DIFFERENTIATION">Дифференциация!$M$17</definedName>
    <definedName name="tblEnd_1_DIFFERENTIATION_TARIFF">'Перечень тарифов'!$W$227</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Т-гор.вода'!$FT$497</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территорий'!$I$86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территорий'!$G$43:$I$44</definedName>
    <definedName name="ter_51111111111">'Список территорий'!$G$47:$I$47</definedName>
    <definedName name="ter_511111111111">'Список территорий'!$G$50:$I$50</definedName>
    <definedName name="ter_5111111111111">'Список территорий'!$G$53:$I$53</definedName>
    <definedName name="ter_51111111111111">'Список территорий'!$G$56:$I$56</definedName>
    <definedName name="ter_511111111111111">'Список территорий'!$G$59:$I$59</definedName>
    <definedName name="ter_5111111111111111">'Список территорий'!$G$62:$I$62</definedName>
    <definedName name="ter_51111111111111111">'Список территорий'!$G$65:$I$65</definedName>
    <definedName name="ter_511111111111111111">'Список территорий'!$G$68:$I$68</definedName>
    <definedName name="ter_5111111111111111111">'Список территорий'!$G$71:$I$71</definedName>
    <definedName name="ter_51111111111111111111">'Список территорий'!$G$74:$I$74</definedName>
    <definedName name="ter_511111111111111111111">'Список территорий'!$G$77:$I$77</definedName>
    <definedName name="ter_5111111111111111111111">'Список территорий'!$G$80:$I$80</definedName>
    <definedName name="ter_51111111111111111111111">'Список территорий'!$G$83:$I$83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территорий'!$E$11:$I$85</definedName>
    <definedName name="TERRITORY_ID">TEHSHEET!$E$56</definedName>
    <definedName name="TERRITORY_LIST_ID">'Список территорий'!$F$11:$F$85</definedName>
    <definedName name="TERRITORY_MO_LIST">'Список территорий'!$H$11:$H$85</definedName>
    <definedName name="TERRITORY_MR_LIST">'Список территорий'!$G$11:$G$85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#REF!</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4525"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9" i="61"/>
  <c r="D47" i="61"/>
  <c r="D48" i="61" s="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c r="F10" i="54"/>
  <c r="K8" i="54"/>
  <c r="J8" i="54"/>
  <c r="G8" i="54"/>
  <c r="F8" i="54"/>
  <c r="L10" i="54" s="1"/>
  <c r="R10" i="54" s="1"/>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F29" i="51" s="1"/>
  <c r="G52" i="51"/>
  <c r="E29" i="51" s="1"/>
  <c r="I51" i="51"/>
  <c r="H51" i="51"/>
  <c r="G51" i="51"/>
  <c r="I50" i="51"/>
  <c r="I49" i="51"/>
  <c r="I48" i="51"/>
  <c r="J47" i="51"/>
  <c r="I47" i="51"/>
  <c r="J46" i="51"/>
  <c r="I46" i="51"/>
  <c r="K45" i="51"/>
  <c r="I45" i="51"/>
  <c r="G44" i="51"/>
  <c r="G36" i="51"/>
  <c r="F36" i="51"/>
  <c r="E32"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7" i="43"/>
  <c r="H46" i="43"/>
  <c r="H45" i="43"/>
  <c r="I44" i="43"/>
  <c r="H44" i="43"/>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E70" i="33"/>
  <c r="K70" i="33" s="1"/>
  <c r="J69" i="33"/>
  <c r="I69" i="33"/>
  <c r="H69" i="33"/>
  <c r="F69" i="33"/>
  <c r="E69" i="33"/>
  <c r="K69" i="33" s="1"/>
  <c r="K68" i="33"/>
  <c r="J68" i="33"/>
  <c r="L68" i="33" s="1"/>
  <c r="F68" i="33"/>
  <c r="E68" i="33"/>
  <c r="K67" i="33"/>
  <c r="J67" i="33"/>
  <c r="F67" i="33"/>
  <c r="E67" i="33"/>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J6" i="31" s="1"/>
  <c r="AV3" i="31"/>
  <c r="AG3" i="31"/>
  <c r="S3" i="31"/>
  <c r="AV2" i="31"/>
  <c r="AS2" i="31"/>
  <c r="AG2" i="31"/>
  <c r="S2" i="31"/>
  <c r="FX496" i="30"/>
  <c r="FX495" i="30"/>
  <c r="FX494" i="30"/>
  <c r="FX493" i="30"/>
  <c r="FX492" i="30"/>
  <c r="FX491" i="30"/>
  <c r="FX490" i="30"/>
  <c r="FX489" i="30"/>
  <c r="FU489" i="30"/>
  <c r="FX488" i="30"/>
  <c r="FX487" i="30"/>
  <c r="FX486" i="30"/>
  <c r="FX485" i="30"/>
  <c r="FX484" i="30"/>
  <c r="FX483" i="30"/>
  <c r="FX482" i="30"/>
  <c r="FX481" i="30"/>
  <c r="FU481" i="30"/>
  <c r="CN481" i="30"/>
  <c r="BR481" i="30"/>
  <c r="BO481" i="30"/>
  <c r="BN481" i="30"/>
  <c r="FX480" i="30"/>
  <c r="FX479" i="30"/>
  <c r="FX478" i="30"/>
  <c r="FX477" i="30"/>
  <c r="FU477" i="30"/>
  <c r="CY477" i="30"/>
  <c r="CN477" i="30"/>
  <c r="CK477" i="30"/>
  <c r="CJ477" i="30"/>
  <c r="FX476" i="30"/>
  <c r="FX475" i="30"/>
  <c r="FX474" i="30"/>
  <c r="FX473" i="30"/>
  <c r="FX472" i="30"/>
  <c r="FX471" i="30"/>
  <c r="FX470" i="30"/>
  <c r="FX469" i="30"/>
  <c r="FX468" i="30"/>
  <c r="FX467" i="30"/>
  <c r="FU467" i="30"/>
  <c r="FX466" i="30"/>
  <c r="FX465" i="30"/>
  <c r="FX464" i="30"/>
  <c r="FX463" i="30"/>
  <c r="FU463" i="30"/>
  <c r="FX462" i="30"/>
  <c r="FX461" i="30"/>
  <c r="FX460" i="30"/>
  <c r="FX459" i="30"/>
  <c r="FX458" i="30"/>
  <c r="FX457" i="30"/>
  <c r="FX456" i="30"/>
  <c r="FX455" i="30"/>
  <c r="FX454" i="30"/>
  <c r="FX453" i="30"/>
  <c r="FU453" i="30"/>
  <c r="FX452" i="30"/>
  <c r="FX451" i="30"/>
  <c r="FX450" i="30"/>
  <c r="FX449" i="30"/>
  <c r="FU449" i="30"/>
  <c r="AV449" i="30"/>
  <c r="AS449" i="30"/>
  <c r="AR449" i="30"/>
  <c r="FX448" i="30"/>
  <c r="FX447" i="30"/>
  <c r="FX446" i="30"/>
  <c r="FX445" i="30"/>
  <c r="FX444" i="30"/>
  <c r="FX443" i="30"/>
  <c r="FX442" i="30"/>
  <c r="FX441" i="30"/>
  <c r="FX440" i="30"/>
  <c r="FX439" i="30"/>
  <c r="FU439" i="30"/>
  <c r="CY439" i="30"/>
  <c r="CV439" i="30"/>
  <c r="CU439" i="30"/>
  <c r="BD439" i="30"/>
  <c r="BC439" i="30"/>
  <c r="FX438" i="30"/>
  <c r="FX437" i="30"/>
  <c r="FX436" i="30"/>
  <c r="FX435" i="30"/>
  <c r="FU435" i="30"/>
  <c r="CK435" i="30"/>
  <c r="BG435" i="30"/>
  <c r="BD435" i="30"/>
  <c r="BC435" i="30"/>
  <c r="FX434" i="30"/>
  <c r="FX433" i="30"/>
  <c r="FX432" i="30"/>
  <c r="FX431" i="30"/>
  <c r="FX430" i="30"/>
  <c r="FX429" i="30"/>
  <c r="FX428" i="30"/>
  <c r="FX427" i="30"/>
  <c r="FX426" i="30"/>
  <c r="FX425" i="30"/>
  <c r="FU425" i="30"/>
  <c r="EQ425" i="30"/>
  <c r="EN425" i="30"/>
  <c r="EM425" i="30"/>
  <c r="DU425" i="30"/>
  <c r="CY425" i="30"/>
  <c r="CV425" i="30"/>
  <c r="CU425" i="30"/>
  <c r="FX424" i="30"/>
  <c r="FX423" i="30"/>
  <c r="FX422" i="30"/>
  <c r="FX421" i="30"/>
  <c r="FU421" i="30"/>
  <c r="EQ421" i="30"/>
  <c r="EM421" i="30"/>
  <c r="EC421" i="30"/>
  <c r="EN421" i="30" s="1"/>
  <c r="DU421" i="30"/>
  <c r="CY421" i="30"/>
  <c r="CV421" i="30"/>
  <c r="CU421" i="30"/>
  <c r="FX420" i="30"/>
  <c r="FX419" i="30"/>
  <c r="FX418" i="30"/>
  <c r="FX417" i="30"/>
  <c r="FX416" i="30"/>
  <c r="FX415" i="30"/>
  <c r="FX414" i="30"/>
  <c r="FX413" i="30"/>
  <c r="FX412" i="30"/>
  <c r="FX411" i="30"/>
  <c r="FU411" i="30"/>
  <c r="EF411" i="30"/>
  <c r="DJ411" i="30"/>
  <c r="DG411" i="30"/>
  <c r="DF411" i="30"/>
  <c r="CK411" i="30"/>
  <c r="CJ411" i="30"/>
  <c r="FX410" i="30"/>
  <c r="FX409" i="30"/>
  <c r="FX408" i="30"/>
  <c r="FX407" i="30"/>
  <c r="FU407" i="30"/>
  <c r="FB407" i="30"/>
  <c r="EF407" i="30"/>
  <c r="EB407" i="30"/>
  <c r="DR407" i="30"/>
  <c r="EC407" i="30" s="1"/>
  <c r="CN407" i="30"/>
  <c r="CK407" i="30"/>
  <c r="CJ407" i="30"/>
  <c r="FX406" i="30"/>
  <c r="FX405" i="30"/>
  <c r="FX404" i="30"/>
  <c r="FX403" i="30"/>
  <c r="FX402" i="30"/>
  <c r="FX401" i="30"/>
  <c r="FX400" i="30"/>
  <c r="FX399" i="30"/>
  <c r="FX398" i="30"/>
  <c r="FX397" i="30"/>
  <c r="FU397" i="30"/>
  <c r="DJ397" i="30"/>
  <c r="FX396" i="30"/>
  <c r="FX395" i="30"/>
  <c r="FX394" i="30"/>
  <c r="FX393" i="30"/>
  <c r="FU393" i="30"/>
  <c r="EF393" i="30"/>
  <c r="EB393" i="30"/>
  <c r="DR393" i="30"/>
  <c r="EC393" i="30" s="1"/>
  <c r="DJ393" i="30"/>
  <c r="CN393" i="30"/>
  <c r="CK393" i="30"/>
  <c r="CJ393" i="30"/>
  <c r="FX392" i="30"/>
  <c r="FX391" i="30"/>
  <c r="FX390" i="30"/>
  <c r="FX389" i="30"/>
  <c r="FX388" i="30"/>
  <c r="FX387" i="30"/>
  <c r="FX386" i="30"/>
  <c r="FX385" i="30"/>
  <c r="FX384" i="30"/>
  <c r="FX383" i="30"/>
  <c r="FU383" i="30"/>
  <c r="EF383" i="30"/>
  <c r="EC383" i="30"/>
  <c r="EB383" i="30"/>
  <c r="DJ383" i="30"/>
  <c r="DG383" i="30"/>
  <c r="DF383" i="30"/>
  <c r="FX382" i="30"/>
  <c r="FX381" i="30"/>
  <c r="FX380" i="30"/>
  <c r="FX379" i="30"/>
  <c r="FU379" i="30"/>
  <c r="EF379" i="30"/>
  <c r="EC379" i="30"/>
  <c r="EB379" i="30"/>
  <c r="DJ379" i="30"/>
  <c r="DG379" i="30"/>
  <c r="DF379" i="30"/>
  <c r="CN379" i="30"/>
  <c r="CK379" i="30"/>
  <c r="CJ379" i="30"/>
  <c r="FX378" i="30"/>
  <c r="FX377" i="30"/>
  <c r="FX376" i="30"/>
  <c r="FX375" i="30"/>
  <c r="FX374" i="30"/>
  <c r="FX373" i="30"/>
  <c r="FX372" i="30"/>
  <c r="FX371" i="30"/>
  <c r="FX370" i="30"/>
  <c r="FX369" i="30"/>
  <c r="FU369" i="30"/>
  <c r="DG369" i="30"/>
  <c r="CY369" i="30"/>
  <c r="FX368" i="30"/>
  <c r="FX367" i="30"/>
  <c r="FX366" i="30"/>
  <c r="FX365" i="30"/>
  <c r="FU365" i="30"/>
  <c r="FX364" i="30"/>
  <c r="FX363" i="30"/>
  <c r="FX362" i="30"/>
  <c r="FX361" i="30"/>
  <c r="FX360" i="30"/>
  <c r="FX359" i="30"/>
  <c r="FX358" i="30"/>
  <c r="FX357" i="30"/>
  <c r="FX356" i="30"/>
  <c r="FX355" i="30"/>
  <c r="FU355" i="30"/>
  <c r="DU355" i="30"/>
  <c r="DR355" i="30"/>
  <c r="DQ355" i="30"/>
  <c r="CY355" i="30"/>
  <c r="CV355" i="30"/>
  <c r="CU355" i="30"/>
  <c r="FX354" i="30"/>
  <c r="FX353" i="30"/>
  <c r="FX352" i="30"/>
  <c r="FX351" i="30"/>
  <c r="FU351" i="30"/>
  <c r="DU351" i="30"/>
  <c r="DR351" i="30"/>
  <c r="DQ351" i="30"/>
  <c r="CY351" i="30"/>
  <c r="CV351" i="30"/>
  <c r="CU351" i="30"/>
  <c r="FX350" i="30"/>
  <c r="FX349" i="30"/>
  <c r="FX348" i="30"/>
  <c r="FX347" i="30"/>
  <c r="FX346" i="30"/>
  <c r="FX345" i="30"/>
  <c r="FX344" i="30"/>
  <c r="FX343" i="30"/>
  <c r="FX342" i="30"/>
  <c r="FX341" i="30"/>
  <c r="FU341" i="30"/>
  <c r="DU341" i="30"/>
  <c r="DR341" i="30"/>
  <c r="DQ341" i="30"/>
  <c r="CY341" i="30"/>
  <c r="CV341" i="30"/>
  <c r="CU341" i="30"/>
  <c r="FX340" i="30"/>
  <c r="FX339" i="30"/>
  <c r="FX338" i="30"/>
  <c r="FX337" i="30"/>
  <c r="FU337" i="30"/>
  <c r="DU337" i="30"/>
  <c r="DR337" i="30"/>
  <c r="DQ337" i="30"/>
  <c r="DG337" i="30"/>
  <c r="CY337" i="30"/>
  <c r="FX336" i="30"/>
  <c r="FX335" i="30"/>
  <c r="FX334" i="30"/>
  <c r="FX333" i="30"/>
  <c r="FX332" i="30"/>
  <c r="FX331" i="30"/>
  <c r="FX330" i="30"/>
  <c r="FX329" i="30"/>
  <c r="FX328" i="30"/>
  <c r="FX327" i="30"/>
  <c r="FU327" i="30"/>
  <c r="DU327" i="30"/>
  <c r="DR327" i="30"/>
  <c r="DQ327" i="30"/>
  <c r="CY327" i="30"/>
  <c r="CV327" i="30"/>
  <c r="CU327" i="30"/>
  <c r="FX326" i="30"/>
  <c r="FX325" i="30"/>
  <c r="FX324" i="30"/>
  <c r="FX323" i="30"/>
  <c r="FU323" i="30"/>
  <c r="EC323" i="30"/>
  <c r="DU323" i="30"/>
  <c r="CY323" i="30"/>
  <c r="CV323" i="30"/>
  <c r="CU323" i="30"/>
  <c r="FX322" i="30"/>
  <c r="FX321" i="30"/>
  <c r="FX320" i="30"/>
  <c r="FX319" i="30"/>
  <c r="FX318" i="30"/>
  <c r="FX317" i="30"/>
  <c r="FX316" i="30"/>
  <c r="FX315" i="30"/>
  <c r="FX314" i="30"/>
  <c r="FX313" i="30"/>
  <c r="FU313" i="30"/>
  <c r="DU313" i="30"/>
  <c r="DR313" i="30"/>
  <c r="DQ313" i="30"/>
  <c r="CY313" i="30"/>
  <c r="CV313" i="30"/>
  <c r="CU313" i="30"/>
  <c r="FX312" i="30"/>
  <c r="FX311" i="30"/>
  <c r="FX310" i="30"/>
  <c r="FX309" i="30"/>
  <c r="FU309" i="30"/>
  <c r="EC309" i="30"/>
  <c r="DU309" i="30"/>
  <c r="CY309" i="30"/>
  <c r="CV309" i="30"/>
  <c r="CU309" i="30"/>
  <c r="BZ309" i="30"/>
  <c r="BY309" i="30"/>
  <c r="FX308" i="30"/>
  <c r="FX307" i="30"/>
  <c r="FX306" i="30"/>
  <c r="FX305" i="30"/>
  <c r="FX304" i="30"/>
  <c r="FX303" i="30"/>
  <c r="FX302" i="30"/>
  <c r="FX301" i="30"/>
  <c r="FU301" i="30"/>
  <c r="CY301" i="30"/>
  <c r="CV301" i="30"/>
  <c r="CU301" i="30"/>
  <c r="FX300" i="30"/>
  <c r="FX299" i="30"/>
  <c r="FX298" i="30"/>
  <c r="FX297" i="30"/>
  <c r="FU297" i="30"/>
  <c r="DU297" i="30"/>
  <c r="DR297" i="30"/>
  <c r="DQ297" i="30"/>
  <c r="CY297" i="30"/>
  <c r="CV297" i="30"/>
  <c r="CU297" i="30"/>
  <c r="FX296" i="30"/>
  <c r="FX295" i="30"/>
  <c r="FX294" i="30"/>
  <c r="FX293" i="30"/>
  <c r="FX292" i="30"/>
  <c r="FX291" i="30"/>
  <c r="FX290" i="30"/>
  <c r="FX289" i="30"/>
  <c r="FX288" i="30"/>
  <c r="FX287" i="30"/>
  <c r="FU287" i="30"/>
  <c r="DU287" i="30"/>
  <c r="DR287" i="30"/>
  <c r="DQ287" i="30"/>
  <c r="CY287" i="30"/>
  <c r="CV287" i="30"/>
  <c r="CU287" i="30"/>
  <c r="FX286" i="30"/>
  <c r="FX285" i="30"/>
  <c r="FX284" i="30"/>
  <c r="FX283" i="30"/>
  <c r="FU283" i="30"/>
  <c r="CY283" i="30"/>
  <c r="CV283" i="30"/>
  <c r="CU283" i="30"/>
  <c r="FX282" i="30"/>
  <c r="FX281" i="30"/>
  <c r="FX280" i="30"/>
  <c r="FX279" i="30"/>
  <c r="FX278" i="30"/>
  <c r="FX277" i="30"/>
  <c r="FX276" i="30"/>
  <c r="FX275" i="30"/>
  <c r="FX274" i="30"/>
  <c r="FX273" i="30"/>
  <c r="FU273" i="30"/>
  <c r="EF273" i="30"/>
  <c r="FX272" i="30"/>
  <c r="FX271" i="30"/>
  <c r="FX270" i="30"/>
  <c r="FX269" i="30"/>
  <c r="FU269" i="30"/>
  <c r="DJ269" i="30"/>
  <c r="DG269" i="30"/>
  <c r="DF269" i="30"/>
  <c r="FX268" i="30"/>
  <c r="FX267" i="30"/>
  <c r="FX266" i="30"/>
  <c r="FX265" i="30"/>
  <c r="FX264" i="30"/>
  <c r="FX263" i="30"/>
  <c r="FX262" i="30"/>
  <c r="FX261" i="30"/>
  <c r="FX260" i="30"/>
  <c r="FX259" i="30"/>
  <c r="FU259" i="30"/>
  <c r="DJ259" i="30"/>
  <c r="DG259" i="30"/>
  <c r="DF259" i="30"/>
  <c r="FX258" i="30"/>
  <c r="FX257" i="30"/>
  <c r="FX256" i="30"/>
  <c r="FX255" i="30"/>
  <c r="FU255" i="30"/>
  <c r="DU255" i="30"/>
  <c r="DR255" i="30"/>
  <c r="DQ255" i="30"/>
  <c r="FX254" i="30"/>
  <c r="FX253" i="30"/>
  <c r="FX252" i="30"/>
  <c r="FX251" i="30"/>
  <c r="FX250" i="30"/>
  <c r="FX249" i="30"/>
  <c r="FX248" i="30"/>
  <c r="FX247" i="30"/>
  <c r="FX246" i="30"/>
  <c r="FX245" i="30"/>
  <c r="FU245" i="30"/>
  <c r="DJ245" i="30"/>
  <c r="DG245" i="30"/>
  <c r="DF245" i="30"/>
  <c r="FX244" i="30"/>
  <c r="FX243" i="30"/>
  <c r="FX242" i="30"/>
  <c r="FX241" i="30"/>
  <c r="FU241" i="30"/>
  <c r="EQ241" i="30"/>
  <c r="DU241" i="30"/>
  <c r="DR241" i="30"/>
  <c r="DQ241" i="30"/>
  <c r="FX240" i="30"/>
  <c r="FX239" i="30"/>
  <c r="FX238" i="30"/>
  <c r="FX237" i="30"/>
  <c r="FX236" i="30"/>
  <c r="FX235" i="30"/>
  <c r="FX234" i="30"/>
  <c r="FX233" i="30"/>
  <c r="FX232" i="30"/>
  <c r="FX231" i="30"/>
  <c r="FU231" i="30"/>
  <c r="DU231" i="30"/>
  <c r="DR231" i="30"/>
  <c r="DQ231" i="30"/>
  <c r="CY231" i="30"/>
  <c r="CV231" i="30"/>
  <c r="CU231" i="30"/>
  <c r="FX230" i="30"/>
  <c r="FX229" i="30"/>
  <c r="FX228" i="30"/>
  <c r="FX227" i="30"/>
  <c r="FU227" i="30"/>
  <c r="DU227" i="30"/>
  <c r="DR227" i="30"/>
  <c r="DQ227" i="30"/>
  <c r="CY227" i="30"/>
  <c r="CV227" i="30"/>
  <c r="CU227" i="30"/>
  <c r="FX226" i="30"/>
  <c r="FX225" i="30"/>
  <c r="FX224" i="30"/>
  <c r="FX223" i="30"/>
  <c r="FX222" i="30"/>
  <c r="FX221" i="30"/>
  <c r="FX220" i="30"/>
  <c r="FX219" i="30"/>
  <c r="FX218" i="30"/>
  <c r="FX217" i="30"/>
  <c r="FU217" i="30"/>
  <c r="DU217" i="30"/>
  <c r="DR217" i="30"/>
  <c r="DQ217" i="30"/>
  <c r="CY217" i="30"/>
  <c r="CV217" i="30"/>
  <c r="CU217" i="30"/>
  <c r="FX216" i="30"/>
  <c r="FX215" i="30"/>
  <c r="FX214" i="30"/>
  <c r="FX213" i="30"/>
  <c r="FX212" i="30"/>
  <c r="FX211" i="30"/>
  <c r="FX210" i="30"/>
  <c r="FX209" i="30"/>
  <c r="FU209" i="30"/>
  <c r="DU209" i="30"/>
  <c r="DR209" i="30"/>
  <c r="DQ209" i="30"/>
  <c r="CY209" i="30"/>
  <c r="CV209" i="30"/>
  <c r="CU209" i="30"/>
  <c r="FX208" i="30"/>
  <c r="FX207" i="30"/>
  <c r="FX206" i="30"/>
  <c r="FX205" i="30"/>
  <c r="FU205" i="30"/>
  <c r="DU205" i="30"/>
  <c r="DR205" i="30"/>
  <c r="DQ205" i="30"/>
  <c r="CY205" i="30"/>
  <c r="CV205" i="30"/>
  <c r="CU205" i="30"/>
  <c r="FX204" i="30"/>
  <c r="FX203" i="30"/>
  <c r="FX202" i="30"/>
  <c r="FX201" i="30"/>
  <c r="FX200" i="30"/>
  <c r="FX199" i="30"/>
  <c r="FX198" i="30"/>
  <c r="FX197" i="30"/>
  <c r="FU197" i="30"/>
  <c r="DU197" i="30"/>
  <c r="DR197" i="30"/>
  <c r="DQ197" i="30"/>
  <c r="CY197" i="30"/>
  <c r="CV197" i="30"/>
  <c r="CU197" i="30"/>
  <c r="FX196" i="30"/>
  <c r="FX195" i="30"/>
  <c r="FX194" i="30"/>
  <c r="FX193" i="30"/>
  <c r="FU193" i="30"/>
  <c r="DU193" i="30"/>
  <c r="DR193" i="30"/>
  <c r="DQ193" i="30"/>
  <c r="CY193" i="30"/>
  <c r="CV193" i="30"/>
  <c r="CU193" i="30"/>
  <c r="FX192" i="30"/>
  <c r="FX191" i="30"/>
  <c r="FX190" i="30"/>
  <c r="FX189" i="30"/>
  <c r="FX188" i="30"/>
  <c r="FX187" i="30"/>
  <c r="FX186" i="30"/>
  <c r="FX185" i="30"/>
  <c r="FX184" i="30"/>
  <c r="FX183" i="30"/>
  <c r="FU183" i="30"/>
  <c r="EF183" i="30"/>
  <c r="EC183" i="30"/>
  <c r="EB183" i="30"/>
  <c r="DJ183" i="30"/>
  <c r="DG183" i="30"/>
  <c r="DF183" i="30"/>
  <c r="FX182" i="30"/>
  <c r="FX181" i="30"/>
  <c r="FX180" i="30"/>
  <c r="FX179" i="30"/>
  <c r="FU179" i="30"/>
  <c r="DJ179" i="30"/>
  <c r="DG179" i="30"/>
  <c r="DF179" i="30"/>
  <c r="CN179" i="30"/>
  <c r="CK179" i="30"/>
  <c r="CJ179" i="30"/>
  <c r="FX178" i="30"/>
  <c r="FX177" i="30"/>
  <c r="FX176" i="30"/>
  <c r="FX175" i="30"/>
  <c r="FX174" i="30"/>
  <c r="FX173" i="30"/>
  <c r="FX172" i="30"/>
  <c r="FX171" i="30"/>
  <c r="FX170" i="30"/>
  <c r="FX169" i="30"/>
  <c r="FU169" i="30"/>
  <c r="EN169" i="30"/>
  <c r="EM169" i="30"/>
  <c r="EF169" i="30"/>
  <c r="DJ169" i="30"/>
  <c r="DG169" i="30"/>
  <c r="DF169" i="30"/>
  <c r="FX168" i="30"/>
  <c r="FX167" i="30"/>
  <c r="FX166" i="30"/>
  <c r="FX165" i="30"/>
  <c r="FU165" i="30"/>
  <c r="EF165" i="30"/>
  <c r="DJ165" i="30"/>
  <c r="DG165" i="30"/>
  <c r="DF165" i="30"/>
  <c r="FX164" i="30"/>
  <c r="FX163" i="30"/>
  <c r="FX162" i="30"/>
  <c r="FX161" i="30"/>
  <c r="FX160" i="30"/>
  <c r="FX159" i="30"/>
  <c r="FX158" i="30"/>
  <c r="FX157" i="30"/>
  <c r="FU157" i="30"/>
  <c r="EF157" i="30"/>
  <c r="DJ157" i="30"/>
  <c r="DG157" i="30"/>
  <c r="DF157" i="30"/>
  <c r="FX156" i="30"/>
  <c r="FX155" i="30"/>
  <c r="FX154" i="30"/>
  <c r="FX153" i="30"/>
  <c r="FX152" i="30"/>
  <c r="FX151" i="30"/>
  <c r="FX150" i="30"/>
  <c r="FX149" i="30"/>
  <c r="FU149" i="30"/>
  <c r="EF149" i="30"/>
  <c r="DJ149" i="30"/>
  <c r="DG149" i="30"/>
  <c r="DF149" i="30"/>
  <c r="FX148" i="30"/>
  <c r="FX147" i="30"/>
  <c r="FX146" i="30"/>
  <c r="FX145" i="30"/>
  <c r="FU145" i="30"/>
  <c r="EF145" i="30"/>
  <c r="DJ145" i="30"/>
  <c r="DG145" i="30"/>
  <c r="DF145" i="30"/>
  <c r="FX144" i="30"/>
  <c r="FX143" i="30"/>
  <c r="FX142" i="30"/>
  <c r="FX141" i="30"/>
  <c r="FX140" i="30"/>
  <c r="FX139" i="30"/>
  <c r="FX138" i="30"/>
  <c r="FX137" i="30"/>
  <c r="FX136" i="30"/>
  <c r="FX135" i="30"/>
  <c r="FU135" i="30"/>
  <c r="DU135" i="30"/>
  <c r="DR135" i="30"/>
  <c r="DQ135" i="30"/>
  <c r="CY135" i="30"/>
  <c r="FX134" i="30"/>
  <c r="FX133" i="30"/>
  <c r="FX132" i="30"/>
  <c r="FX131" i="30"/>
  <c r="FU131" i="30"/>
  <c r="DU131" i="30"/>
  <c r="DR131" i="30"/>
  <c r="DQ131" i="30"/>
  <c r="CY131" i="30"/>
  <c r="FX130" i="30"/>
  <c r="FX129" i="30"/>
  <c r="FX128" i="30"/>
  <c r="FX127" i="30"/>
  <c r="FX126" i="30"/>
  <c r="FX125" i="30"/>
  <c r="FX124" i="30"/>
  <c r="FX123" i="30"/>
  <c r="FX122" i="30"/>
  <c r="FX121" i="30"/>
  <c r="FU121" i="30"/>
  <c r="DU121" i="30"/>
  <c r="DR121" i="30"/>
  <c r="DQ121" i="30"/>
  <c r="CY121" i="30"/>
  <c r="CV121" i="30"/>
  <c r="CU121" i="30"/>
  <c r="FX120" i="30"/>
  <c r="FX119" i="30"/>
  <c r="FX118" i="30"/>
  <c r="FX117" i="30"/>
  <c r="FU117" i="30"/>
  <c r="DU117" i="30"/>
  <c r="DR117" i="30"/>
  <c r="DQ117" i="30"/>
  <c r="CY117" i="30"/>
  <c r="FX116" i="30"/>
  <c r="FX115" i="30"/>
  <c r="FX114" i="30"/>
  <c r="FX113" i="30"/>
  <c r="FX112" i="30"/>
  <c r="FX111" i="30"/>
  <c r="FX110" i="30"/>
  <c r="FX109" i="30"/>
  <c r="FX108" i="30"/>
  <c r="FX107" i="30"/>
  <c r="FU107" i="30"/>
  <c r="FX106" i="30"/>
  <c r="FX105" i="30"/>
  <c r="FX104" i="30"/>
  <c r="FX103" i="30"/>
  <c r="FU103" i="30"/>
  <c r="AV103" i="30"/>
  <c r="FX102" i="30"/>
  <c r="FX101" i="30"/>
  <c r="FX100" i="30"/>
  <c r="FX99" i="30"/>
  <c r="FX98" i="30"/>
  <c r="FX97" i="30"/>
  <c r="FX96" i="30"/>
  <c r="FX95" i="30"/>
  <c r="FU95" i="30"/>
  <c r="EQ95" i="30"/>
  <c r="EM95" i="30"/>
  <c r="DU95" i="30"/>
  <c r="FX94" i="30"/>
  <c r="FX93" i="30"/>
  <c r="FX92" i="30"/>
  <c r="FX91" i="30"/>
  <c r="FU91" i="30"/>
  <c r="FX90" i="30"/>
  <c r="FX89" i="30"/>
  <c r="FX88" i="30"/>
  <c r="FX87" i="30"/>
  <c r="FX86" i="30"/>
  <c r="FX85" i="30"/>
  <c r="FX84" i="30"/>
  <c r="FX83" i="30"/>
  <c r="FU83" i="30"/>
  <c r="FX82" i="30"/>
  <c r="FX81" i="30"/>
  <c r="FX80" i="30"/>
  <c r="FX79" i="30"/>
  <c r="FX78" i="30"/>
  <c r="FX77" i="30"/>
  <c r="FX76" i="30"/>
  <c r="FX75" i="30"/>
  <c r="FU75" i="30"/>
  <c r="FX74" i="30"/>
  <c r="FX73" i="30"/>
  <c r="FX72" i="30"/>
  <c r="FX71" i="30"/>
  <c r="FU71" i="30"/>
  <c r="DU71" i="30"/>
  <c r="FX70" i="30"/>
  <c r="FX69" i="30"/>
  <c r="FX68" i="30"/>
  <c r="FX67" i="30"/>
  <c r="FX66" i="30"/>
  <c r="FX65" i="30"/>
  <c r="FX64" i="30"/>
  <c r="FX63" i="30"/>
  <c r="FU63" i="30"/>
  <c r="FX62" i="30"/>
  <c r="FX61" i="30"/>
  <c r="FX60" i="30"/>
  <c r="FX59" i="30"/>
  <c r="FU59" i="30"/>
  <c r="FX58" i="30"/>
  <c r="FX57" i="30"/>
  <c r="FX56" i="30"/>
  <c r="FX55" i="30"/>
  <c r="FX54" i="30"/>
  <c r="FX53" i="30"/>
  <c r="FX52" i="30"/>
  <c r="FX51" i="30"/>
  <c r="FU51" i="30"/>
  <c r="FX50" i="30"/>
  <c r="FX49" i="30"/>
  <c r="FX48" i="30"/>
  <c r="FX47" i="30"/>
  <c r="FU47" i="30"/>
  <c r="BG47" i="30"/>
  <c r="BD47" i="30"/>
  <c r="BC47" i="30"/>
  <c r="FX46" i="30"/>
  <c r="FX45" i="30"/>
  <c r="FX44" i="30"/>
  <c r="FX43" i="30"/>
  <c r="FX42" i="30"/>
  <c r="FU42" i="30"/>
  <c r="FP41" i="30"/>
  <c r="FQ41" i="30" s="1"/>
  <c r="FS41" i="30" s="1"/>
  <c r="FT41" i="30" s="1"/>
  <c r="FU41" i="30" s="1"/>
  <c r="FE41" i="30"/>
  <c r="FF41" i="30" s="1"/>
  <c r="FH41" i="30" s="1"/>
  <c r="FI41" i="30" s="1"/>
  <c r="ET41" i="30"/>
  <c r="EU41" i="30" s="1"/>
  <c r="EW41" i="30" s="1"/>
  <c r="EX41" i="30" s="1"/>
  <c r="EJ41" i="30"/>
  <c r="EL41" i="30" s="1"/>
  <c r="EM41" i="30" s="1"/>
  <c r="EI41" i="30"/>
  <c r="DX41" i="30"/>
  <c r="DY41" i="30" s="1"/>
  <c r="EA41" i="30" s="1"/>
  <c r="EB41" i="30" s="1"/>
  <c r="DM41" i="30"/>
  <c r="DN41" i="30" s="1"/>
  <c r="DP41" i="30" s="1"/>
  <c r="DQ41" i="30" s="1"/>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N41" i="30"/>
  <c r="AO41" i="30" s="1"/>
  <c r="AQ41" i="30" s="1"/>
  <c r="AR41" i="30" s="1"/>
  <c r="AM41" i="30"/>
  <c r="AD41" i="30"/>
  <c r="AF41" i="30" s="1"/>
  <c r="AG41" i="30" s="1"/>
  <c r="AC41" i="30"/>
  <c r="U41" i="30"/>
  <c r="V41" i="30" s="1"/>
  <c r="FI33" i="30"/>
  <c r="EX33" i="30"/>
  <c r="EM33" i="30"/>
  <c r="EB33" i="30"/>
  <c r="DQ33" i="30"/>
  <c r="DF33" i="30"/>
  <c r="CU33" i="30"/>
  <c r="CJ33" i="30"/>
  <c r="BY33" i="30"/>
  <c r="BN33" i="30"/>
  <c r="BC33" i="30"/>
  <c r="AR33" i="30"/>
  <c r="AG33" i="30"/>
  <c r="V33" i="30"/>
  <c r="FI32" i="30"/>
  <c r="EX32" i="30"/>
  <c r="EM32" i="30"/>
  <c r="EB32" i="30"/>
  <c r="DQ32" i="30"/>
  <c r="DF32" i="30"/>
  <c r="CU32" i="30"/>
  <c r="CJ32" i="30"/>
  <c r="BY32" i="30"/>
  <c r="BN32" i="30"/>
  <c r="BC32" i="30"/>
  <c r="AR32" i="30"/>
  <c r="AG32" i="30"/>
  <c r="V32" i="30"/>
  <c r="FI30" i="30"/>
  <c r="EX30" i="30"/>
  <c r="EM30" i="30"/>
  <c r="EB30" i="30"/>
  <c r="DQ30" i="30"/>
  <c r="DF30" i="30"/>
  <c r="CU30" i="30"/>
  <c r="CJ30" i="30"/>
  <c r="BY30" i="30"/>
  <c r="BN30" i="30"/>
  <c r="BC30" i="30"/>
  <c r="AR30" i="30"/>
  <c r="AG30" i="30"/>
  <c r="V30" i="30"/>
  <c r="FI29" i="30"/>
  <c r="EX29" i="30"/>
  <c r="EM29" i="30"/>
  <c r="EB29" i="30"/>
  <c r="DQ29" i="30"/>
  <c r="DF29" i="30"/>
  <c r="CU29" i="30"/>
  <c r="CJ29" i="30"/>
  <c r="BY29" i="30"/>
  <c r="BN29" i="30"/>
  <c r="BC29" i="30"/>
  <c r="AR29" i="30"/>
  <c r="AG29" i="30"/>
  <c r="V29" i="30"/>
  <c r="FI28" i="30"/>
  <c r="EX28" i="30"/>
  <c r="EM28" i="30"/>
  <c r="EB28" i="30"/>
  <c r="DQ28" i="30"/>
  <c r="DF28" i="30"/>
  <c r="CU28" i="30"/>
  <c r="CJ28" i="30"/>
  <c r="BY28" i="30"/>
  <c r="BN28" i="30"/>
  <c r="BC28" i="30"/>
  <c r="AR28" i="30"/>
  <c r="AG28" i="30"/>
  <c r="V28" i="30"/>
  <c r="FI27" i="30"/>
  <c r="EX27" i="30"/>
  <c r="EM27" i="30"/>
  <c r="EB27" i="30"/>
  <c r="DQ27" i="30"/>
  <c r="DF27" i="30"/>
  <c r="CU27" i="30"/>
  <c r="CJ27" i="30"/>
  <c r="BY27" i="30"/>
  <c r="BN27" i="30"/>
  <c r="BC27" i="30"/>
  <c r="AR27" i="30"/>
  <c r="AG27" i="30"/>
  <c r="V27" i="30"/>
  <c r="S25" i="30"/>
  <c r="S24" i="30"/>
  <c r="FX13" i="30"/>
  <c r="FX12" i="30"/>
  <c r="FX11" i="30"/>
  <c r="FX10" i="30"/>
  <c r="FX9" i="30"/>
  <c r="FX8" i="30"/>
  <c r="FX7" i="30"/>
  <c r="FU7" i="30"/>
  <c r="FX6" i="30"/>
  <c r="FX5" i="30"/>
  <c r="I5" i="30"/>
  <c r="FX4" i="30"/>
  <c r="AG4" i="30"/>
  <c r="S4" i="30"/>
  <c r="FX3" i="30"/>
  <c r="AG3" i="30"/>
  <c r="S3" i="30"/>
  <c r="FX2" i="30"/>
  <c r="FU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J6" i="23"/>
  <c r="K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J6" i="22"/>
  <c r="K7" i="22" s="1"/>
  <c r="S7" i="22" s="1"/>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1" i="7"/>
  <c r="D20" i="7"/>
  <c r="D19" i="7"/>
  <c r="D23" i="7" s="1"/>
  <c r="E18" i="7"/>
  <c r="G17" i="7"/>
  <c r="E17" i="7"/>
  <c r="G16" i="7"/>
  <c r="E16" i="7"/>
  <c r="F15" i="7"/>
  <c r="F14" i="7"/>
  <c r="G13" i="7"/>
  <c r="E13" i="7"/>
  <c r="E12" i="7"/>
  <c r="F11" i="7"/>
  <c r="D5" i="7"/>
  <c r="D5" i="6"/>
  <c r="AQ222" i="5"/>
  <c r="AP222" i="5"/>
  <c r="S48" i="29" s="1"/>
  <c r="K52" i="29" s="1"/>
  <c r="S52" i="29" s="1"/>
  <c r="AO222" i="5"/>
  <c r="S47" i="29" s="1"/>
  <c r="AN222" i="5"/>
  <c r="S46" i="29" s="1"/>
  <c r="AM222" i="5"/>
  <c r="AL222" i="5"/>
  <c r="AD48" i="29" s="1"/>
  <c r="AK222" i="5"/>
  <c r="AD47" i="29" s="1"/>
  <c r="AJ222" i="5"/>
  <c r="AD46" i="29" s="1"/>
  <c r="AI222" i="5"/>
  <c r="AH222" i="5"/>
  <c r="AQ217" i="5"/>
  <c r="AP217" i="5"/>
  <c r="S43" i="28" s="1"/>
  <c r="I44" i="28" s="1"/>
  <c r="AO217" i="5"/>
  <c r="S42" i="28" s="1"/>
  <c r="AN217" i="5"/>
  <c r="S41" i="28" s="1"/>
  <c r="AM217" i="5"/>
  <c r="AL217" i="5"/>
  <c r="AC43" i="28" s="1"/>
  <c r="AK217" i="5"/>
  <c r="AC42" i="28" s="1"/>
  <c r="AJ217" i="5"/>
  <c r="AI217" i="5"/>
  <c r="AH217" i="5"/>
  <c r="AQ212" i="5"/>
  <c r="AP212" i="5"/>
  <c r="S43" i="27" s="1"/>
  <c r="I44" i="27" s="1"/>
  <c r="AO212" i="5"/>
  <c r="S42" i="27" s="1"/>
  <c r="AN212" i="5"/>
  <c r="S41" i="27" s="1"/>
  <c r="AM212" i="5"/>
  <c r="AL212" i="5"/>
  <c r="AC43" i="27" s="1"/>
  <c r="AK212" i="5"/>
  <c r="AC42" i="27" s="1"/>
  <c r="AJ212" i="5"/>
  <c r="AI212" i="5"/>
  <c r="AH212" i="5"/>
  <c r="AQ206" i="5"/>
  <c r="AP206" i="5"/>
  <c r="S48" i="32" s="1"/>
  <c r="K52" i="32" s="1"/>
  <c r="S52" i="32" s="1"/>
  <c r="AO206" i="5"/>
  <c r="S47" i="32" s="1"/>
  <c r="AN206" i="5"/>
  <c r="S46" i="32" s="1"/>
  <c r="AM206" i="5"/>
  <c r="AL206" i="5"/>
  <c r="AD48" i="32" s="1"/>
  <c r="AK206" i="5"/>
  <c r="AD47" i="32" s="1"/>
  <c r="AJ206" i="5"/>
  <c r="AI206" i="5"/>
  <c r="AH206" i="5"/>
  <c r="AQ201" i="5"/>
  <c r="AP201" i="5"/>
  <c r="S44" i="31" s="1"/>
  <c r="I45" i="31" s="1"/>
  <c r="AO201" i="5"/>
  <c r="S43" i="31" s="1"/>
  <c r="AN201" i="5"/>
  <c r="S42" i="31" s="1"/>
  <c r="AM201" i="5"/>
  <c r="AL201" i="5"/>
  <c r="AG44" i="31" s="1"/>
  <c r="AK201" i="5"/>
  <c r="AG43" i="31" s="1"/>
  <c r="AJ201" i="5"/>
  <c r="AI201" i="5"/>
  <c r="AH201" i="5"/>
  <c r="AP196" i="5"/>
  <c r="S486" i="30" s="1"/>
  <c r="I487" i="30" s="1"/>
  <c r="AO196" i="5"/>
  <c r="AN196" i="5"/>
  <c r="AL196" i="5"/>
  <c r="AG486" i="30" s="1"/>
  <c r="AJ196" i="5"/>
  <c r="AH196" i="5"/>
  <c r="AP194" i="5"/>
  <c r="S474" i="30" s="1"/>
  <c r="I475" i="30" s="1"/>
  <c r="AO194" i="5"/>
  <c r="S473" i="30" s="1"/>
  <c r="AN194" i="5"/>
  <c r="AL194" i="5"/>
  <c r="AG474" i="30" s="1"/>
  <c r="AJ194" i="5"/>
  <c r="AH194" i="5"/>
  <c r="AP191" i="5"/>
  <c r="S460" i="30" s="1"/>
  <c r="I461" i="30" s="1"/>
  <c r="AO191" i="5"/>
  <c r="S459" i="30" s="1"/>
  <c r="AN191" i="5"/>
  <c r="AL191" i="5"/>
  <c r="AG460" i="30" s="1"/>
  <c r="AJ191" i="5"/>
  <c r="AH191" i="5"/>
  <c r="AP188" i="5"/>
  <c r="S446" i="30" s="1"/>
  <c r="I447" i="30" s="1"/>
  <c r="AO188" i="5"/>
  <c r="S445" i="30" s="1"/>
  <c r="AN188" i="5"/>
  <c r="AL188" i="5"/>
  <c r="AG446" i="30" s="1"/>
  <c r="AJ188" i="5"/>
  <c r="AH188" i="5"/>
  <c r="AP185" i="5"/>
  <c r="S432" i="30" s="1"/>
  <c r="I433" i="30" s="1"/>
  <c r="AO185" i="5"/>
  <c r="S431" i="30" s="1"/>
  <c r="AN185" i="5"/>
  <c r="AL185" i="5"/>
  <c r="AG432" i="30" s="1"/>
  <c r="AJ185" i="5"/>
  <c r="AH185" i="5"/>
  <c r="AP182" i="5"/>
  <c r="S418" i="30" s="1"/>
  <c r="I419" i="30" s="1"/>
  <c r="AO182" i="5"/>
  <c r="S417" i="30" s="1"/>
  <c r="AN182" i="5"/>
  <c r="AL182" i="5"/>
  <c r="AG418" i="30" s="1"/>
  <c r="AJ182" i="5"/>
  <c r="AI182" i="5"/>
  <c r="AH182" i="5"/>
  <c r="AP179" i="5"/>
  <c r="S404" i="30" s="1"/>
  <c r="I405" i="30" s="1"/>
  <c r="AO179" i="5"/>
  <c r="S403" i="30" s="1"/>
  <c r="AN179" i="5"/>
  <c r="AL179" i="5"/>
  <c r="AG404" i="30" s="1"/>
  <c r="AJ179" i="5"/>
  <c r="AH179" i="5"/>
  <c r="AP176" i="5"/>
  <c r="S390" i="30" s="1"/>
  <c r="I391" i="30" s="1"/>
  <c r="AO176" i="5"/>
  <c r="S389" i="30" s="1"/>
  <c r="AN176" i="5"/>
  <c r="AL176" i="5"/>
  <c r="AG390" i="30" s="1"/>
  <c r="AJ176" i="5"/>
  <c r="AH176" i="5"/>
  <c r="AP173" i="5"/>
  <c r="S376" i="30" s="1"/>
  <c r="I377" i="30" s="1"/>
  <c r="AO173" i="5"/>
  <c r="S375" i="30" s="1"/>
  <c r="AN173" i="5"/>
  <c r="AL173" i="5"/>
  <c r="AG376" i="30" s="1"/>
  <c r="AJ173" i="5"/>
  <c r="AH173" i="5"/>
  <c r="AP170" i="5"/>
  <c r="S362" i="30" s="1"/>
  <c r="I363" i="30" s="1"/>
  <c r="AO170" i="5"/>
  <c r="S361" i="30" s="1"/>
  <c r="AN170" i="5"/>
  <c r="AL170" i="5"/>
  <c r="AG362" i="30" s="1"/>
  <c r="AJ170" i="5"/>
  <c r="AH170" i="5"/>
  <c r="AP167" i="5"/>
  <c r="S348" i="30" s="1"/>
  <c r="I349" i="30" s="1"/>
  <c r="AO167" i="5"/>
  <c r="S347" i="30" s="1"/>
  <c r="AN167" i="5"/>
  <c r="AL167" i="5"/>
  <c r="AG348" i="30" s="1"/>
  <c r="AJ167" i="5"/>
  <c r="AH167" i="5"/>
  <c r="AP164" i="5"/>
  <c r="S334" i="30" s="1"/>
  <c r="I335" i="30" s="1"/>
  <c r="AO164" i="5"/>
  <c r="S333" i="30" s="1"/>
  <c r="AN164" i="5"/>
  <c r="AL164" i="5"/>
  <c r="AG334" i="30" s="1"/>
  <c r="AJ164" i="5"/>
  <c r="AH164" i="5"/>
  <c r="AP161" i="5"/>
  <c r="S320" i="30" s="1"/>
  <c r="I321" i="30" s="1"/>
  <c r="AO161" i="5"/>
  <c r="S319" i="30" s="1"/>
  <c r="AN161" i="5"/>
  <c r="AL161" i="5"/>
  <c r="AG320" i="30" s="1"/>
  <c r="AJ161" i="5"/>
  <c r="AH161" i="5"/>
  <c r="AP158" i="5"/>
  <c r="S306" i="30" s="1"/>
  <c r="I307" i="30" s="1"/>
  <c r="AO158" i="5"/>
  <c r="AN158" i="5"/>
  <c r="AL158" i="5"/>
  <c r="AG306" i="30" s="1"/>
  <c r="AJ158" i="5"/>
  <c r="AH158" i="5"/>
  <c r="AP156" i="5"/>
  <c r="S294" i="30" s="1"/>
  <c r="I295" i="30" s="1"/>
  <c r="AO156" i="5"/>
  <c r="S293" i="30" s="1"/>
  <c r="AN156" i="5"/>
  <c r="AL156" i="5"/>
  <c r="AG294" i="30" s="1"/>
  <c r="AJ156" i="5"/>
  <c r="AH156" i="5"/>
  <c r="AP153" i="5"/>
  <c r="S280" i="30" s="1"/>
  <c r="I281" i="30" s="1"/>
  <c r="AO153" i="5"/>
  <c r="S279" i="30" s="1"/>
  <c r="AN153" i="5"/>
  <c r="AL153" i="5"/>
  <c r="AG280" i="30" s="1"/>
  <c r="AJ153" i="5"/>
  <c r="AH153" i="5"/>
  <c r="AP150" i="5"/>
  <c r="S266" i="30" s="1"/>
  <c r="I267" i="30" s="1"/>
  <c r="AO150" i="5"/>
  <c r="S265" i="30" s="1"/>
  <c r="AN150" i="5"/>
  <c r="AL150" i="5"/>
  <c r="AG266" i="30" s="1"/>
  <c r="AJ150" i="5"/>
  <c r="AH150" i="5"/>
  <c r="AP147" i="5"/>
  <c r="S252" i="30" s="1"/>
  <c r="I253" i="30" s="1"/>
  <c r="AO147" i="5"/>
  <c r="S251" i="30" s="1"/>
  <c r="AN147" i="5"/>
  <c r="AL147" i="5"/>
  <c r="AG252" i="30" s="1"/>
  <c r="AJ147" i="5"/>
  <c r="AH147" i="5"/>
  <c r="AP144" i="5"/>
  <c r="S238" i="30" s="1"/>
  <c r="I239" i="30" s="1"/>
  <c r="AO144" i="5"/>
  <c r="S237" i="30" s="1"/>
  <c r="AN144" i="5"/>
  <c r="AL144" i="5"/>
  <c r="AG238" i="30" s="1"/>
  <c r="AJ144" i="5"/>
  <c r="AI144" i="5"/>
  <c r="AH144" i="5"/>
  <c r="AP141" i="5"/>
  <c r="S224" i="30" s="1"/>
  <c r="I225" i="30" s="1"/>
  <c r="AO141" i="5"/>
  <c r="S223" i="30" s="1"/>
  <c r="AN141" i="5"/>
  <c r="AL141" i="5"/>
  <c r="AG224" i="30" s="1"/>
  <c r="AJ141" i="5"/>
  <c r="AH141" i="5"/>
  <c r="AP138" i="5"/>
  <c r="S214" i="30" s="1"/>
  <c r="I215" i="30" s="1"/>
  <c r="AO138" i="5"/>
  <c r="AN138" i="5"/>
  <c r="AL138" i="5"/>
  <c r="AG214" i="30" s="1"/>
  <c r="AJ138" i="5"/>
  <c r="AI138" i="5"/>
  <c r="AH138" i="5"/>
  <c r="AP136" i="5"/>
  <c r="S202" i="30" s="1"/>
  <c r="I203" i="30" s="1"/>
  <c r="AO136" i="5"/>
  <c r="AN136" i="5"/>
  <c r="AL136" i="5"/>
  <c r="AG202" i="30" s="1"/>
  <c r="AJ136" i="5"/>
  <c r="AI136" i="5"/>
  <c r="AH136" i="5"/>
  <c r="AP134" i="5"/>
  <c r="S190" i="30" s="1"/>
  <c r="I191" i="30" s="1"/>
  <c r="AO134" i="5"/>
  <c r="S189" i="30" s="1"/>
  <c r="AN134" i="5"/>
  <c r="AL134" i="5"/>
  <c r="AG190" i="30" s="1"/>
  <c r="AJ134" i="5"/>
  <c r="AI134" i="5"/>
  <c r="AH134" i="5"/>
  <c r="AP131" i="5"/>
  <c r="S176" i="30" s="1"/>
  <c r="I177" i="30" s="1"/>
  <c r="AO131" i="5"/>
  <c r="S175" i="30" s="1"/>
  <c r="AN131" i="5"/>
  <c r="AL131" i="5"/>
  <c r="AG176" i="30" s="1"/>
  <c r="AJ131" i="5"/>
  <c r="AH131" i="5"/>
  <c r="AP128" i="5"/>
  <c r="S162" i="30" s="1"/>
  <c r="I163" i="30" s="1"/>
  <c r="AO128" i="5"/>
  <c r="AN128" i="5"/>
  <c r="AL128" i="5"/>
  <c r="AG162" i="30" s="1"/>
  <c r="AJ128" i="5"/>
  <c r="AH128" i="5"/>
  <c r="AP126" i="5"/>
  <c r="S154" i="30" s="1"/>
  <c r="I155" i="30" s="1"/>
  <c r="AO126" i="5"/>
  <c r="AN126" i="5"/>
  <c r="AL126" i="5"/>
  <c r="AG154" i="30" s="1"/>
  <c r="AJ126" i="5"/>
  <c r="AH126" i="5"/>
  <c r="AP124" i="5"/>
  <c r="S142" i="30" s="1"/>
  <c r="I143" i="30" s="1"/>
  <c r="AO124" i="5"/>
  <c r="S141" i="30" s="1"/>
  <c r="AN124" i="5"/>
  <c r="AL124" i="5"/>
  <c r="AG142" i="30" s="1"/>
  <c r="AJ124" i="5"/>
  <c r="AH124" i="5"/>
  <c r="AP121" i="5"/>
  <c r="S128" i="30" s="1"/>
  <c r="I129" i="30" s="1"/>
  <c r="AO121" i="5"/>
  <c r="S127" i="30" s="1"/>
  <c r="AN121" i="5"/>
  <c r="AL121" i="5"/>
  <c r="AG128" i="30" s="1"/>
  <c r="AJ121" i="5"/>
  <c r="AH121" i="5"/>
  <c r="AP118" i="5"/>
  <c r="S114" i="30" s="1"/>
  <c r="I115" i="30" s="1"/>
  <c r="AO118" i="5"/>
  <c r="S113" i="30" s="1"/>
  <c r="AN118" i="5"/>
  <c r="AL118" i="5"/>
  <c r="AG114" i="30" s="1"/>
  <c r="AJ118" i="5"/>
  <c r="AI118" i="5"/>
  <c r="AH118" i="5"/>
  <c r="AP115" i="5"/>
  <c r="S100" i="30" s="1"/>
  <c r="I101" i="30" s="1"/>
  <c r="AO115" i="5"/>
  <c r="AN115" i="5"/>
  <c r="AL115" i="5"/>
  <c r="AG100" i="30" s="1"/>
  <c r="AJ115" i="5"/>
  <c r="AH115" i="5"/>
  <c r="AP113" i="5"/>
  <c r="S88" i="30" s="1"/>
  <c r="I89" i="30" s="1"/>
  <c r="AO113" i="5"/>
  <c r="AN113" i="5"/>
  <c r="AL113" i="5"/>
  <c r="AG88" i="30" s="1"/>
  <c r="AJ113" i="5"/>
  <c r="AH113" i="5"/>
  <c r="AP111" i="5"/>
  <c r="S80" i="30" s="1"/>
  <c r="I81" i="30" s="1"/>
  <c r="AO111" i="5"/>
  <c r="AN111" i="5"/>
  <c r="AL111" i="5"/>
  <c r="AG80" i="30" s="1"/>
  <c r="AJ111" i="5"/>
  <c r="AH111" i="5"/>
  <c r="AP109" i="5"/>
  <c r="S68" i="30" s="1"/>
  <c r="I69" i="30" s="1"/>
  <c r="AO109" i="5"/>
  <c r="AN109" i="5"/>
  <c r="AL109" i="5"/>
  <c r="AG68" i="30" s="1"/>
  <c r="AJ109" i="5"/>
  <c r="AH109" i="5"/>
  <c r="AP107" i="5"/>
  <c r="S56" i="30" s="1"/>
  <c r="I57" i="30" s="1"/>
  <c r="AO107" i="5"/>
  <c r="AN107" i="5"/>
  <c r="AL107" i="5"/>
  <c r="AG56" i="30" s="1"/>
  <c r="AJ107" i="5"/>
  <c r="AH107" i="5"/>
  <c r="AQ105" i="5"/>
  <c r="AP105" i="5"/>
  <c r="S44" i="30" s="1"/>
  <c r="I45" i="30" s="1"/>
  <c r="AO105" i="5"/>
  <c r="S43" i="30" s="1"/>
  <c r="AN105" i="5"/>
  <c r="S42" i="30" s="1"/>
  <c r="AM105" i="5"/>
  <c r="AL105" i="5"/>
  <c r="AG44" i="30" s="1"/>
  <c r="AJ105" i="5"/>
  <c r="AH105" i="5"/>
  <c r="G105" i="5"/>
  <c r="AI170"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83" i="3"/>
  <c r="M83" i="3" a="1"/>
  <c r="M83" i="3"/>
  <c r="E83" i="3"/>
  <c r="G82" i="3"/>
  <c r="N194" i="5" s="1"/>
  <c r="E82" i="3"/>
  <c r="O80" i="3"/>
  <c r="M80" i="3" a="1"/>
  <c r="M80" i="3"/>
  <c r="E80" i="3"/>
  <c r="G79" i="3"/>
  <c r="N191" i="5" s="1"/>
  <c r="AK191" i="5" s="1"/>
  <c r="AG459" i="30" s="1"/>
  <c r="E79" i="3"/>
  <c r="O77" i="3"/>
  <c r="M77" i="3" a="1"/>
  <c r="M77" i="3"/>
  <c r="E77" i="3"/>
  <c r="G76" i="3"/>
  <c r="N188" i="5" s="1"/>
  <c r="AK188" i="5" s="1"/>
  <c r="AG445" i="30" s="1"/>
  <c r="E76" i="3"/>
  <c r="O74" i="3"/>
  <c r="M74" i="3" a="1"/>
  <c r="M74" i="3"/>
  <c r="E74" i="3"/>
  <c r="G73" i="3"/>
  <c r="N185" i="5" s="1"/>
  <c r="AK185" i="5" s="1"/>
  <c r="AG431" i="30" s="1"/>
  <c r="E73" i="3"/>
  <c r="O71" i="3"/>
  <c r="M71" i="3" a="1"/>
  <c r="M71" i="3"/>
  <c r="E71" i="3"/>
  <c r="G70" i="3"/>
  <c r="N182" i="5" s="1"/>
  <c r="AK182" i="5" s="1"/>
  <c r="AG417" i="30" s="1"/>
  <c r="E70" i="3"/>
  <c r="O68" i="3"/>
  <c r="M68" i="3" a="1"/>
  <c r="M68" i="3"/>
  <c r="E68" i="3"/>
  <c r="G67" i="3"/>
  <c r="N179" i="5" s="1"/>
  <c r="AK179" i="5" s="1"/>
  <c r="AG403" i="30" s="1"/>
  <c r="E67" i="3"/>
  <c r="O65" i="3"/>
  <c r="M65" i="3" a="1"/>
  <c r="M65" i="3"/>
  <c r="E65" i="3"/>
  <c r="G64" i="3"/>
  <c r="N176" i="5" s="1"/>
  <c r="AK176" i="5" s="1"/>
  <c r="AG389" i="30" s="1"/>
  <c r="E64" i="3"/>
  <c r="O62" i="3"/>
  <c r="M62" i="3" a="1"/>
  <c r="M62" i="3"/>
  <c r="E62" i="3"/>
  <c r="G61" i="3"/>
  <c r="N173" i="5" s="1"/>
  <c r="AK173" i="5" s="1"/>
  <c r="AG375" i="30" s="1"/>
  <c r="E61" i="3"/>
  <c r="O59" i="3"/>
  <c r="M59" i="3" a="1"/>
  <c r="M59" i="3"/>
  <c r="E59" i="3"/>
  <c r="G58" i="3"/>
  <c r="N170" i="5" s="1"/>
  <c r="AK170" i="5" s="1"/>
  <c r="AG361" i="30" s="1"/>
  <c r="E58" i="3"/>
  <c r="O56" i="3"/>
  <c r="M56" i="3" a="1"/>
  <c r="M56" i="3"/>
  <c r="E56" i="3"/>
  <c r="G55" i="3"/>
  <c r="N167" i="5" s="1"/>
  <c r="AK167" i="5" s="1"/>
  <c r="AG347" i="30" s="1"/>
  <c r="E55" i="3"/>
  <c r="O53" i="3"/>
  <c r="M53" i="3" a="1"/>
  <c r="M53" i="3"/>
  <c r="E53" i="3"/>
  <c r="G52" i="3"/>
  <c r="N164" i="5" s="1"/>
  <c r="AK164" i="5" s="1"/>
  <c r="AG333" i="30" s="1"/>
  <c r="E52" i="3"/>
  <c r="O50" i="3"/>
  <c r="M50" i="3" a="1"/>
  <c r="M50" i="3"/>
  <c r="E50" i="3"/>
  <c r="G49" i="3"/>
  <c r="N161" i="5" s="1"/>
  <c r="AK161" i="5" s="1"/>
  <c r="AG319" i="30" s="1"/>
  <c r="E49" i="3"/>
  <c r="O47" i="3"/>
  <c r="M47" i="3" a="1"/>
  <c r="M47" i="3"/>
  <c r="E47" i="3"/>
  <c r="G46" i="3"/>
  <c r="N156" i="5" s="1"/>
  <c r="E46" i="3"/>
  <c r="O44" i="3"/>
  <c r="M44" i="3" a="1"/>
  <c r="M44" i="3"/>
  <c r="E44" i="3"/>
  <c r="O43" i="3"/>
  <c r="M43" i="3" a="1"/>
  <c r="M43" i="3"/>
  <c r="E43" i="3"/>
  <c r="G42" i="3"/>
  <c r="N153" i="5" s="1"/>
  <c r="AK153" i="5" s="1"/>
  <c r="AG279" i="30" s="1"/>
  <c r="E42" i="3"/>
  <c r="O40" i="3"/>
  <c r="M40" i="3" a="1"/>
  <c r="M40" i="3"/>
  <c r="E40" i="3"/>
  <c r="G39" i="3"/>
  <c r="N150" i="5" s="1"/>
  <c r="AK150" i="5" s="1"/>
  <c r="AG265" i="30" s="1"/>
  <c r="E39" i="3"/>
  <c r="O37" i="3"/>
  <c r="M37" i="3" a="1"/>
  <c r="M37" i="3"/>
  <c r="E37" i="3"/>
  <c r="G36" i="3"/>
  <c r="N147" i="5" s="1"/>
  <c r="AK147" i="5" s="1"/>
  <c r="AG251" i="30" s="1"/>
  <c r="E36" i="3"/>
  <c r="O34" i="3"/>
  <c r="M34" i="3" a="1"/>
  <c r="M34" i="3"/>
  <c r="E34" i="3"/>
  <c r="G33" i="3"/>
  <c r="N144" i="5" s="1"/>
  <c r="AK144" i="5" s="1"/>
  <c r="AG237" i="30" s="1"/>
  <c r="E33" i="3"/>
  <c r="O31" i="3"/>
  <c r="M31" i="3" a="1"/>
  <c r="M31" i="3"/>
  <c r="E31" i="3"/>
  <c r="G30" i="3"/>
  <c r="N141" i="5" s="1"/>
  <c r="AK141" i="5" s="1"/>
  <c r="AG223" i="30" s="1"/>
  <c r="E30" i="3"/>
  <c r="O28" i="3"/>
  <c r="M28" i="3" a="1"/>
  <c r="M28" i="3"/>
  <c r="E28" i="3"/>
  <c r="G27" i="3"/>
  <c r="N134" i="5" s="1"/>
  <c r="E27" i="3"/>
  <c r="O25" i="3"/>
  <c r="M25" i="3" a="1"/>
  <c r="M25" i="3"/>
  <c r="E25" i="3"/>
  <c r="G24" i="3"/>
  <c r="N131" i="5" s="1"/>
  <c r="AK131" i="5" s="1"/>
  <c r="AG175" i="30" s="1"/>
  <c r="E24" i="3"/>
  <c r="O22" i="3"/>
  <c r="M22" i="3" a="1"/>
  <c r="M22" i="3"/>
  <c r="E22" i="3"/>
  <c r="G21" i="3"/>
  <c r="N124" i="5" s="1"/>
  <c r="E21" i="3"/>
  <c r="O19" i="3"/>
  <c r="M19" i="3" a="1"/>
  <c r="M19" i="3"/>
  <c r="E19" i="3"/>
  <c r="G18" i="3"/>
  <c r="N121" i="5" s="1"/>
  <c r="AK121" i="5" s="1"/>
  <c r="AG127" i="30" s="1"/>
  <c r="E18" i="3"/>
  <c r="O16" i="3"/>
  <c r="M16" i="3" a="1"/>
  <c r="M16" i="3"/>
  <c r="E16" i="3"/>
  <c r="G15" i="3"/>
  <c r="N118" i="5" s="1"/>
  <c r="AK118" i="5" s="1"/>
  <c r="AG113" i="30" s="1"/>
  <c r="E15" i="3"/>
  <c r="O13" i="3"/>
  <c r="M13" i="3" a="1"/>
  <c r="M13" i="3"/>
  <c r="E13" i="3"/>
  <c r="E12" i="3"/>
  <c r="G12" i="3" s="1"/>
  <c r="N105" i="5" s="1"/>
  <c r="E4" i="3"/>
  <c r="E59" i="2"/>
  <c r="E49" i="2"/>
  <c r="E41" i="2"/>
  <c r="E31" i="2"/>
  <c r="E27" i="2"/>
  <c r="E26" i="2"/>
  <c r="F25" i="2"/>
  <c r="E22" i="2"/>
  <c r="E21" i="2"/>
  <c r="F20" i="2"/>
  <c r="E19" i="2"/>
  <c r="I9" i="2"/>
  <c r="E3" i="2"/>
  <c r="E2" i="2"/>
  <c r="Y25" i="64"/>
  <c r="M10" i="55"/>
  <c r="M2" i="55"/>
  <c r="M2" i="54"/>
  <c r="M10" i="54"/>
  <c r="FV449" i="30"/>
  <c r="FV369" i="30"/>
  <c r="FV341" i="30"/>
  <c r="FV463" i="30"/>
  <c r="FV453" i="30"/>
  <c r="FV421" i="30"/>
  <c r="FV411" i="30"/>
  <c r="FV365" i="30"/>
  <c r="FV355" i="30"/>
  <c r="FV337" i="30"/>
  <c r="AT47" i="31"/>
  <c r="FV477" i="30"/>
  <c r="FV467" i="30"/>
  <c r="FV407" i="30"/>
  <c r="FV397" i="30"/>
  <c r="FV393" i="30"/>
  <c r="FV383" i="30"/>
  <c r="FV351" i="30"/>
  <c r="FV327" i="30"/>
  <c r="FV301" i="30"/>
  <c r="FV287" i="30"/>
  <c r="FV273" i="30"/>
  <c r="FV269" i="30"/>
  <c r="FV245" i="30"/>
  <c r="FV197" i="30"/>
  <c r="FV179" i="30"/>
  <c r="FV145" i="30"/>
  <c r="FV135" i="30"/>
  <c r="FV117" i="30"/>
  <c r="FV107" i="30"/>
  <c r="FV95" i="30"/>
  <c r="FV83" i="30"/>
  <c r="FV75" i="30"/>
  <c r="FV63" i="30"/>
  <c r="FV489" i="30"/>
  <c r="FV379" i="30"/>
  <c r="FV323" i="30"/>
  <c r="FV309" i="30"/>
  <c r="FV283" i="30"/>
  <c r="FV255" i="30"/>
  <c r="FV209" i="30"/>
  <c r="FV193" i="30"/>
  <c r="FV157" i="30"/>
  <c r="FV149" i="30"/>
  <c r="AL7" i="28"/>
  <c r="AL48" i="25"/>
  <c r="AT7" i="31"/>
  <c r="FV481" i="30"/>
  <c r="FV439" i="30"/>
  <c r="FV425" i="30"/>
  <c r="FV313" i="30"/>
  <c r="FV297" i="30"/>
  <c r="FV241" i="30"/>
  <c r="FV231" i="30"/>
  <c r="FV205" i="30"/>
  <c r="FV169" i="30"/>
  <c r="FV91" i="30"/>
  <c r="FV47" i="30"/>
  <c r="FV7" i="30"/>
  <c r="AL46" i="28"/>
  <c r="AL7" i="27"/>
  <c r="AL8" i="25"/>
  <c r="AL7" i="24"/>
  <c r="FV435" i="30"/>
  <c r="FV165" i="30"/>
  <c r="FV131" i="30"/>
  <c r="AR56" i="19"/>
  <c r="AR55" i="19"/>
  <c r="AN8" i="15"/>
  <c r="AN49" i="14"/>
  <c r="AN8" i="13"/>
  <c r="AN49" i="12"/>
  <c r="AN8" i="11"/>
  <c r="FV259" i="30"/>
  <c r="FV71" i="30"/>
  <c r="FV59" i="30"/>
  <c r="AL46" i="27"/>
  <c r="AL7" i="23"/>
  <c r="AL7" i="22"/>
  <c r="AV8" i="20"/>
  <c r="FV227" i="30"/>
  <c r="FV183" i="30"/>
  <c r="FV103" i="30"/>
  <c r="FV51" i="30"/>
  <c r="AL46" i="22"/>
  <c r="AL7" i="21"/>
  <c r="AV51" i="20"/>
  <c r="AN49" i="18"/>
  <c r="AN49" i="17"/>
  <c r="AN49" i="16"/>
  <c r="AN49" i="15"/>
  <c r="AN8" i="14"/>
  <c r="AN49" i="13"/>
  <c r="AN8" i="12"/>
  <c r="AN49" i="11"/>
  <c r="FV217" i="30"/>
  <c r="FV121" i="30"/>
  <c r="AL46" i="24"/>
  <c r="AL46" i="23"/>
  <c r="AL46" i="21"/>
  <c r="AR8" i="19"/>
  <c r="AN8" i="18"/>
  <c r="AN8" i="17"/>
  <c r="AN8" i="16"/>
  <c r="J13" i="3"/>
  <c r="I11" i="38" l="1"/>
  <c r="I11" i="37"/>
  <c r="H10" i="45"/>
  <c r="I26" i="33"/>
  <c r="I10" i="50"/>
  <c r="M11" i="35"/>
  <c r="H15" i="34"/>
  <c r="I8" i="39"/>
  <c r="I27" i="40"/>
  <c r="AK105" i="5"/>
  <c r="AG43" i="30" s="1"/>
  <c r="AK115" i="5"/>
  <c r="AK113" i="5"/>
  <c r="AK111" i="5"/>
  <c r="AK109" i="5"/>
  <c r="AK107" i="5"/>
  <c r="AK128" i="5"/>
  <c r="AK124" i="5"/>
  <c r="AG141" i="30" s="1"/>
  <c r="AK126" i="5"/>
  <c r="AK138" i="5"/>
  <c r="AK134" i="5"/>
  <c r="AG189" i="30" s="1"/>
  <c r="AK136" i="5"/>
  <c r="G270" i="48"/>
  <c r="G148" i="48"/>
  <c r="G24" i="48"/>
  <c r="G2" i="48"/>
  <c r="G209" i="48"/>
  <c r="G87" i="48"/>
  <c r="G5" i="48"/>
  <c r="AD43" i="11"/>
  <c r="F212" i="48"/>
  <c r="F90" i="48"/>
  <c r="F273" i="48"/>
  <c r="F151" i="48"/>
  <c r="F27" i="48"/>
  <c r="O21" i="64"/>
  <c r="AD45" i="16"/>
  <c r="F282" i="48"/>
  <c r="F160" i="48"/>
  <c r="F36" i="48"/>
  <c r="F221" i="48"/>
  <c r="F99" i="48"/>
  <c r="G285" i="48"/>
  <c r="G224" i="48"/>
  <c r="G163" i="48"/>
  <c r="G102" i="48"/>
  <c r="G39" i="48"/>
  <c r="AD43" i="18"/>
  <c r="G291" i="48"/>
  <c r="G230" i="48"/>
  <c r="G169" i="48"/>
  <c r="G108" i="48"/>
  <c r="G45" i="48"/>
  <c r="AB45" i="20"/>
  <c r="F294" i="48"/>
  <c r="F172" i="48"/>
  <c r="F48" i="48"/>
  <c r="F233" i="48"/>
  <c r="F111" i="48"/>
  <c r="J45" i="21"/>
  <c r="S44" i="21"/>
  <c r="J148" i="30"/>
  <c r="S143" i="30"/>
  <c r="J151" i="30"/>
  <c r="J149" i="30"/>
  <c r="J144" i="30"/>
  <c r="J150" i="30"/>
  <c r="J398" i="30"/>
  <c r="J392" i="30"/>
  <c r="J399" i="30"/>
  <c r="J396" i="30"/>
  <c r="S391" i="30"/>
  <c r="J397" i="30"/>
  <c r="J46" i="31"/>
  <c r="S45" i="31"/>
  <c r="J45" i="27"/>
  <c r="S44" i="27"/>
  <c r="J7" i="15"/>
  <c r="S6" i="15"/>
  <c r="K8" i="16"/>
  <c r="S8" i="16" s="1"/>
  <c r="S7" i="16"/>
  <c r="K8" i="17"/>
  <c r="S8" i="17" s="1"/>
  <c r="S7" i="17"/>
  <c r="I26" i="40"/>
  <c r="M10" i="35"/>
  <c r="H14" i="34"/>
  <c r="I10" i="38"/>
  <c r="I7" i="39"/>
  <c r="H9" i="45"/>
  <c r="I10" i="37"/>
  <c r="I25" i="33"/>
  <c r="I9" i="50"/>
  <c r="J48" i="12"/>
  <c r="S47" i="12"/>
  <c r="O22" i="64"/>
  <c r="AD46" i="16"/>
  <c r="L22" i="64"/>
  <c r="F23" i="64" s="1"/>
  <c r="S46" i="16"/>
  <c r="I47" i="17"/>
  <c r="J48" i="17"/>
  <c r="S47" i="15"/>
  <c r="J48" i="15"/>
  <c r="J47" i="25"/>
  <c r="K48" i="25"/>
  <c r="S48" i="25" s="1"/>
  <c r="I46" i="25"/>
  <c r="AD44" i="14"/>
  <c r="AD44" i="13"/>
  <c r="S44" i="14"/>
  <c r="S44" i="13"/>
  <c r="AI105" i="5"/>
  <c r="J65" i="30"/>
  <c r="J63" i="30"/>
  <c r="J58" i="30"/>
  <c r="J64" i="30"/>
  <c r="J62" i="30"/>
  <c r="S57" i="30"/>
  <c r="J77" i="30"/>
  <c r="J75" i="30"/>
  <c r="S69" i="30"/>
  <c r="J76" i="30"/>
  <c r="J70" i="30"/>
  <c r="J74" i="30"/>
  <c r="S81" i="30"/>
  <c r="J82" i="30"/>
  <c r="J97" i="30"/>
  <c r="J90" i="30"/>
  <c r="J96" i="30"/>
  <c r="J94" i="30"/>
  <c r="S89" i="30"/>
  <c r="J95" i="30"/>
  <c r="J109" i="30"/>
  <c r="J107" i="30"/>
  <c r="S101" i="30"/>
  <c r="J108" i="30"/>
  <c r="J102" i="30"/>
  <c r="J106" i="30"/>
  <c r="AI121" i="5"/>
  <c r="J182" i="30"/>
  <c r="J178" i="30"/>
  <c r="J184" i="30"/>
  <c r="J183" i="30"/>
  <c r="S177" i="30"/>
  <c r="J185" i="30"/>
  <c r="J247" i="30"/>
  <c r="J240" i="30"/>
  <c r="J246" i="30"/>
  <c r="J244" i="30"/>
  <c r="S239" i="30"/>
  <c r="J245" i="30"/>
  <c r="J343" i="30"/>
  <c r="J336" i="30"/>
  <c r="J340" i="30"/>
  <c r="J342" i="30"/>
  <c r="J341" i="30"/>
  <c r="S335" i="30"/>
  <c r="S7" i="11"/>
  <c r="K8" i="11"/>
  <c r="S8" i="11" s="1"/>
  <c r="K8" i="18"/>
  <c r="S8" i="18" s="1"/>
  <c r="S7" i="18"/>
  <c r="AK196" i="5"/>
  <c r="AK194" i="5"/>
  <c r="AG473" i="30" s="1"/>
  <c r="F276" i="48"/>
  <c r="F154" i="48"/>
  <c r="F30" i="48"/>
  <c r="F215" i="48"/>
  <c r="F93" i="48"/>
  <c r="G279" i="48"/>
  <c r="G218" i="48"/>
  <c r="G157" i="48"/>
  <c r="G96" i="48"/>
  <c r="G33" i="48"/>
  <c r="AG49" i="19"/>
  <c r="F242" i="48"/>
  <c r="F120" i="48"/>
  <c r="F303" i="48"/>
  <c r="F181" i="48"/>
  <c r="F57" i="48"/>
  <c r="F248" i="48"/>
  <c r="F126" i="48"/>
  <c r="F309" i="48"/>
  <c r="F187" i="48"/>
  <c r="F63" i="48"/>
  <c r="J52" i="30"/>
  <c r="S45" i="30"/>
  <c r="J50" i="30"/>
  <c r="J51" i="30"/>
  <c r="J53" i="30"/>
  <c r="J46" i="30"/>
  <c r="J170" i="30"/>
  <c r="J169" i="30"/>
  <c r="J164" i="30"/>
  <c r="J171" i="30"/>
  <c r="J168" i="30"/>
  <c r="S163" i="30"/>
  <c r="F218" i="48"/>
  <c r="F96" i="48"/>
  <c r="F279" i="48"/>
  <c r="F157" i="48"/>
  <c r="F33" i="48"/>
  <c r="G221" i="48"/>
  <c r="G99" i="48"/>
  <c r="G160" i="48"/>
  <c r="G282" i="48"/>
  <c r="G36" i="48"/>
  <c r="AD43" i="17"/>
  <c r="F224" i="48"/>
  <c r="F102" i="48"/>
  <c r="F285" i="48"/>
  <c r="F163" i="48"/>
  <c r="F39" i="48"/>
  <c r="G288" i="48"/>
  <c r="G166" i="48"/>
  <c r="G42" i="48"/>
  <c r="G105" i="48"/>
  <c r="G227" i="48"/>
  <c r="AD43" i="15"/>
  <c r="F230" i="48"/>
  <c r="F108" i="48"/>
  <c r="F169" i="48"/>
  <c r="F291" i="48"/>
  <c r="F45" i="48"/>
  <c r="G233" i="48"/>
  <c r="G111" i="48"/>
  <c r="G294" i="48"/>
  <c r="G172" i="48"/>
  <c r="G48" i="48"/>
  <c r="AC42" i="25"/>
  <c r="AD45" i="14"/>
  <c r="AD45" i="13"/>
  <c r="S45" i="13"/>
  <c r="S45" i="14"/>
  <c r="G114" i="48"/>
  <c r="G297" i="48"/>
  <c r="G51" i="48"/>
  <c r="G236" i="48"/>
  <c r="G175" i="48"/>
  <c r="AC41" i="21"/>
  <c r="J45" i="24"/>
  <c r="S44" i="24"/>
  <c r="G309" i="48"/>
  <c r="G248" i="48"/>
  <c r="G187" i="48"/>
  <c r="G126" i="48"/>
  <c r="G63" i="48"/>
  <c r="AD46" i="26"/>
  <c r="AI185" i="5"/>
  <c r="AI173" i="5"/>
  <c r="AI161" i="5"/>
  <c r="AI147" i="5"/>
  <c r="AI191" i="5"/>
  <c r="AI179" i="5"/>
  <c r="AI167" i="5"/>
  <c r="AI153" i="5"/>
  <c r="AI141" i="5"/>
  <c r="AI188" i="5"/>
  <c r="AI176" i="5"/>
  <c r="AI164" i="5"/>
  <c r="AI150" i="5"/>
  <c r="G312" i="48"/>
  <c r="G190" i="48"/>
  <c r="G66" i="48"/>
  <c r="G251" i="48"/>
  <c r="G129" i="48"/>
  <c r="AG42" i="30"/>
  <c r="AI124" i="5"/>
  <c r="AI126" i="5"/>
  <c r="AI128" i="5"/>
  <c r="J199" i="30"/>
  <c r="J196" i="30"/>
  <c r="J192" i="30"/>
  <c r="J198" i="30"/>
  <c r="J197" i="30"/>
  <c r="S191" i="30"/>
  <c r="S215" i="30"/>
  <c r="J216" i="30"/>
  <c r="AI158" i="5"/>
  <c r="AI196" i="5"/>
  <c r="J45" i="28"/>
  <c r="S44" i="28"/>
  <c r="K8" i="19"/>
  <c r="U7" i="19"/>
  <c r="K7" i="21"/>
  <c r="S7" i="21" s="1"/>
  <c r="S6" i="21"/>
  <c r="AK158" i="5"/>
  <c r="AK156" i="5"/>
  <c r="AG293" i="30" s="1"/>
  <c r="L21" i="64"/>
  <c r="S45" i="16"/>
  <c r="F288" i="48"/>
  <c r="F166" i="48"/>
  <c r="F42" i="48"/>
  <c r="F227" i="48"/>
  <c r="F105" i="48"/>
  <c r="AD43" i="14"/>
  <c r="AD43" i="13"/>
  <c r="S43" i="14"/>
  <c r="S43" i="13"/>
  <c r="F236" i="48"/>
  <c r="F114" i="48"/>
  <c r="F297" i="48"/>
  <c r="F175" i="48"/>
  <c r="F51" i="48"/>
  <c r="G239" i="48"/>
  <c r="G117" i="48"/>
  <c r="G300" i="48"/>
  <c r="G178" i="48"/>
  <c r="G54" i="48"/>
  <c r="AC41" i="22"/>
  <c r="J45" i="23"/>
  <c r="S44" i="23"/>
  <c r="G245" i="48"/>
  <c r="G123" i="48"/>
  <c r="G306" i="48"/>
  <c r="G60" i="48"/>
  <c r="G184" i="48"/>
  <c r="AC41" i="24"/>
  <c r="F312" i="48"/>
  <c r="F190" i="48"/>
  <c r="F66" i="48"/>
  <c r="F251" i="48"/>
  <c r="F129" i="48"/>
  <c r="S155" i="30"/>
  <c r="J156" i="30"/>
  <c r="F270" i="48"/>
  <c r="F209" i="48"/>
  <c r="F148" i="48"/>
  <c r="F87" i="48"/>
  <c r="F24" i="48"/>
  <c r="G273" i="48"/>
  <c r="G27" i="48"/>
  <c r="G212" i="48"/>
  <c r="G151" i="48"/>
  <c r="G90" i="48"/>
  <c r="AD43" i="12"/>
  <c r="O19" i="64"/>
  <c r="G215" i="48"/>
  <c r="G93" i="48"/>
  <c r="G276" i="48"/>
  <c r="G154" i="48"/>
  <c r="G30" i="48"/>
  <c r="AD43" i="16"/>
  <c r="L19" i="64"/>
  <c r="S43" i="16"/>
  <c r="F300" i="48"/>
  <c r="F178" i="48"/>
  <c r="F54" i="48"/>
  <c r="F239" i="48"/>
  <c r="F117" i="48"/>
  <c r="J45" i="22"/>
  <c r="S44" i="22"/>
  <c r="G303" i="48"/>
  <c r="G242" i="48"/>
  <c r="G181" i="48"/>
  <c r="G120" i="48"/>
  <c r="G57" i="48"/>
  <c r="AC41" i="23"/>
  <c r="F306" i="48"/>
  <c r="F184" i="48"/>
  <c r="F60" i="48"/>
  <c r="F245" i="48"/>
  <c r="F123" i="48"/>
  <c r="J120" i="30"/>
  <c r="S115" i="30"/>
  <c r="J122" i="30"/>
  <c r="J121" i="30"/>
  <c r="J116" i="30"/>
  <c r="J123" i="30"/>
  <c r="S203" i="30"/>
  <c r="J211" i="30"/>
  <c r="J208" i="30"/>
  <c r="J204" i="30"/>
  <c r="J210" i="30"/>
  <c r="J209" i="30"/>
  <c r="J232" i="30"/>
  <c r="J231" i="30"/>
  <c r="S225" i="30"/>
  <c r="J233" i="30"/>
  <c r="J226" i="30"/>
  <c r="J230" i="30"/>
  <c r="I28" i="40"/>
  <c r="M12" i="35"/>
  <c r="H16" i="34"/>
  <c r="I9" i="39"/>
  <c r="I12" i="38"/>
  <c r="H11" i="45"/>
  <c r="I27" i="33"/>
  <c r="I12" i="37"/>
  <c r="I11" i="50"/>
  <c r="S47" i="11"/>
  <c r="J48" i="11"/>
  <c r="O20" i="64"/>
  <c r="AD44" i="16"/>
  <c r="L20" i="64"/>
  <c r="S44" i="16"/>
  <c r="U54" i="19"/>
  <c r="K55" i="19"/>
  <c r="I47" i="18"/>
  <c r="J48" i="18"/>
  <c r="K51" i="20"/>
  <c r="S51" i="20" s="1"/>
  <c r="I49" i="20"/>
  <c r="J50" i="20"/>
  <c r="AD46" i="13"/>
  <c r="AD46" i="14"/>
  <c r="S46" i="13"/>
  <c r="I47" i="13" s="1"/>
  <c r="S46" i="14"/>
  <c r="I47" i="14" s="1"/>
  <c r="AI107" i="5"/>
  <c r="AI109" i="5"/>
  <c r="AI111" i="5"/>
  <c r="AI113" i="5"/>
  <c r="AI115" i="5"/>
  <c r="J137" i="30"/>
  <c r="J135" i="30"/>
  <c r="J130" i="30"/>
  <c r="J136" i="30"/>
  <c r="J134" i="30"/>
  <c r="S129" i="30"/>
  <c r="AI131" i="5"/>
  <c r="J275" i="30"/>
  <c r="J272" i="30"/>
  <c r="J273" i="30"/>
  <c r="J268" i="30"/>
  <c r="J274" i="30"/>
  <c r="S267" i="30"/>
  <c r="AI156" i="5"/>
  <c r="J452" i="30"/>
  <c r="J455" i="30"/>
  <c r="J453" i="30"/>
  <c r="J448" i="30"/>
  <c r="J454" i="30"/>
  <c r="S447" i="30"/>
  <c r="AI194" i="5"/>
  <c r="J488" i="30"/>
  <c r="S487" i="30"/>
  <c r="D35" i="7"/>
  <c r="D37" i="7"/>
  <c r="D38" i="7" s="1"/>
  <c r="D39" i="7" s="1"/>
  <c r="D34" i="7"/>
  <c r="J7" i="13"/>
  <c r="S6" i="13"/>
  <c r="J303" i="30"/>
  <c r="S295" i="30"/>
  <c r="J302" i="30"/>
  <c r="J300" i="30"/>
  <c r="J296" i="30"/>
  <c r="J314" i="30"/>
  <c r="J313" i="30"/>
  <c r="S307" i="30"/>
  <c r="J312" i="30"/>
  <c r="J308" i="30"/>
  <c r="J371" i="30"/>
  <c r="J368" i="30"/>
  <c r="S363" i="30"/>
  <c r="J370" i="30"/>
  <c r="J369" i="30"/>
  <c r="J426" i="30"/>
  <c r="J424" i="30"/>
  <c r="S419" i="30"/>
  <c r="J425" i="30"/>
  <c r="J420" i="30"/>
  <c r="J476" i="30"/>
  <c r="J482" i="30"/>
  <c r="J480" i="30"/>
  <c r="S475" i="30"/>
  <c r="J481" i="30"/>
  <c r="J7" i="12"/>
  <c r="J6" i="28"/>
  <c r="J301" i="30"/>
  <c r="J315" i="30"/>
  <c r="J427" i="30"/>
  <c r="J483" i="30"/>
  <c r="S253" i="30"/>
  <c r="J260" i="30"/>
  <c r="J258" i="30"/>
  <c r="J259" i="30"/>
  <c r="J254" i="30"/>
  <c r="J328" i="30"/>
  <c r="J327" i="30"/>
  <c r="S321" i="30"/>
  <c r="J329" i="30"/>
  <c r="J322" i="30"/>
  <c r="J326" i="30"/>
  <c r="J384" i="30"/>
  <c r="J383" i="30"/>
  <c r="S377" i="30"/>
  <c r="J385" i="30"/>
  <c r="J378" i="30"/>
  <c r="J382" i="30"/>
  <c r="J439" i="30"/>
  <c r="J440" i="30"/>
  <c r="J434" i="30"/>
  <c r="F254" i="48"/>
  <c r="F132" i="48"/>
  <c r="F193" i="48"/>
  <c r="F315" i="48"/>
  <c r="F69" i="48"/>
  <c r="G257" i="48"/>
  <c r="G135" i="48"/>
  <c r="G318" i="48"/>
  <c r="G196" i="48"/>
  <c r="G72" i="48"/>
  <c r="AD46" i="32"/>
  <c r="F260" i="48"/>
  <c r="F138" i="48"/>
  <c r="F321" i="48"/>
  <c r="F199" i="48"/>
  <c r="F75" i="48"/>
  <c r="G263" i="48"/>
  <c r="G141" i="48"/>
  <c r="G324" i="48"/>
  <c r="G202" i="48"/>
  <c r="G78" i="48"/>
  <c r="AC41" i="28"/>
  <c r="F266" i="48"/>
  <c r="F144" i="48"/>
  <c r="F327" i="48"/>
  <c r="F205" i="48"/>
  <c r="F81" i="48"/>
  <c r="S7" i="14"/>
  <c r="S5" i="21"/>
  <c r="S6" i="22"/>
  <c r="J6" i="30"/>
  <c r="S5" i="30"/>
  <c r="J261" i="30"/>
  <c r="J364" i="30"/>
  <c r="J441" i="30"/>
  <c r="S6" i="23"/>
  <c r="K8" i="25"/>
  <c r="S8" i="25" s="1"/>
  <c r="J6" i="27"/>
  <c r="S5" i="27"/>
  <c r="J289" i="30"/>
  <c r="S281" i="30"/>
  <c r="J286" i="30"/>
  <c r="J288" i="30"/>
  <c r="J287" i="30"/>
  <c r="J282" i="30"/>
  <c r="S349" i="30"/>
  <c r="J357" i="30"/>
  <c r="J354" i="30"/>
  <c r="J350" i="30"/>
  <c r="J356" i="30"/>
  <c r="J355" i="30"/>
  <c r="J406" i="30"/>
  <c r="J413" i="30"/>
  <c r="J410" i="30"/>
  <c r="S405" i="30"/>
  <c r="J411" i="30"/>
  <c r="J468" i="30"/>
  <c r="J466" i="30"/>
  <c r="S461" i="30"/>
  <c r="J469" i="30"/>
  <c r="J467" i="30"/>
  <c r="J462" i="30"/>
  <c r="G315" i="48"/>
  <c r="G254" i="48"/>
  <c r="G193" i="48"/>
  <c r="G132" i="48"/>
  <c r="G69" i="48"/>
  <c r="AG42" i="31"/>
  <c r="F318" i="48"/>
  <c r="F196" i="48"/>
  <c r="F72" i="48"/>
  <c r="F257" i="48"/>
  <c r="F135" i="48"/>
  <c r="G199" i="48"/>
  <c r="G138" i="48"/>
  <c r="G321" i="48"/>
  <c r="G75" i="48"/>
  <c r="G260" i="48"/>
  <c r="AC41" i="27"/>
  <c r="F324" i="48"/>
  <c r="F202" i="48"/>
  <c r="F78" i="48"/>
  <c r="F263" i="48"/>
  <c r="F141" i="48"/>
  <c r="G327" i="48"/>
  <c r="G266" i="48"/>
  <c r="G205" i="48"/>
  <c r="G144" i="48"/>
  <c r="G81" i="48"/>
  <c r="J6" i="24"/>
  <c r="I6" i="25"/>
  <c r="J412" i="30"/>
  <c r="S433" i="30"/>
  <c r="J438" i="30"/>
  <c r="S5" i="31"/>
  <c r="S6" i="31"/>
  <c r="K7" i="31"/>
  <c r="S7" i="31" s="1"/>
  <c r="H31" i="33"/>
  <c r="H136" i="33" s="1"/>
  <c r="I31" i="33"/>
  <c r="I136" i="33" s="1"/>
  <c r="H49" i="43"/>
  <c r="I48" i="43"/>
  <c r="H48" i="43" s="1"/>
  <c r="I38" i="43"/>
  <c r="H39" i="43"/>
  <c r="I36" i="43"/>
  <c r="H36" i="43" s="1"/>
  <c r="H53" i="51"/>
  <c r="G53" i="51"/>
  <c r="H46" i="51"/>
  <c r="H47" i="51"/>
  <c r="H48" i="51"/>
  <c r="H15" i="43"/>
  <c r="F32" i="51"/>
  <c r="G50" i="51"/>
  <c r="G49" i="51"/>
  <c r="H50" i="51"/>
  <c r="E4" i="62"/>
  <c r="C4" i="62" s="1"/>
  <c r="D4" i="7" s="1"/>
  <c r="E31" i="62"/>
  <c r="C31" i="62" s="1"/>
  <c r="D4" i="8" s="1"/>
  <c r="G46" i="51"/>
  <c r="G47" i="51"/>
  <c r="G48" i="51"/>
  <c r="H49" i="51"/>
  <c r="U148" i="63"/>
  <c r="M148" i="63" s="1"/>
  <c r="E12" i="46" s="1"/>
  <c r="AA16" i="63"/>
  <c r="N16" i="63" s="1"/>
  <c r="I21" i="45" s="1"/>
  <c r="AA12" i="63"/>
  <c r="N12" i="63" s="1"/>
  <c r="I16" i="45" s="1"/>
  <c r="AA15" i="63"/>
  <c r="N15" i="63" s="1"/>
  <c r="I19" i="45" s="1"/>
  <c r="U14" i="63"/>
  <c r="M14" i="63" s="1"/>
  <c r="E18" i="45" s="1"/>
  <c r="J49" i="51"/>
  <c r="J50" i="51"/>
  <c r="J51" i="51"/>
  <c r="J52" i="51"/>
  <c r="J45" i="51" s="1"/>
  <c r="E5" i="2" s="1"/>
  <c r="E6" i="62"/>
  <c r="C6" i="62" s="1"/>
  <c r="E21" i="33" s="1"/>
  <c r="E29" i="62"/>
  <c r="C29" i="62" s="1"/>
  <c r="D5" i="49" s="1"/>
  <c r="F2" i="54"/>
  <c r="D50" i="61"/>
  <c r="E3" i="62"/>
  <c r="C3" i="62" s="1"/>
  <c r="D5" i="45" s="1"/>
  <c r="E5" i="62"/>
  <c r="C5" i="62" s="1"/>
  <c r="D5" i="46" s="1"/>
  <c r="U15" i="63"/>
  <c r="M15" i="63" s="1"/>
  <c r="E19" i="45" s="1"/>
  <c r="D51" i="61"/>
  <c r="E30" i="62"/>
  <c r="C30" i="62" s="1"/>
  <c r="D14" i="47" s="1"/>
  <c r="E32" i="62"/>
  <c r="C32" i="62" s="1"/>
  <c r="AA11" i="63"/>
  <c r="N11" i="63" s="1"/>
  <c r="I15" i="45" s="1"/>
  <c r="AA13" i="63"/>
  <c r="N13" i="63" s="1"/>
  <c r="I17" i="45" s="1"/>
  <c r="K407" i="30" l="1"/>
  <c r="S407" i="30" s="1"/>
  <c r="S406" i="30"/>
  <c r="S434" i="30"/>
  <c r="K435" i="30"/>
  <c r="S435" i="30" s="1"/>
  <c r="K7" i="28"/>
  <c r="S7" i="28" s="1"/>
  <c r="S6" i="28"/>
  <c r="K453" i="30"/>
  <c r="S453" i="30" s="1"/>
  <c r="S452" i="30"/>
  <c r="S130" i="30"/>
  <c r="K131" i="30"/>
  <c r="S131" i="30" s="1"/>
  <c r="U8" i="19"/>
  <c r="L9" i="19"/>
  <c r="U9" i="19" s="1"/>
  <c r="K47" i="30"/>
  <c r="S47" i="30" s="1"/>
  <c r="S46" i="30"/>
  <c r="S340" i="30"/>
  <c r="K341" i="30"/>
  <c r="S341" i="30" s="1"/>
  <c r="S106" i="30"/>
  <c r="K107" i="30"/>
  <c r="S107" i="30" s="1"/>
  <c r="K49" i="17"/>
  <c r="S49" i="17" s="1"/>
  <c r="S48" i="17"/>
  <c r="S45" i="21"/>
  <c r="K46" i="21"/>
  <c r="S46" i="21" s="1"/>
  <c r="D4" i="4"/>
  <c r="S350" i="30"/>
  <c r="K351" i="30"/>
  <c r="S351" i="30" s="1"/>
  <c r="S282" i="30"/>
  <c r="K283" i="30"/>
  <c r="S283" i="30" s="1"/>
  <c r="S382" i="30"/>
  <c r="K383" i="30"/>
  <c r="S383" i="30" s="1"/>
  <c r="S254" i="30"/>
  <c r="K255" i="30"/>
  <c r="S255" i="30" s="1"/>
  <c r="K421" i="30"/>
  <c r="S421" i="30" s="1"/>
  <c r="S420" i="30"/>
  <c r="S368" i="30"/>
  <c r="K369" i="30"/>
  <c r="S369" i="30" s="1"/>
  <c r="S300" i="30"/>
  <c r="K301" i="30"/>
  <c r="S301" i="30" s="1"/>
  <c r="K49" i="18"/>
  <c r="S49" i="18" s="1"/>
  <c r="S48" i="18"/>
  <c r="K49" i="11"/>
  <c r="S49" i="11" s="1"/>
  <c r="S48" i="11"/>
  <c r="K227" i="30"/>
  <c r="S227" i="30" s="1"/>
  <c r="S226" i="30"/>
  <c r="S208" i="30"/>
  <c r="K209" i="30"/>
  <c r="S209" i="30" s="1"/>
  <c r="S116" i="30"/>
  <c r="K117" i="30"/>
  <c r="S117" i="30" s="1"/>
  <c r="K121" i="30"/>
  <c r="S121" i="30" s="1"/>
  <c r="S120" i="30"/>
  <c r="S196" i="30"/>
  <c r="K197" i="30"/>
  <c r="S197" i="30" s="1"/>
  <c r="S168" i="30"/>
  <c r="K169" i="30"/>
  <c r="S169" i="30" s="1"/>
  <c r="S50" i="30"/>
  <c r="K51" i="30"/>
  <c r="S51" i="30" s="1"/>
  <c r="K241" i="30"/>
  <c r="S241" i="30" s="1"/>
  <c r="S240" i="30"/>
  <c r="S70" i="30"/>
  <c r="K71" i="30"/>
  <c r="S71" i="30" s="1"/>
  <c r="S58" i="30"/>
  <c r="K59" i="30"/>
  <c r="S59" i="30" s="1"/>
  <c r="L23" i="64"/>
  <c r="G24" i="64"/>
  <c r="S48" i="12"/>
  <c r="K49" i="12"/>
  <c r="S49" i="12" s="1"/>
  <c r="K393" i="30"/>
  <c r="S393" i="30" s="1"/>
  <c r="S392" i="30"/>
  <c r="S378" i="30"/>
  <c r="K379" i="30"/>
  <c r="S379" i="30" s="1"/>
  <c r="J48" i="14"/>
  <c r="S47" i="14"/>
  <c r="S45" i="23"/>
  <c r="K46" i="23"/>
  <c r="S46" i="23" s="1"/>
  <c r="S94" i="30"/>
  <c r="K95" i="30"/>
  <c r="S95" i="30" s="1"/>
  <c r="F5" i="42"/>
  <c r="F5" i="44"/>
  <c r="F5" i="43"/>
  <c r="F5" i="41"/>
  <c r="K7" i="30"/>
  <c r="S7" i="30" s="1"/>
  <c r="S6" i="30"/>
  <c r="S326" i="30"/>
  <c r="K327" i="30"/>
  <c r="S327" i="30" s="1"/>
  <c r="S258" i="30"/>
  <c r="K259" i="30"/>
  <c r="S259" i="30" s="1"/>
  <c r="K8" i="12"/>
  <c r="S8" i="12" s="1"/>
  <c r="S7" i="12"/>
  <c r="S308" i="30"/>
  <c r="K309" i="30"/>
  <c r="S309" i="30" s="1"/>
  <c r="S488" i="30"/>
  <c r="K489" i="30"/>
  <c r="S489" i="30" s="1"/>
  <c r="S448" i="30"/>
  <c r="K449" i="30"/>
  <c r="S449" i="30" s="1"/>
  <c r="S47" i="13"/>
  <c r="J48" i="13"/>
  <c r="U55" i="19"/>
  <c r="L56" i="19"/>
  <c r="U56" i="19" s="1"/>
  <c r="K217" i="30"/>
  <c r="S217" i="30" s="1"/>
  <c r="S216" i="30"/>
  <c r="S164" i="30"/>
  <c r="K165" i="30"/>
  <c r="S165" i="30" s="1"/>
  <c r="K337" i="30"/>
  <c r="S337" i="30" s="1"/>
  <c r="S336" i="30"/>
  <c r="S244" i="30"/>
  <c r="K245" i="30"/>
  <c r="S245" i="30" s="1"/>
  <c r="K179" i="30"/>
  <c r="S179" i="30" s="1"/>
  <c r="S178" i="30"/>
  <c r="S102" i="30"/>
  <c r="K103" i="30"/>
  <c r="S103" i="30" s="1"/>
  <c r="S62" i="30"/>
  <c r="K63" i="30"/>
  <c r="S63" i="30" s="1"/>
  <c r="S396" i="30"/>
  <c r="K397" i="30"/>
  <c r="S397" i="30" s="1"/>
  <c r="S354" i="30"/>
  <c r="K355" i="30"/>
  <c r="S355" i="30" s="1"/>
  <c r="S480" i="30"/>
  <c r="K481" i="30"/>
  <c r="S481" i="30" s="1"/>
  <c r="S7" i="13"/>
  <c r="K8" i="13"/>
  <c r="S8" i="13" s="1"/>
  <c r="S268" i="30"/>
  <c r="K269" i="30"/>
  <c r="S269" i="30" s="1"/>
  <c r="K46" i="22"/>
  <c r="S46" i="22" s="1"/>
  <c r="S45" i="22"/>
  <c r="S82" i="30"/>
  <c r="K83" i="30"/>
  <c r="S83" i="30" s="1"/>
  <c r="S45" i="27"/>
  <c r="K46" i="27"/>
  <c r="S46" i="27" s="1"/>
  <c r="I58" i="43"/>
  <c r="H58" i="43" s="1"/>
  <c r="H38" i="43"/>
  <c r="S438" i="30"/>
  <c r="K439" i="30"/>
  <c r="S439" i="30" s="1"/>
  <c r="K7" i="24"/>
  <c r="S7" i="24" s="1"/>
  <c r="S6" i="24"/>
  <c r="K463" i="30"/>
  <c r="S463" i="30" s="1"/>
  <c r="S462" i="30"/>
  <c r="S466" i="30"/>
  <c r="K467" i="30"/>
  <c r="S467" i="30" s="1"/>
  <c r="S410" i="30"/>
  <c r="K411" i="30"/>
  <c r="S411" i="30" s="1"/>
  <c r="S286" i="30"/>
  <c r="K287" i="30"/>
  <c r="S287" i="30" s="1"/>
  <c r="K7" i="27"/>
  <c r="S7" i="27" s="1"/>
  <c r="S6" i="27"/>
  <c r="K365" i="30"/>
  <c r="S365" i="30" s="1"/>
  <c r="S364" i="30"/>
  <c r="S322" i="30"/>
  <c r="K323" i="30"/>
  <c r="S323" i="30" s="1"/>
  <c r="K477" i="30"/>
  <c r="S477" i="30" s="1"/>
  <c r="S476" i="30"/>
  <c r="S424" i="30"/>
  <c r="K425" i="30"/>
  <c r="S425" i="30" s="1"/>
  <c r="K313" i="30"/>
  <c r="S313" i="30" s="1"/>
  <c r="S312" i="30"/>
  <c r="S296" i="30"/>
  <c r="K297" i="30"/>
  <c r="S297" i="30" s="1"/>
  <c r="D41" i="7"/>
  <c r="D40" i="7"/>
  <c r="D43" i="7"/>
  <c r="D44" i="7" s="1"/>
  <c r="D45" i="7" s="1"/>
  <c r="K273" i="30"/>
  <c r="S273" i="30" s="1"/>
  <c r="S272" i="30"/>
  <c r="S134" i="30"/>
  <c r="K135" i="30"/>
  <c r="S135" i="30" s="1"/>
  <c r="S230" i="30"/>
  <c r="K231" i="30"/>
  <c r="S231" i="30" s="1"/>
  <c r="S204" i="30"/>
  <c r="K205" i="30"/>
  <c r="S205" i="30" s="1"/>
  <c r="K157" i="30"/>
  <c r="S157" i="30" s="1"/>
  <c r="S156" i="30"/>
  <c r="K46" i="28"/>
  <c r="S46" i="28" s="1"/>
  <c r="S45" i="28"/>
  <c r="S192" i="30"/>
  <c r="K193" i="30"/>
  <c r="S193" i="30" s="1"/>
  <c r="K46" i="24"/>
  <c r="S46" i="24" s="1"/>
  <c r="S45" i="24"/>
  <c r="K183" i="30"/>
  <c r="S183" i="30" s="1"/>
  <c r="S182" i="30"/>
  <c r="K91" i="30"/>
  <c r="S91" i="30" s="1"/>
  <c r="S90" i="30"/>
  <c r="S74" i="30"/>
  <c r="K75" i="30"/>
  <c r="S75" i="30" s="1"/>
  <c r="K49" i="15"/>
  <c r="S49" i="15" s="1"/>
  <c r="S48" i="15"/>
  <c r="I47" i="16"/>
  <c r="J48" i="16"/>
  <c r="S7" i="15"/>
  <c r="K8" i="15"/>
  <c r="S8" i="15" s="1"/>
  <c r="K47" i="31"/>
  <c r="S47" i="31" s="1"/>
  <c r="S46" i="31"/>
  <c r="S144" i="30"/>
  <c r="K145" i="30"/>
  <c r="S145" i="30" s="1"/>
  <c r="K149" i="30"/>
  <c r="S149" i="30" s="1"/>
  <c r="S148" i="30"/>
  <c r="D47" i="7" l="1"/>
  <c r="D49" i="7"/>
  <c r="D46" i="7"/>
  <c r="D48" i="7"/>
  <c r="D51" i="7"/>
  <c r="K49" i="13"/>
  <c r="S49" i="13" s="1"/>
  <c r="S48" i="13"/>
  <c r="H25" i="64"/>
  <c r="L25" i="64" s="1"/>
  <c r="L24" i="64"/>
  <c r="S48" i="14"/>
  <c r="K49" i="14"/>
  <c r="S49" i="14" s="1"/>
  <c r="K49" i="16"/>
  <c r="S49" i="16" s="1"/>
  <c r="S48" i="16"/>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<sst xmlns="http://schemas.openxmlformats.org/spreadsheetml/2006/main" count="20844" uniqueCount="4073">
  <si>
    <t>26446466</t>
  </si>
  <si>
    <t>Flag_Row_Size</t>
  </si>
  <si>
    <t>Субъект РФ</t>
  </si>
  <si>
    <t>Смоленская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</si>
  <si>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</si>
  <si>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</si>
  <si>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</si>
  <si>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</si>
  <si>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</si>
  <si>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01.01.2024</t>
  </si>
  <si>
    <t>Как заполнить?</t>
  </si>
  <si>
    <t>Начало периода регулирования</t>
  </si>
  <si>
    <t>Окончание_x000D_
периода регулирования</t>
  </si>
  <si>
    <t>31.12.2029</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</si>
  <si>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</si>
  <si>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</si>
  <si>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</si>
  <si>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</si>
  <si>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</si>
  <si>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</si>
  <si>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</si>
  <si>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</si>
  <si>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</si>
  <si>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</si>
  <si>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</si>
  <si>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</si>
  <si>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</si>
  <si>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</si>
  <si>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</si>
  <si>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</si>
  <si>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345, 88</t>
  </si>
  <si>
    <t>Наименование органа регулирования, принявшего решение об утверждении тарифов</t>
  </si>
  <si>
    <t>Министерство ЖКХ, энергетики и тарифной политики Смоленской области</t>
  </si>
  <si>
    <t>Источник официального опубликования решения</t>
  </si>
  <si>
    <t>Смоленская газета</t>
  </si>
  <si>
    <t>Открывается, если Тип отчёта "изменения в раскрытой ранее информации"</t>
  </si>
  <si>
    <t>20.12.2024</t>
  </si>
  <si>
    <t>403, 404</t>
  </si>
  <si>
    <t>Наименование органа регулирования, принявшего решение об изменении тарифов</t>
  </si>
  <si>
    <t>Министерство жилищно-коммунального хозяйства , энергетики и тарифной политики Смоленской области</t>
  </si>
  <si>
    <t>ООО "Смоленскрегионтеплоэнерго"</t>
  </si>
  <si>
    <t>Наименование (описание) обособленного подразделения</t>
  </si>
  <si>
    <t>ИНН</t>
  </si>
  <si>
    <t>6730048214</t>
  </si>
  <si>
    <t>КПП</t>
  </si>
  <si>
    <t>673101001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</si>
  <si>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</si>
  <si>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</si>
  <si>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</si>
  <si>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</si>
  <si>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</si>
  <si>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</si>
  <si>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</si>
  <si>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</si>
  <si>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</si>
  <si>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</si>
  <si>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</si>
  <si>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</si>
  <si>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</si>
  <si>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</si>
  <si>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</si>
  <si>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</si>
  <si>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</si>
  <si>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214020, г. Смоленск, ул. Шевченко, д. 77а</t>
  </si>
  <si>
    <t>Фамилия, имя, отчество руководителя</t>
  </si>
  <si>
    <t>Пучков Юрий Николаевич</t>
  </si>
  <si>
    <t>Ответственный за заполнение формы</t>
  </si>
  <si>
    <t>Фамилия, имя, отчество</t>
  </si>
  <si>
    <t>Рожкова Мария Владимировна</t>
  </si>
  <si>
    <t>Должность</t>
  </si>
  <si>
    <t>заместитель генерального директора по экономике - начальник ПЭО</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</si>
  <si>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</si>
  <si>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</si>
  <si>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</si>
  <si>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</si>
  <si>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</si>
  <si>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</si>
  <si>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</si>
  <si>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</si>
  <si>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</si>
  <si>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</si>
  <si>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</si>
  <si>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</si>
  <si>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</si>
  <si>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</si>
  <si>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</si>
  <si>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</si>
  <si>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</si>
  <si>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</si>
  <si>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</si>
  <si>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t>
  </si>
  <si>
    <t>Вяземский муниципальный район</t>
  </si>
  <si>
    <t>Вяземское</t>
  </si>
  <si>
    <t>66605101</t>
  </si>
  <si>
    <t>Добавить МО</t>
  </si>
  <si>
    <t>2</t>
  </si>
  <si>
    <t>×</t>
  </si>
  <si>
    <t>ter_5</t>
  </si>
  <si>
    <t>Андрейковское</t>
  </si>
  <si>
    <t>66605404</t>
  </si>
  <si>
    <t>ter_51</t>
  </si>
  <si>
    <t>13</t>
  </si>
  <si>
    <t>Степаниковское</t>
  </si>
  <si>
    <t>66605476</t>
  </si>
  <si>
    <t>ter_511</t>
  </si>
  <si>
    <t>16</t>
  </si>
  <si>
    <t>Гагаринский муниципальный район</t>
  </si>
  <si>
    <t>Гагаринское</t>
  </si>
  <si>
    <t>66608101</t>
  </si>
  <si>
    <t>5</t>
  </si>
  <si>
    <t>ter_5111</t>
  </si>
  <si>
    <t>18</t>
  </si>
  <si>
    <t>Кармановское</t>
  </si>
  <si>
    <t>66608424</t>
  </si>
  <si>
    <t>ter_51111</t>
  </si>
  <si>
    <t>95</t>
  </si>
  <si>
    <t>Рославльский муниципальный район</t>
  </si>
  <si>
    <t>Рославльское</t>
  </si>
  <si>
    <t>66636101</t>
  </si>
  <si>
    <t>ter_511111</t>
  </si>
  <si>
    <t>91</t>
  </si>
  <si>
    <t>Остерское</t>
  </si>
  <si>
    <t>66636470</t>
  </si>
  <si>
    <t>ter_5111111</t>
  </si>
  <si>
    <t>82</t>
  </si>
  <si>
    <t>Починковский муниципальный район</t>
  </si>
  <si>
    <t>Починковское</t>
  </si>
  <si>
    <t>66633101</t>
  </si>
  <si>
    <t>9</t>
  </si>
  <si>
    <t>ter_51111111</t>
  </si>
  <si>
    <t>80</t>
  </si>
  <si>
    <t>Мурыгинское</t>
  </si>
  <si>
    <t>66633450</t>
  </si>
  <si>
    <t>10</t>
  </si>
  <si>
    <t>ter_511111111</t>
  </si>
  <si>
    <t>83</t>
  </si>
  <si>
    <t>Прудковское</t>
  </si>
  <si>
    <t>66633465</t>
  </si>
  <si>
    <t>11</t>
  </si>
  <si>
    <t>ter_5111111111</t>
  </si>
  <si>
    <t>115</t>
  </si>
  <si>
    <t>Сафоновский муниципальный район</t>
  </si>
  <si>
    <t>Сафоновский</t>
  </si>
  <si>
    <t>66641101</t>
  </si>
  <si>
    <t>105</t>
  </si>
  <si>
    <t>Беленинское</t>
  </si>
  <si>
    <t>66641415</t>
  </si>
  <si>
    <t>12</t>
  </si>
  <si>
    <t>ter_51111111111</t>
  </si>
  <si>
    <t>ter_511111111111</t>
  </si>
  <si>
    <t>47</t>
  </si>
  <si>
    <t>Ельнинский муниципальный район</t>
  </si>
  <si>
    <t>Ельнинское городское поселение</t>
  </si>
  <si>
    <t>66619101</t>
  </si>
  <si>
    <t>14</t>
  </si>
  <si>
    <t>ter_5111111111111</t>
  </si>
  <si>
    <t>143</t>
  </si>
  <si>
    <t>Сычевский муниципальный район</t>
  </si>
  <si>
    <t>Сычевское</t>
  </si>
  <si>
    <t>66646101</t>
  </si>
  <si>
    <t>15</t>
  </si>
  <si>
    <t>ter_51111111111111</t>
  </si>
  <si>
    <t>167</t>
  </si>
  <si>
    <t>Холм-Жирковский муниципальный район</t>
  </si>
  <si>
    <t>Холм-Жирковское</t>
  </si>
  <si>
    <t>66654151</t>
  </si>
  <si>
    <t>ter_511111111111111</t>
  </si>
  <si>
    <t>183</t>
  </si>
  <si>
    <t>Ярцевский муниципальный район</t>
  </si>
  <si>
    <t>Ярцевское</t>
  </si>
  <si>
    <t>66658101</t>
  </si>
  <si>
    <t>17</t>
  </si>
  <si>
    <t>ter_5111111111111111</t>
  </si>
  <si>
    <t>37</t>
  </si>
  <si>
    <t>Дорогобужский муниципальный район</t>
  </si>
  <si>
    <t>Михайловское</t>
  </si>
  <si>
    <t>66614440</t>
  </si>
  <si>
    <t>ter_51111111111111111</t>
  </si>
  <si>
    <t>124</t>
  </si>
  <si>
    <t>Смоленский муниципальный район</t>
  </si>
  <si>
    <t>Козинское</t>
  </si>
  <si>
    <t>66644439</t>
  </si>
  <si>
    <t>19</t>
  </si>
  <si>
    <t>ter_511111111111111111</t>
  </si>
  <si>
    <t>133</t>
  </si>
  <si>
    <t>Сметанинское</t>
  </si>
  <si>
    <t>66644484</t>
  </si>
  <si>
    <t>20</t>
  </si>
  <si>
    <t>ter_5111111111111111111</t>
  </si>
  <si>
    <t>136</t>
  </si>
  <si>
    <t>Талашкинское</t>
  </si>
  <si>
    <t>66644492</t>
  </si>
  <si>
    <t>21</t>
  </si>
  <si>
    <t>ter_51111111111111111111</t>
  </si>
  <si>
    <t>126</t>
  </si>
  <si>
    <t>Кощинское</t>
  </si>
  <si>
    <t>66644445</t>
  </si>
  <si>
    <t>22</t>
  </si>
  <si>
    <t>ter_511111111111111111111</t>
  </si>
  <si>
    <t>38</t>
  </si>
  <si>
    <t>Дорогобужский муниципальный округ</t>
  </si>
  <si>
    <t>66514000</t>
  </si>
  <si>
    <t>23</t>
  </si>
  <si>
    <t>ter_5111111111111111111111</t>
  </si>
  <si>
    <t>70</t>
  </si>
  <si>
    <t>Краснинский муниципальный округ</t>
  </si>
  <si>
    <t>66524000</t>
  </si>
  <si>
    <t>24</t>
  </si>
  <si>
    <t>ter_51111111111111111111111</t>
  </si>
  <si>
    <t>191</t>
  </si>
  <si>
    <t>Шумячский муниципальный округ</t>
  </si>
  <si>
    <t>66556000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</si>
  <si>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</si>
  <si>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</si>
  <si>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</si>
  <si>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</si>
  <si>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</si>
  <si>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</si>
  <si>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</si>
  <si>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</si>
  <si>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</si>
  <si>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</si>
  <si>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</si>
  <si>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</si>
  <si>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</si>
  <si>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</si>
  <si>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</si>
  <si>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</si>
  <si>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</si>
  <si>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</si>
  <si>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</si>
  <si>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</si>
  <si>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</si>
  <si>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</si>
  <si>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</si>
  <si>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</si>
  <si>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</si>
  <si>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</si>
  <si>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</si>
  <si>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</si>
  <si>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</si>
  <si>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</si>
  <si>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</si>
  <si>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</si>
  <si>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</si>
  <si>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</si>
  <si>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</si>
  <si>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</si>
  <si>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</si>
  <si>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</si>
  <si>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</si>
  <si>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</si>
  <si>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</si>
  <si>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</si>
  <si>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</si>
  <si>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</si>
  <si>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</si>
  <si>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</si>
  <si>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</si>
  <si>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</si>
  <si>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</si>
  <si>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</si>
  <si>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</si>
  <si>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</si>
  <si>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</si>
  <si>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</si>
  <si>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</si>
  <si>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</si>
  <si>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</si>
  <si>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</si>
  <si>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</si>
  <si>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</si>
  <si>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</si>
  <si>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</si>
  <si>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</si>
  <si>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</si>
  <si>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</si>
  <si>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</si>
  <si>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</si>
  <si>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</si>
  <si>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</si>
  <si>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</si>
  <si>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</si>
  <si>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</si>
  <si>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</si>
  <si>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</si>
  <si>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</si>
  <si>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</si>
  <si>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</si>
  <si>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</si>
  <si>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</si>
  <si>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</si>
  <si>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</si>
  <si>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</si>
  <si>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</si>
  <si>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</si>
  <si>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</si>
  <si>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</si>
  <si>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</si>
  <si>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</si>
  <si>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</si>
  <si>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</si>
  <si>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</si>
  <si>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</si>
  <si>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</si>
  <si>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</si>
  <si>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</si>
  <si>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</si>
  <si>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</si>
  <si>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</si>
  <si>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</si>
  <si>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</si>
  <si>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</si>
  <si>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</si>
  <si>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</si>
  <si>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</si>
  <si>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</si>
  <si>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</si>
  <si>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</si>
  <si>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</si>
  <si>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</si>
  <si>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</si>
  <si>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</si>
  <si>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</si>
  <si>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</si>
  <si>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</si>
  <si>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</si>
  <si>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</si>
  <si>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</si>
  <si>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</si>
  <si>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</si>
  <si>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</si>
  <si>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</si>
  <si>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</si>
  <si>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</si>
  <si>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</si>
  <si>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</si>
  <si>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</si>
  <si>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</si>
  <si>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</si>
  <si>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</si>
  <si>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</si>
  <si>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</si>
  <si>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</si>
  <si>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</si>
  <si>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</si>
  <si>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</si>
  <si>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</si>
  <si>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с использованием закрытой системы горячего водоснабжения</t>
  </si>
  <si>
    <t>г. Вязьма Вяземского муниципального округа Смоленской области</t>
  </si>
  <si>
    <t>"4189702"</t>
  </si>
  <si>
    <t>pIns_PT_VTAR_A_HOTVSNA</t>
  </si>
  <si>
    <t>pt_ntar_14</t>
  </si>
  <si>
    <t>pt_ter_14</t>
  </si>
  <si>
    <t>pt_cs_14</t>
  </si>
  <si>
    <t>г.Вязьма  (для потребителей нагрузки, которых переведены с котельной  ОАО «БэтЭлТранс»)</t>
  </si>
  <si>
    <t>pt_cs_49</t>
  </si>
  <si>
    <t>pt_ist_te_49</t>
  </si>
  <si>
    <t>г. Вязьма  (для потребителей, теплоснабжение которых осуществляется  от блочно-модульной котельной по ул. Гоголя)</t>
  </si>
  <si>
    <t>pt_cs_50</t>
  </si>
  <si>
    <t>pt_ist_te_50</t>
  </si>
  <si>
    <t>г. Вязьма  (для потребителей, нагрузки которых переведены с котельной ОАО «Вяземский машиностроительный завод»)</t>
  </si>
  <si>
    <t>pt_cs_51</t>
  </si>
  <si>
    <t>pt_ist_te_51</t>
  </si>
  <si>
    <t>Г. Вязьма, ул. Московская</t>
  </si>
  <si>
    <t>pt_cs_52</t>
  </si>
  <si>
    <t>pt_ist_te_52</t>
  </si>
  <si>
    <t>для потребителей с. Вязьма-Брянская Вяземского муниципального округа Смоленской области</t>
  </si>
  <si>
    <t>pt_cs_62</t>
  </si>
  <si>
    <t>pt_ist_te_62</t>
  </si>
  <si>
    <t>Добавить централизованную систему для дифференциации</t>
  </si>
  <si>
    <t>с. Андрейково Вяземского муниципального округа Смоленской области</t>
  </si>
  <si>
    <t>pt_ter_30</t>
  </si>
  <si>
    <t>pt_cs_30</t>
  </si>
  <si>
    <t>pt_ist_te_30</t>
  </si>
  <si>
    <t>с. Ново Никольское Вяземского муниципального округа Смоленской области</t>
  </si>
  <si>
    <t>pt_ter_31</t>
  </si>
  <si>
    <t>pt_cs_31</t>
  </si>
  <si>
    <t>pt_ist_te_31</t>
  </si>
  <si>
    <t>г. Гагарин Гагаринского муниципального округа Смоленской области</t>
  </si>
  <si>
    <t>pt_ter_32</t>
  </si>
  <si>
    <t>pt_cs_32</t>
  </si>
  <si>
    <t>pt_ist_te_32</t>
  </si>
  <si>
    <t>г. Гагарин (для потребителей, нагрузки которых переведены с котельной ЗАО «Гагаринконсервмолоко»)</t>
  </si>
  <si>
    <t>pt_cs_53</t>
  </si>
  <si>
    <t>pt_ist_te_53</t>
  </si>
  <si>
    <t>г. Гагарин, ул. Пушная</t>
  </si>
  <si>
    <t>pt_cs_54</t>
  </si>
  <si>
    <t>pt_ist_te_54</t>
  </si>
  <si>
    <t>с. Карманово Гагаринского муниципального  округа Смоленской области</t>
  </si>
  <si>
    <t>pt_ter_33</t>
  </si>
  <si>
    <t>pt_cs_33</t>
  </si>
  <si>
    <t>pt_ist_te_33</t>
  </si>
  <si>
    <t>г. Рославль Рославльского муниципального округа Смоленской области</t>
  </si>
  <si>
    <t>pt_ter_34</t>
  </si>
  <si>
    <t>pt_cs_34</t>
  </si>
  <si>
    <t>pt_ist_te_34</t>
  </si>
  <si>
    <t>г. Рославль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t>
  </si>
  <si>
    <t>pt_cs_55</t>
  </si>
  <si>
    <t>pt_ist_te_55</t>
  </si>
  <si>
    <t>Население, проживающее по адресу: г. Рославль, ул. Мичурина, д. 177, 179, 181, 189, 191, 193, 193а, 195, 195а; 4-й Смоленский пер. д. 49, корпус 1, 2</t>
  </si>
  <si>
    <t>pt_cs_56</t>
  </si>
  <si>
    <t>pt_ist_te_56</t>
  </si>
  <si>
    <t>с. Остер Рославльского муниципального округа Смоленской области</t>
  </si>
  <si>
    <t>pt_ter_35</t>
  </si>
  <si>
    <t>pt_cs_35</t>
  </si>
  <si>
    <t>pt_ist_te_35</t>
  </si>
  <si>
    <t>г. Починок Починковского муниципального округа Смоленской области</t>
  </si>
  <si>
    <t>pt_ter_36</t>
  </si>
  <si>
    <t>pt_cs_36</t>
  </si>
  <si>
    <t>pt_ist_te_36</t>
  </si>
  <si>
    <t>д. Лосня Починковского муниципального округа Смоленской области</t>
  </si>
  <si>
    <t>pt_ter_37</t>
  </si>
  <si>
    <t>pt_cs_37</t>
  </si>
  <si>
    <t>pt_ist_te_37</t>
  </si>
  <si>
    <t>д. Бояды Починковского муниципального  округа Смоленской области</t>
  </si>
  <si>
    <t>pt_ter_38</t>
  </si>
  <si>
    <t>pt_cs_38</t>
  </si>
  <si>
    <t>pt_ist_te_38</t>
  </si>
  <si>
    <t>г. Сафоново, д. Клинка  Сафоновского муниципального округа Смоленской области</t>
  </si>
  <si>
    <t>pt_ter_39</t>
  </si>
  <si>
    <t>pt_cs_39</t>
  </si>
  <si>
    <t>pt_ist_te_39</t>
  </si>
  <si>
    <t>г. Сафоново (для потребителей, теплоснабжение которых осуществляется от котельной по ул. Советская, д. 78)</t>
  </si>
  <si>
    <t>pt_ter_40</t>
  </si>
  <si>
    <t>pt_cs_40</t>
  </si>
  <si>
    <t>pt_ist_te_40</t>
  </si>
  <si>
    <t>г. Сафоново (для потребителей, теплоснабжение которых осуществляется от котельной по ул. Первомайская)</t>
  </si>
  <si>
    <t>pt_cs_57</t>
  </si>
  <si>
    <t>pt_ist_te_57</t>
  </si>
  <si>
    <t xml:space="preserve">г. Ельня Ельнинского муниципального округа Смоленской области </t>
  </si>
  <si>
    <t>pt_ter_41</t>
  </si>
  <si>
    <t>pt_cs_41</t>
  </si>
  <si>
    <t>pt_ist_te_41</t>
  </si>
  <si>
    <t>г. Сычевка Сычевского округа Смоленской области</t>
  </si>
  <si>
    <t>pt_ter_42</t>
  </si>
  <si>
    <t>pt_cs_42</t>
  </si>
  <si>
    <t>pt_ist_te_42</t>
  </si>
  <si>
    <t>пгт.Холм-Жирковское Холм-Жирковского округа Смоленской области</t>
  </si>
  <si>
    <t>pt_ter_43</t>
  </si>
  <si>
    <t>pt_cs_43</t>
  </si>
  <si>
    <t>pt_ist_te_43</t>
  </si>
  <si>
    <t>г. Ярцево Ярцевского муниципального  округа Смоленской области</t>
  </si>
  <si>
    <t>pt_ter_44</t>
  </si>
  <si>
    <t>pt_cs_44</t>
  </si>
  <si>
    <t>pt_ist_te_44</t>
  </si>
  <si>
    <t>г. Дорогобуж (для потребителей, теплоснабжение которых осуществляется от котельной №1 расположенной по адресу: дер. Ново-Михайловское Дорогобужского муниципального округа)</t>
  </si>
  <si>
    <t>pt_ter_45</t>
  </si>
  <si>
    <t>pt_cs_45</t>
  </si>
  <si>
    <t>pt_ist_te_45</t>
  </si>
  <si>
    <t>дер. Богородицкое, Смоленский муниципальный округ</t>
  </si>
  <si>
    <t>pt_ter_46</t>
  </si>
  <si>
    <t>pt_cs_46</t>
  </si>
  <si>
    <t>pt_ist_te_46</t>
  </si>
  <si>
    <t>дер. Сметанино, Смоленский муниципальный округ</t>
  </si>
  <si>
    <t>pt_ter_47</t>
  </si>
  <si>
    <t>pt_cs_47</t>
  </si>
  <si>
    <t>pt_ist_te_47</t>
  </si>
  <si>
    <t>с. Талашкино, Смоленский муниципальный округ</t>
  </si>
  <si>
    <t>pt_ter_48</t>
  </si>
  <si>
    <t>pt_cs_48</t>
  </si>
  <si>
    <t>pt_ist_te_48</t>
  </si>
  <si>
    <t>для котельной, расположенной по адресу: дер. Кощино Смоленского муниципального округа</t>
  </si>
  <si>
    <t>pt_ter_49</t>
  </si>
  <si>
    <t>pt_cs_58</t>
  </si>
  <si>
    <t>pt_ist_te_58</t>
  </si>
  <si>
    <t xml:space="preserve">для потребителей г. Дорогобужа Дорогобужского муниципального округа </t>
  </si>
  <si>
    <t>pt_ter_50</t>
  </si>
  <si>
    <t>pt_cs_59</t>
  </si>
  <si>
    <t>pt_ist_te_59</t>
  </si>
  <si>
    <t>для потребителей дер. Гусино Краснинского муниципального округа  Смоленской области</t>
  </si>
  <si>
    <t>pt_ter_51</t>
  </si>
  <si>
    <t>pt_cs_60</t>
  </si>
  <si>
    <t>pt_ist_te_60</t>
  </si>
  <si>
    <t>для потребителей с. Первомайский Шумячского муниципального округа Смоленской области</t>
  </si>
  <si>
    <t>pt_ter_52</t>
  </si>
  <si>
    <t>pt_cs_61</t>
  </si>
  <si>
    <t>pt_ist_te_61</t>
  </si>
  <si>
    <t>для котельной №3, расположенной по адресу: пгт Шумячи, ул. Санаторная, д. 1</t>
  </si>
  <si>
    <t>pt_cs_63</t>
  </si>
  <si>
    <t>pt_ist_te_63</t>
  </si>
  <si>
    <t>Добавить территорию для дифференциации</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</si>
  <si>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</si>
  <si>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</si>
  <si>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</si>
  <si>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</si>
  <si>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</si>
  <si>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</si>
  <si>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</si>
  <si>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</si>
  <si>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</si>
  <si>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</si>
  <si>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</si>
  <si>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</si>
  <si>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</si>
  <si>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</si>
  <si>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</si>
  <si>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</si>
  <si>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</si>
  <si>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</si>
  <si>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</si>
  <si>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</si>
  <si>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</si>
  <si>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</si>
  <si>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</si>
  <si>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</si>
  <si>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</si>
  <si>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</si>
  <si>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</si>
  <si>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</si>
  <si>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</si>
  <si>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</si>
  <si>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</si>
  <si>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</si>
  <si>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</si>
  <si>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</si>
  <si>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</si>
  <si>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</si>
  <si>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</si>
  <si>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</si>
  <si>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</si>
  <si>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</si>
  <si>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</si>
  <si>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</si>
  <si>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</si>
  <si>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</si>
  <si>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</si>
  <si>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</si>
  <si>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</si>
  <si>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</si>
  <si>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</si>
  <si>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</si>
  <si>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</si>
  <si>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</si>
  <si>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</si>
  <si>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</si>
  <si>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</si>
  <si>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</si>
  <si>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</si>
  <si>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</si>
  <si>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</si>
  <si>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</si>
  <si>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</si>
  <si>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</si>
  <si>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</si>
  <si>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</si>
  <si>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</si>
  <si>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</si>
  <si>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</si>
  <si>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</si>
  <si>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</si>
  <si>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</si>
  <si>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</si>
  <si>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</si>
  <si>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</si>
  <si>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</si>
  <si>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</si>
  <si>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</si>
  <si>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</si>
  <si>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</si>
  <si>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</si>
  <si>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</si>
  <si>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</si>
  <si>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</si>
  <si>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</si>
  <si>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</si>
  <si>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</si>
  <si>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</si>
  <si>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</si>
  <si>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</si>
  <si>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</si>
  <si>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</si>
  <si>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</si>
  <si>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</si>
  <si>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</si>
  <si>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</si>
  <si>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</si>
  <si>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</si>
  <si>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</si>
  <si>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</si>
  <si>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</si>
  <si>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</si>
  <si>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</si>
  <si>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</si>
  <si>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</si>
  <si>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</si>
  <si>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</si>
  <si>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</si>
  <si>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</si>
  <si>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</si>
  <si>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</si>
  <si>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</si>
  <si>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</si>
  <si>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</si>
  <si>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</si>
  <si>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</si>
  <si>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</si>
  <si>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</si>
  <si>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</si>
  <si>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</si>
  <si>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</si>
  <si>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</si>
  <si>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</si>
  <si>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</si>
  <si>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</si>
  <si>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</si>
  <si>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</si>
  <si>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</si>
  <si>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</si>
  <si>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</si>
  <si>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</si>
  <si>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</si>
  <si>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</si>
  <si>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</si>
  <si>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</si>
  <si>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</si>
  <si>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</si>
  <si>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</si>
  <si>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</si>
  <si>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</si>
  <si>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</si>
  <si>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</si>
  <si>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</si>
  <si>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</si>
  <si>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</si>
  <si>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</si>
  <si>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</si>
  <si>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</si>
  <si>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</si>
  <si>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</si>
  <si>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</si>
  <si>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</si>
  <si>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</si>
  <si>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</si>
  <si>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</si>
  <si>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</si>
  <si>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</si>
  <si>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</si>
  <si>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</si>
  <si>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</si>
  <si>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</si>
  <si>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</si>
  <si>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</si>
  <si>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</si>
  <si>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</si>
  <si>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</si>
  <si>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</si>
  <si>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</si>
  <si>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</si>
  <si>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</si>
  <si>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</si>
  <si>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</si>
  <si>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</si>
  <si>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</si>
  <si>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</si>
  <si>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</si>
  <si>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</si>
  <si>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</si>
  <si>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</si>
  <si>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</si>
  <si>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</si>
  <si>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</si>
  <si>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</si>
  <si>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</si>
  <si>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</si>
  <si>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</si>
  <si>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</si>
  <si>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</si>
  <si>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</si>
  <si>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</si>
  <si>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</si>
  <si>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</si>
  <si>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</si>
  <si>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</si>
  <si>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</si>
  <si>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</si>
  <si>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</si>
  <si>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</si>
  <si>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</si>
  <si>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</si>
  <si>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</si>
  <si>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</si>
  <si>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</si>
  <si>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</si>
  <si>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</si>
  <si>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</si>
  <si>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</si>
  <si>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</si>
  <si>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</si>
  <si>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</si>
  <si>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</si>
  <si>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</si>
  <si>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</si>
  <si>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</si>
  <si>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</si>
  <si>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</si>
  <si>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</si>
  <si>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</si>
  <si>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</si>
  <si>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</si>
  <si>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</si>
  <si>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</si>
  <si>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</si>
  <si>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</si>
  <si>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</si>
  <si>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</si>
  <si>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</si>
  <si>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</si>
  <si>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</si>
  <si>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</si>
  <si>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</si>
  <si>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</si>
  <si>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</si>
  <si>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</si>
  <si>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</si>
  <si>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</si>
  <si>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</si>
  <si>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</si>
  <si>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</si>
  <si>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</si>
  <si>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</si>
  <si>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</si>
  <si>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</si>
  <si>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</si>
  <si>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</si>
  <si>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</si>
  <si>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</si>
  <si>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</si>
  <si>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</si>
  <si>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</si>
  <si>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</si>
  <si>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</si>
  <si>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</si>
  <si>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</si>
  <si>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</si>
  <si>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</si>
  <si>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</si>
  <si>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</si>
  <si>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</si>
  <si>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</si>
  <si>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</si>
  <si>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</si>
  <si>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</si>
  <si>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</si>
  <si>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</si>
  <si>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</si>
  <si>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</si>
  <si>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</si>
  <si>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</si>
  <si>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</si>
  <si>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</si>
  <si>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</si>
  <si>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</si>
  <si>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</si>
  <si>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</si>
  <si>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</si>
  <si>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</si>
  <si>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</si>
  <si>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</si>
  <si>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</si>
  <si>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</si>
  <si>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</si>
  <si>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</si>
  <si>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</si>
  <si>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</si>
  <si>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</si>
  <si>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</si>
  <si>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</si>
  <si>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</si>
  <si>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прочие</t>
  </si>
  <si>
    <t>30.06.2024</t>
  </si>
  <si>
    <t>население</t>
  </si>
  <si>
    <t>01.07.2024</t>
  </si>
  <si>
    <t>31.12.2024</t>
  </si>
  <si>
    <t>01.01.2025</t>
  </si>
  <si>
    <t>30.06.2025</t>
  </si>
  <si>
    <t>01.07.2025</t>
  </si>
  <si>
    <t>31.12.2025</t>
  </si>
  <si>
    <t>01.01.2026</t>
  </si>
  <si>
    <t>31.12.2026</t>
  </si>
  <si>
    <t>01.01.2027</t>
  </si>
  <si>
    <t>30.06.2027</t>
  </si>
  <si>
    <t>01.07.2027</t>
  </si>
  <si>
    <t>31.12.2027</t>
  </si>
  <si>
    <t>01.01.2028</t>
  </si>
  <si>
    <t>30.06.2028</t>
  </si>
  <si>
    <t>01.07.2028</t>
  </si>
  <si>
    <t>31.12.2028</t>
  </si>
  <si>
    <t>01.01.2029</t>
  </si>
  <si>
    <t>30.06.2029</t>
  </si>
  <si>
    <t>01.07.2029</t>
  </si>
  <si>
    <t>30.06.2026</t>
  </si>
  <si>
    <t>01.07.2026</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</si>
  <si>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</si>
  <si>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</si>
  <si>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</si>
  <si>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</si>
  <si>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</si>
  <si>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</si>
  <si>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</si>
  <si>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</si>
  <si>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</si>
  <si>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</si>
  <si>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</si>
  <si>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</si>
  <si>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</si>
  <si>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</si>
  <si>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</si>
  <si>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</si>
  <si>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</si>
  <si>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</si>
  <si>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</si>
  <si>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</si>
  <si>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</si>
  <si>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</si>
  <si>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</si>
  <si>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</si>
  <si>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</si>
  <si>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</si>
  <si>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</si>
  <si>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</si>
  <si>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</si>
  <si>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</si>
  <si>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</si>
  <si>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</si>
  <si>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</si>
  <si>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</si>
  <si>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</si>
  <si>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</si>
  <si>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</si>
  <si>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</si>
  <si>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</si>
  <si>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</si>
  <si>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</si>
  <si>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</si>
  <si>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</si>
  <si>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</si>
  <si>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</si>
  <si>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</si>
  <si>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</si>
  <si>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</si>
  <si>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</si>
  <si>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</si>
  <si>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</si>
  <si>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</si>
  <si>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</si>
  <si>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</si>
  <si>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</si>
  <si>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</si>
  <si>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</si>
  <si>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</si>
  <si>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</si>
  <si>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</si>
  <si>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</si>
  <si>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</si>
  <si>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</si>
  <si>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</si>
  <si>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</si>
  <si>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</si>
  <si>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</si>
  <si>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</si>
  <si>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</si>
  <si>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</si>
  <si>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</si>
  <si>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</si>
  <si>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</si>
  <si>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</si>
  <si>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</si>
  <si>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</si>
  <si>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</si>
  <si>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</si>
  <si>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</si>
  <si>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</si>
  <si>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</si>
  <si>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</si>
  <si>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</si>
  <si>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</si>
  <si>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</si>
  <si>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</si>
  <si>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</si>
  <si>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</si>
  <si>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</si>
  <si>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</si>
  <si>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</si>
  <si>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</si>
  <si>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</si>
  <si>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</si>
  <si>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</si>
  <si>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</si>
  <si>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</si>
  <si>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</si>
  <si>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</si>
  <si>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</si>
  <si>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</si>
  <si>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</si>
  <si>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</si>
  <si>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</si>
  <si>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</si>
  <si>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</si>
  <si>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</si>
  <si>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</si>
  <si>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</si>
  <si>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</si>
  <si>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</si>
  <si>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</si>
  <si>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</si>
  <si>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</si>
  <si>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</si>
  <si>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</si>
  <si>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</si>
  <si>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</si>
  <si>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</si>
  <si>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</si>
  <si>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</si>
  <si>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</si>
  <si>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</si>
  <si>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</si>
  <si>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</si>
  <si>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</si>
  <si>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</si>
  <si>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</si>
  <si>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</si>
  <si>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</si>
  <si>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</si>
  <si>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</si>
  <si>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</si>
  <si>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</si>
  <si>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</si>
  <si>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</si>
  <si>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</si>
  <si>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</si>
  <si>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</si>
  <si>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</si>
  <si>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</si>
  <si>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</si>
  <si>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</si>
  <si>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</si>
  <si>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</si>
  <si>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</si>
  <si>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</si>
  <si>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</si>
  <si>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</si>
  <si>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</si>
  <si>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</si>
  <si>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</si>
  <si>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</si>
  <si>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</si>
  <si>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</si>
  <si>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</si>
  <si>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</si>
  <si>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</si>
  <si>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</si>
  <si>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</si>
  <si>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</si>
  <si>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</si>
  <si>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</si>
  <si>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</si>
  <si>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</si>
  <si>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</si>
  <si>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</si>
  <si>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</si>
  <si>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</si>
  <si>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</si>
  <si>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</si>
  <si>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</si>
  <si>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</si>
  <si>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</si>
  <si>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</si>
  <si>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</si>
  <si>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</si>
  <si>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</si>
  <si>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</si>
  <si>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</si>
  <si>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</si>
  <si>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</si>
  <si>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</si>
  <si>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</si>
  <si>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</si>
  <si>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</si>
  <si>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</si>
  <si>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</si>
  <si>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</si>
  <si>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</si>
  <si>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</si>
  <si>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</si>
  <si>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</si>
  <si>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</si>
  <si>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</si>
  <si>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</si>
  <si>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</si>
  <si>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</si>
  <si>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</si>
  <si>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</si>
  <si>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</si>
  <si>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</si>
  <si>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</si>
  <si>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</si>
  <si>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</si>
  <si>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</si>
  <si>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</si>
  <si>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</si>
  <si>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</si>
  <si>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</si>
  <si>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</si>
  <si>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</si>
  <si>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</si>
  <si>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</si>
  <si>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</si>
  <si>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</si>
  <si>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</si>
  <si>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</si>
  <si>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</si>
  <si>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</si>
  <si>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</si>
  <si>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</si>
  <si>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</si>
  <si>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</si>
  <si>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</si>
  <si>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</si>
  <si>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</si>
  <si>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</si>
  <si>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</si>
  <si>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</si>
  <si>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</si>
  <si>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</si>
  <si>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</si>
  <si>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</si>
  <si>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</si>
  <si>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</si>
  <si>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</si>
  <si>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</si>
  <si>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</si>
  <si>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</si>
  <si>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</si>
  <si>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</si>
  <si>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</si>
  <si>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</si>
  <si>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</si>
  <si>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</si>
  <si>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</si>
  <si>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</si>
  <si>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</si>
  <si>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</si>
  <si>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</si>
  <si>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</si>
  <si>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</si>
  <si>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</si>
  <si>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</si>
  <si>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</si>
  <si>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</si>
  <si>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</si>
  <si>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</si>
  <si>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</si>
  <si>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</si>
  <si>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</si>
  <si>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</si>
  <si>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</si>
  <si>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</si>
  <si>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</si>
  <si>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</si>
  <si>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</si>
  <si>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</si>
  <si>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</si>
  <si>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</si>
  <si>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</si>
  <si>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</si>
  <si>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</si>
  <si>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</si>
  <si>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</si>
  <si>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</si>
  <si>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</si>
  <si>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</si>
  <si>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</si>
  <si>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</si>
  <si>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</si>
  <si>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</si>
  <si>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</si>
  <si>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</si>
  <si>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</si>
  <si>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</si>
  <si>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</si>
  <si>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</si>
  <si>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</si>
  <si>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</si>
  <si>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</si>
  <si>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</si>
  <si>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</si>
  <si>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</si>
  <si>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</si>
  <si>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</si>
  <si>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</si>
  <si>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</si>
  <si>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</si>
  <si>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</si>
  <si>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</si>
  <si>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</si>
  <si>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</si>
  <si>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</si>
  <si>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</si>
  <si>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</si>
  <si>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</si>
  <si>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</si>
  <si>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</si>
  <si>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</si>
  <si>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</si>
  <si>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</si>
  <si>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</si>
  <si>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</si>
  <si>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</si>
  <si>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</si>
  <si>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</si>
  <si>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</si>
  <si>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</si>
  <si>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</si>
  <si>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</si>
  <si>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</si>
  <si>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</si>
  <si>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</si>
  <si>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</si>
  <si>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</si>
  <si>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</si>
  <si>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</si>
  <si>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</si>
  <si>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</si>
  <si>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</si>
  <si>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</si>
  <si>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</si>
  <si>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</si>
  <si>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</si>
  <si>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</si>
  <si>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</si>
  <si>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</si>
  <si>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</si>
  <si>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</si>
  <si>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</si>
  <si>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</si>
  <si>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</si>
  <si>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</si>
  <si>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</si>
  <si>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</si>
  <si>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</si>
  <si>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</si>
  <si>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</si>
  <si>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</si>
  <si>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</si>
  <si>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</si>
  <si>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</si>
  <si>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</si>
  <si>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</si>
  <si>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</si>
  <si>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</si>
  <si>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</si>
  <si>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</si>
  <si>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</si>
  <si>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</si>
  <si>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</si>
  <si>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</si>
  <si>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</si>
  <si>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</si>
  <si>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</si>
  <si>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</si>
  <si>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</si>
  <si>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</si>
  <si>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</si>
  <si>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</si>
  <si>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</si>
  <si>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</si>
  <si>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</si>
  <si>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</si>
  <si>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</si>
  <si>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</si>
  <si>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</si>
  <si>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</si>
  <si>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</si>
  <si>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</si>
  <si>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</si>
  <si>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</si>
  <si>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</si>
  <si>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</si>
  <si>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</si>
  <si>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</si>
  <si>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</si>
  <si>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</si>
  <si>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</si>
  <si>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</si>
  <si>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</si>
  <si>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</si>
  <si>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</si>
  <si>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</si>
  <si>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</si>
  <si>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</si>
  <si>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</si>
  <si>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</si>
  <si>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</si>
  <si>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</si>
  <si>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</si>
  <si>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</si>
  <si>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</si>
  <si>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</si>
  <si>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</si>
  <si>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</si>
  <si>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</si>
  <si>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</si>
  <si>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</si>
  <si>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</si>
  <si>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</si>
  <si>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</si>
  <si>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</si>
  <si>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</si>
  <si>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</si>
  <si>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</si>
  <si>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</si>
  <si>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</si>
  <si>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</si>
  <si>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</si>
  <si>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</si>
  <si>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</si>
  <si>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</si>
  <si>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</si>
  <si>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</si>
  <si>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</si>
  <si>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</si>
  <si>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</si>
  <si>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</si>
  <si>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</si>
  <si>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</si>
  <si>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</si>
  <si>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</si>
  <si>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</si>
  <si>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</si>
  <si>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</si>
  <si>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</si>
  <si>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</si>
  <si>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</si>
  <si>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</si>
  <si>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</si>
  <si>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</si>
  <si>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</si>
  <si>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</si>
  <si>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</si>
  <si>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</si>
  <si>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</si>
  <si>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</si>
  <si>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</si>
  <si>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</si>
  <si>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</si>
  <si>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</si>
  <si>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</si>
  <si>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</si>
  <si>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</si>
  <si>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</si>
  <si>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</si>
  <si>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</si>
  <si>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</si>
  <si>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</si>
  <si>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</si>
  <si>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</si>
  <si>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</si>
  <si>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</si>
  <si>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</si>
  <si>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</si>
  <si>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</si>
  <si>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</si>
  <si>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</si>
  <si>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</si>
  <si>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</si>
  <si>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</si>
  <si>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</si>
  <si>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</si>
  <si>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</si>
  <si>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</si>
  <si>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</si>
  <si>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</si>
  <si>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</si>
  <si>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</si>
  <si>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</si>
  <si>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</si>
  <si>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</si>
  <si>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</si>
  <si>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</si>
  <si>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</si>
  <si>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</si>
  <si>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</si>
  <si>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</si>
  <si>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</si>
  <si>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</si>
  <si>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</si>
  <si>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</si>
  <si>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</si>
  <si>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</si>
  <si>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</si>
  <si>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</si>
  <si>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</si>
  <si>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</si>
  <si>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</si>
  <si>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</si>
  <si>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</si>
  <si>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</si>
  <si>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</si>
  <si>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</si>
  <si>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</si>
  <si>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</si>
  <si>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</si>
  <si>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</si>
  <si>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</si>
  <si>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</si>
  <si>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</si>
  <si>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</si>
  <si>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</si>
  <si>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</si>
  <si>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</si>
  <si>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</si>
  <si>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</si>
  <si>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</si>
  <si>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</si>
  <si>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</si>
  <si>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</si>
  <si>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</si>
  <si>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</si>
  <si>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</si>
  <si>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</si>
  <si>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</si>
  <si>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</si>
  <si>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</si>
  <si>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</si>
  <si>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</si>
  <si>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</si>
  <si>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</si>
  <si>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</si>
  <si>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</si>
  <si>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</si>
  <si>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</si>
  <si>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</si>
  <si>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</si>
  <si>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</si>
  <si>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</si>
  <si>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</si>
  <si>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</si>
  <si>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</si>
  <si>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</si>
  <si>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</si>
  <si>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</si>
  <si>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</si>
  <si>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</si>
  <si>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</si>
  <si>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</si>
  <si>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</si>
  <si>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</si>
  <si>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</si>
  <si>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</si>
  <si>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</si>
  <si>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</si>
  <si>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</si>
  <si>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</si>
  <si>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</si>
  <si>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</si>
  <si>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</si>
  <si>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</si>
  <si>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</si>
  <si>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</si>
  <si>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</si>
  <si>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</si>
  <si>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</si>
  <si>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</si>
  <si>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</si>
  <si>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</si>
  <si>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</si>
  <si>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</si>
  <si>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</si>
  <si>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</si>
  <si>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</si>
  <si>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</si>
  <si>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</si>
  <si>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</si>
  <si>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</si>
  <si>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</si>
  <si>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</si>
  <si>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</si>
  <si>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</si>
  <si>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</si>
  <si>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</si>
  <si>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</si>
  <si>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</si>
  <si>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</si>
  <si>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</si>
  <si>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</si>
  <si>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</si>
  <si>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</si>
  <si>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</si>
  <si>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</si>
  <si>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</si>
  <si>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</si>
  <si>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</si>
  <si>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</si>
  <si>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</si>
  <si>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</si>
  <si>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</si>
  <si>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</si>
  <si>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</si>
  <si>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</si>
  <si>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</si>
  <si>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</si>
  <si>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</si>
  <si>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</si>
  <si>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</si>
  <si>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</si>
  <si>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</si>
  <si>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</si>
  <si>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</si>
  <si>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</si>
  <si>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</si>
  <si>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</si>
  <si>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</si>
  <si>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</si>
  <si>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</si>
  <si>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</si>
  <si>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</si>
  <si>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</si>
  <si>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</si>
  <si>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</si>
  <si>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</si>
  <si>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</si>
  <si>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</si>
  <si>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</si>
  <si>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</si>
  <si>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</si>
  <si>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</si>
  <si>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</si>
  <si>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</si>
  <si>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</si>
  <si>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</si>
  <si>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</si>
  <si>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</si>
  <si>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</si>
  <si>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</si>
  <si>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</si>
  <si>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</si>
  <si>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</si>
  <si>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</si>
  <si>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</si>
  <si>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</si>
  <si>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</si>
  <si>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</si>
  <si>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</si>
  <si>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</si>
  <si>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</si>
  <si>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</si>
  <si>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</si>
  <si>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</si>
  <si>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</si>
  <si>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</si>
  <si>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</si>
  <si>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</si>
  <si>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</si>
  <si>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</si>
  <si>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</si>
  <si>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</si>
  <si>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</si>
  <si>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</si>
  <si>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</si>
  <si>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</si>
  <si>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</si>
  <si>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</si>
  <si>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</si>
  <si>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</si>
  <si>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</si>
  <si>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</si>
  <si>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</si>
  <si>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</si>
  <si>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</si>
  <si>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</si>
  <si>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</si>
  <si>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</si>
  <si>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</si>
  <si>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</si>
  <si>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</si>
  <si>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</si>
  <si>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</si>
  <si>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</si>
  <si>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</si>
  <si>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</si>
  <si>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</si>
  <si>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</si>
  <si>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</si>
  <si>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</si>
  <si>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</si>
  <si>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</si>
  <si>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</si>
  <si>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</si>
  <si>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</si>
  <si>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</si>
  <si>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</si>
  <si>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</si>
  <si>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</si>
  <si>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</si>
  <si>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</si>
  <si>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</si>
  <si>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</si>
  <si>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</si>
  <si>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</si>
  <si>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</si>
  <si>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</si>
  <si>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</si>
  <si>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</si>
  <si>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</si>
  <si>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</si>
  <si>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</si>
  <si>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</si>
  <si>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</si>
  <si>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</si>
  <si>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</si>
  <si>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</si>
  <si>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</si>
  <si>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</si>
  <si>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</si>
  <si>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</si>
  <si>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</si>
  <si>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</si>
  <si>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</si>
  <si>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</si>
  <si>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</si>
  <si>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</si>
  <si>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</si>
  <si>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</si>
  <si>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</si>
  <si>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</si>
  <si>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</si>
  <si>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</si>
  <si>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</si>
  <si>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</si>
  <si>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</si>
  <si>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</si>
  <si>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</si>
  <si>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</si>
  <si>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</si>
  <si>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</si>
  <si>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</si>
  <si>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</si>
  <si>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</si>
  <si>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</si>
  <si>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</si>
  <si>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</si>
  <si>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</si>
  <si>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</si>
  <si>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</si>
  <si>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</si>
  <si>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</si>
  <si>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</si>
  <si>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</si>
  <si>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</si>
  <si>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</si>
  <si>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</si>
  <si>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</si>
  <si>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</si>
  <si>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</si>
  <si>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</si>
  <si>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</si>
  <si>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</si>
  <si>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</si>
  <si>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</si>
  <si>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</si>
  <si>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</si>
  <si>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</si>
  <si>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</si>
  <si>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</si>
  <si>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</si>
  <si>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</si>
  <si>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</si>
  <si>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</si>
  <si>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</si>
  <si>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</si>
  <si>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</si>
  <si>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</si>
  <si>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</si>
  <si>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</si>
  <si>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</si>
  <si>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</si>
  <si>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</si>
  <si>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</si>
  <si>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</si>
  <si>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</si>
  <si>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</si>
  <si>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</si>
  <si>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</si>
  <si>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</si>
  <si>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</si>
  <si>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</si>
  <si>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</si>
  <si>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</si>
  <si>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</si>
  <si>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</si>
  <si>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</si>
  <si>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</si>
  <si>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</si>
  <si>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</si>
  <si>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</si>
  <si>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</si>
  <si>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</si>
  <si>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</si>
  <si>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</si>
  <si>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</si>
  <si>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</si>
  <si>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</si>
  <si>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</si>
  <si>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</si>
  <si>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</si>
  <si>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</si>
  <si>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</si>
  <si>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</si>
  <si>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</si>
  <si>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</si>
  <si>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</si>
  <si>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</si>
  <si>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</si>
  <si>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</si>
  <si>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</si>
  <si>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</si>
  <si>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</si>
  <si>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</si>
  <si>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</si>
  <si>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</si>
  <si>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</si>
  <si>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</si>
  <si>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</si>
  <si>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</si>
  <si>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</si>
  <si>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</si>
  <si>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</si>
  <si>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</si>
  <si>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</si>
  <si>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</si>
  <si>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</si>
  <si>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</si>
  <si>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</si>
  <si>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</si>
  <si>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</si>
  <si>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</si>
  <si>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</si>
  <si>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</si>
  <si>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</si>
  <si>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</si>
  <si>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</si>
  <si>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</si>
  <si>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</si>
  <si>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</si>
  <si>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</si>
  <si>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</si>
  <si>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</si>
  <si>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</si>
  <si>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</si>
  <si>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</si>
  <si>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</si>
  <si>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</si>
  <si>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</si>
  <si>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</si>
  <si>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</si>
  <si>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</si>
  <si>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</si>
  <si>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</si>
  <si>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</si>
  <si>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</si>
  <si>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</si>
  <si>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</si>
  <si>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</si>
  <si>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</si>
  <si>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</si>
  <si>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</si>
  <si>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</si>
  <si>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</si>
  <si>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</si>
  <si>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</si>
  <si>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</si>
  <si>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</si>
  <si>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</si>
  <si>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</si>
  <si>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</si>
  <si>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</si>
  <si>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</si>
  <si>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</si>
  <si>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</si>
  <si>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</si>
  <si>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</si>
  <si>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</si>
  <si>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</si>
  <si>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</si>
  <si>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</si>
  <si>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</si>
  <si>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</si>
  <si>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</si>
  <si>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</si>
  <si>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</si>
  <si>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</si>
  <si>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</si>
  <si>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</si>
  <si>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</si>
  <si>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</si>
  <si>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</si>
  <si>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</si>
  <si>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</si>
  <si>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</si>
  <si>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</si>
  <si>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</si>
  <si>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</si>
  <si>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</si>
  <si>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</si>
  <si>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</si>
  <si>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</si>
  <si>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</si>
  <si>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</si>
  <si>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</si>
  <si>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</si>
  <si>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</si>
  <si>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</si>
  <si>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</si>
  <si>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</si>
  <si>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</si>
  <si>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</si>
  <si>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</si>
  <si>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</si>
  <si>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</si>
  <si>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</si>
  <si>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</si>
  <si>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</si>
  <si>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</si>
  <si>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</si>
  <si>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</si>
  <si>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</si>
  <si>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</si>
  <si>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</si>
  <si>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</si>
  <si>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</si>
  <si>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</si>
  <si>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</si>
  <si>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</si>
  <si>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</si>
  <si>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</si>
  <si>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</si>
  <si>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</si>
  <si>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</si>
  <si>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</si>
  <si>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</si>
  <si>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</si>
  <si>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</si>
  <si>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</si>
  <si>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</si>
  <si>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</si>
  <si>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</si>
  <si>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</si>
  <si>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</si>
  <si>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</si>
  <si>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</si>
  <si>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</si>
  <si>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</si>
  <si>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</si>
  <si>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</si>
  <si>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</si>
  <si>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</si>
  <si>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</si>
  <si>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</si>
  <si>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</si>
  <si>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</si>
  <si>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</si>
  <si>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</si>
  <si>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</si>
  <si>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</si>
  <si>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</si>
  <si>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</si>
  <si>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</si>
  <si>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</si>
  <si>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</si>
  <si>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</si>
  <si>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</si>
  <si>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</si>
  <si>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</si>
  <si>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</si>
  <si>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</si>
  <si>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</si>
  <si>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</si>
  <si>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</si>
  <si>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</si>
  <si>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</si>
  <si>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</si>
  <si>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</si>
  <si>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</si>
  <si>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</si>
  <si>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</si>
  <si>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</si>
  <si>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</si>
  <si>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</si>
  <si>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</si>
  <si>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</si>
  <si>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</si>
  <si>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</si>
  <si>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</si>
  <si>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</si>
  <si>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</si>
  <si>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</si>
  <si>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</si>
  <si>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</si>
  <si>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</si>
  <si>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</si>
  <si>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</si>
  <si>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</si>
  <si>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</si>
  <si>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</si>
  <si>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</si>
  <si>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</si>
  <si>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</si>
  <si>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</si>
  <si>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</si>
  <si>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</si>
  <si>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</si>
  <si>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</si>
  <si>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</si>
  <si>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</si>
  <si>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</si>
  <si>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</si>
  <si>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</si>
  <si>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</si>
  <si>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</si>
  <si>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</si>
  <si>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</si>
  <si>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</si>
  <si>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</si>
  <si>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</si>
  <si>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</si>
  <si>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</si>
  <si>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</si>
  <si>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</si>
  <si>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</si>
  <si>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</si>
  <si>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</si>
  <si>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</si>
  <si>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</si>
  <si>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</si>
  <si>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</si>
  <si>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</si>
  <si>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</si>
  <si>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</si>
  <si>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</si>
  <si>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</si>
  <si>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</si>
  <si>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</si>
  <si>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</si>
  <si>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</si>
  <si>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</si>
  <si>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</si>
  <si>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</si>
  <si>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</si>
  <si>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</si>
  <si>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</si>
  <si>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</si>
  <si>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</si>
  <si>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</si>
  <si>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</si>
  <si>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</si>
  <si>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</si>
  <si>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</si>
  <si>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</si>
  <si>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</si>
  <si>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</si>
  <si>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</si>
  <si>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</si>
  <si>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</si>
  <si>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</si>
  <si>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</si>
  <si>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</si>
  <si>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</si>
  <si>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</si>
  <si>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</si>
  <si>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</si>
  <si>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</si>
  <si>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</si>
  <si>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</si>
  <si>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</si>
  <si>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</si>
  <si>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</si>
  <si>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</si>
  <si>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</si>
  <si>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</si>
  <si>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</si>
  <si>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</si>
  <si>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</si>
  <si>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</si>
  <si>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</si>
  <si>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</si>
  <si>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</si>
  <si>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</si>
  <si>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</si>
  <si>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</si>
  <si>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</si>
  <si>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</si>
  <si>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</si>
  <si>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</si>
  <si>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</si>
  <si>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</si>
  <si>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</si>
  <si>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</si>
  <si>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</si>
  <si>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</si>
  <si>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</si>
  <si>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</si>
  <si>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</si>
  <si>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</si>
  <si>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</si>
  <si>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</si>
  <si>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</si>
  <si>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</si>
  <si>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</si>
  <si>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</si>
  <si>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</si>
  <si>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</si>
  <si>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</si>
  <si>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</si>
  <si>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</si>
  <si>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</si>
  <si>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</si>
  <si>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</si>
  <si>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</si>
  <si>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</si>
  <si>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</si>
  <si>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</si>
  <si>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</si>
  <si>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</si>
  <si>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</si>
  <si>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</si>
  <si>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</si>
  <si>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</si>
  <si>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</si>
  <si>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</si>
  <si>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</si>
  <si>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</si>
  <si>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</si>
  <si>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</si>
  <si>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</si>
  <si>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</si>
  <si>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</si>
  <si>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</si>
  <si>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</si>
  <si>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</si>
  <si>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</si>
  <si>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</si>
  <si>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</si>
  <si>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</si>
  <si>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</si>
  <si>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</si>
  <si>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</si>
  <si>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</si>
  <si>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</si>
  <si>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</si>
  <si>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</si>
  <si>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</si>
  <si>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</si>
  <si>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</si>
  <si>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</si>
  <si>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</si>
  <si>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</si>
  <si>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</si>
  <si>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</si>
  <si>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</si>
  <si>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</si>
  <si>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</si>
  <si>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</si>
  <si>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</si>
  <si>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</si>
  <si>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</si>
  <si>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</si>
  <si>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</si>
  <si>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</si>
  <si>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</si>
  <si>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</si>
  <si>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</si>
  <si>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</si>
  <si>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</si>
  <si>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</si>
  <si>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</si>
  <si>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</si>
  <si>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</si>
  <si>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</si>
  <si>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</si>
  <si>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</si>
  <si>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</si>
  <si>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</si>
  <si>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</si>
  <si>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</si>
  <si>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</si>
  <si>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</si>
  <si>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</si>
  <si>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</si>
  <si>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</si>
  <si>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</si>
  <si>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</si>
  <si>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</si>
  <si>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</si>
  <si>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</si>
  <si>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</si>
  <si>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</si>
  <si>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</si>
  <si>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</si>
  <si>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</si>
  <si>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</si>
  <si>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</si>
  <si>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</si>
  <si>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</si>
  <si>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</si>
  <si>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</si>
  <si>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</si>
  <si>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</si>
  <si>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</si>
  <si>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</si>
  <si>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</si>
  <si>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</si>
  <si>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</si>
  <si>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</si>
  <si>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</si>
  <si>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</si>
  <si>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</si>
  <si>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</si>
  <si>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</si>
  <si>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</si>
  <si>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</si>
  <si>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</si>
  <si>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</si>
  <si>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</si>
  <si>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</si>
  <si>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</si>
  <si>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</si>
  <si>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</si>
  <si>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</si>
  <si>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</si>
  <si>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</si>
  <si>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</si>
  <si>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</si>
  <si>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</si>
  <si>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</si>
  <si>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</si>
  <si>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</si>
  <si>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</si>
  <si>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</si>
  <si>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</si>
  <si>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</si>
  <si>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</si>
  <si>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</si>
  <si>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</si>
  <si>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</si>
  <si>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</si>
  <si>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</si>
  <si>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</si>
  <si>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</si>
  <si>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</si>
  <si>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</si>
  <si>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</si>
  <si>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</si>
  <si>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</si>
  <si>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</si>
  <si>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</si>
  <si>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</si>
  <si>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</si>
  <si>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</si>
  <si>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</si>
  <si>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</si>
  <si>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</si>
  <si>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</si>
  <si>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</si>
  <si>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</si>
  <si>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</si>
  <si>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</si>
  <si>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</si>
  <si>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</si>
  <si>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</si>
  <si>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</si>
  <si>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</si>
  <si>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</si>
  <si>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</si>
  <si>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</si>
  <si>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</si>
  <si>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</si>
  <si>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</si>
  <si>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</si>
  <si>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</si>
  <si>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</si>
  <si>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</si>
  <si>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</si>
  <si>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</si>
  <si>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</si>
  <si>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</si>
  <si>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</si>
  <si>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</si>
  <si>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</si>
  <si>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</si>
  <si>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</si>
  <si>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</si>
  <si>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</si>
  <si>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</si>
  <si>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</si>
  <si>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</si>
  <si>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</si>
  <si>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</si>
  <si>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</si>
  <si>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</si>
  <si>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</si>
  <si>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</si>
  <si>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</si>
  <si>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</si>
  <si>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</si>
  <si>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</si>
  <si>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</si>
  <si>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</si>
  <si>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</si>
  <si>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</si>
  <si>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</si>
  <si>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</si>
  <si>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</si>
  <si>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</si>
  <si>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</si>
  <si>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</si>
  <si>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</si>
  <si>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</si>
  <si>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</si>
  <si>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</si>
  <si>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</si>
  <si>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</si>
  <si>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</si>
  <si>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</si>
  <si>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</si>
  <si>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</si>
  <si>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</si>
  <si>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</si>
  <si>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</si>
  <si>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</si>
  <si>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</si>
  <si>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</si>
  <si>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Пересмотр тарифов на период 2025-2029 гг.</t>
  </si>
  <si>
    <t>Внесение изменений на основании постановления №57 от 07.05.2025</t>
  </si>
  <si>
    <t>Постановление от 19.12.2025 № 397 О внесении изменений в постановление Министерства жилищно-коммунального хозяйства, энергетики и тарифной политики Смоленской области от 20.12.2023 №345</t>
  </si>
  <si>
    <t>Постановление от 19.12.2025 № 398 О внесении изменений в постановление Министерства жилищно-коммунального хозяйства, энергетики и тарифной политики Смоленской области от 20.12.2023 № 404</t>
  </si>
  <si>
    <t>Постановление от 19.12.2025 № 399 Об установлении тарифов на горячую воду с использованием  закрытой и открытой систем горячего водоснабжения ООО "Смоленскрегионтеплоэнерго" (для потребителей г. Дорогобуж и пгт. Верхнеднепровский Дорогобужского муниципального округа Смоленской области)</t>
  </si>
  <si>
    <t>Постановление от 19.12.2025 № 400 Об установлении тарифов на горячую воду с использованием  закрытой системы горячего водоснабжения ООО "Смоленскрегионтеплоэнерго" (для котельной, расположенной по адресу:дер. Кощино Смоленского муниципального округа)</t>
  </si>
  <si>
    <t>Постановление от 19.12.2025 № 401 Об установлении тарифов на горячую воду с использованием  закрытой системы горячего водоснабжения ООО "Смоленскрегионтеплоэнерго" на 2026 год</t>
  </si>
  <si>
    <t>Постановление от 16.03.2026 № 24 Об установлении тарифов на горячую воду с использованием  закрытой системы горячего водоснабжения ООО "Смоленскрегионтеплоэнерго"  (для котельных, права владения и использования по которым переданы по концессионному соглашению в отношении объектов теплоснабжения Шумячского муниципального округа Смоленской области)</t>
  </si>
  <si>
    <t xml:space="preserve">Постановление от 20.03.2026 № 30 Об установлении тарифов на горячую воду с использованием  закрытой системы горячего водоснабжения ООО "Смоленскрегионтеплоэнерго"  (для котельной №3, расположенной по адресу: пгт Шумячи, ул. Санаторная школа, д.1) </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</si>
  <si>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</si>
  <si>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</si>
  <si>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</si>
  <si>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Постановление № 88 от 04.07.2025 Об установление тарифов на горячую воду с использованием закрытой системы водоснабжения  ООО "Смоленскрегионтеплоэнерго" (для  котельной , расположенной по адресу: дер. Кощино Смоленского муниципального округа Смоленской области)</t>
  </si>
  <si>
    <t>Постановление № 157 от 16.10.2025 Об установление тарифов на горячую воду с использованием закрытой системы водоснабжения  ООО "Смоленскрегионтеплоэнерго" (для  потребителей г. Дорогобуж и пгт. Верхнеднепровский Дорогобужского  муниципального округа Смоленской области)</t>
  </si>
  <si>
    <t>Постановление № 158 от 16.10.2025 Об установление тарифов на горячую воду с использованием закрытой системы водоснабжения  ООО "Смоленскрегионтеплоэнерго" (для  потребителей дер. Гусино Краснинского муниципального округа Смоленской области)</t>
  </si>
  <si>
    <t>Постановление № 165 от 22.10.2025 Об установление тарифов на горячую воду с использованием закрытой системы водоснабжения  ООО "Смоленскрегионтеплоэнерго" (для  котельных, расположенных по адресу: с. Первомайский Шумячского муниципального округа Смоленской области)</t>
  </si>
  <si>
    <t>Постановление от 23.10.2025 № 172 О внесении изменений в постановление Министерства жилищно-коммунального хозяйства, энергетики и тарифной политики Смоленской области от 20.12.2023 №345</t>
  </si>
  <si>
    <t>Постановление от 30.10.2025 № 177 О внесении изменений в постановление Министерства жилищно-коммунального хозяйства, энергетики и тарифной политики Смоленской области от 20.12.2023 №345</t>
  </si>
  <si>
    <t>Постановление от 26.11.2025 № 208  Об установление тарифов на горячую воду с использованием закрытой системы водоснабжения  ООО "Смоленскрегионтеплоэнерго" (для  потребителей с. Вязьма-Брянская Вяземского муниципального округа Смоленской области)</t>
  </si>
  <si>
    <t>Постановление от 22.01.2026 № 3 О внесении изменений в некоторые правовые акты Министерства жилищно-коммунального хозяйства, энергетики и тарифной политики Смоленской области</t>
  </si>
  <si>
    <t>Постановление от 17.02.2026 № 13 О внесении изменений в постановление Министерства жилищно - коммунального хозяйства, энергетики, энергоэффективности и тарифной политики Смоленской области от 20.12.2024 № 404</t>
  </si>
  <si>
    <t>Постановление от 17.02.2026 № 14 О внесении изменений в постановление Министерства жилищно - коммунального хозяйства, энергетики, энергоэффективности и тарифной политики Смоленской области от 19.12.2025 № 400</t>
  </si>
  <si>
    <t>Постановление от 16.06.2026 № 53 О внесении изменений в постановление Министерства жилищно-коммунального хозяйства, энергетики и тарифной политики Смоленской области от 20.12.2024 № 404</t>
  </si>
  <si>
    <t>Постановление от 16.06.2026 № 54 О внесении изменений в постановление Министерства жилищно-коммунального хозяйства, энергетики и тарифной политики Смоленской области от 19.12.2025 № 400</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</si>
  <si>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</si>
  <si>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</si>
  <si>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</si>
  <si>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</si>
  <si>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</si>
  <si>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</si>
  <si>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</si>
  <si>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</si>
  <si>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</si>
  <si>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</si>
  <si>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</si>
  <si>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</si>
  <si>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</si>
  <si>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</si>
  <si>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</si>
  <si>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</si>
  <si>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</si>
  <si>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</si>
  <si>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</si>
  <si>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</si>
  <si>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</si>
  <si>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</si>
  <si>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</si>
  <si>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</si>
  <si>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</si>
  <si>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</si>
  <si>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</si>
  <si>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</si>
  <si>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</si>
  <si>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</si>
  <si>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</si>
  <si>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</si>
  <si>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</si>
  <si>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</si>
  <si>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</si>
  <si>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</si>
  <si>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</si>
  <si>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</si>
  <si>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</si>
  <si>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</si>
  <si>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</si>
  <si>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</si>
  <si>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</si>
  <si>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</si>
  <si>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</si>
  <si>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</si>
  <si>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</si>
  <si>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</si>
  <si>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</si>
  <si>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</si>
  <si>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</si>
  <si>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</si>
  <si>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</si>
  <si>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</si>
  <si>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</si>
  <si>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</si>
  <si>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</si>
  <si>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</si>
  <si>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</si>
  <si>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</si>
  <si>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</si>
  <si>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</si>
  <si>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</si>
  <si>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</si>
  <si>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</si>
  <si>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</si>
  <si>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</si>
  <si>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</si>
  <si>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</si>
  <si>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</si>
  <si>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</si>
  <si>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</si>
  <si>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</si>
  <si>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</si>
  <si>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</si>
  <si>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</si>
  <si>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</si>
  <si>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</si>
  <si>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</si>
  <si>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</si>
  <si>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</si>
  <si>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</si>
  <si>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</si>
  <si>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</si>
  <si>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</si>
  <si>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</si>
  <si>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</si>
  <si>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</si>
  <si>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</si>
  <si>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</si>
  <si>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</si>
  <si>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</si>
  <si>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</si>
  <si>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</si>
  <si>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</si>
  <si>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</si>
  <si>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</si>
  <si>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</si>
  <si>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</si>
  <si>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</si>
  <si>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</si>
  <si>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</si>
  <si>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</si>
  <si>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</si>
  <si>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</si>
  <si>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</si>
  <si>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</si>
  <si>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</si>
  <si>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</si>
  <si>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</si>
  <si>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</si>
  <si>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</si>
  <si>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</si>
  <si>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</si>
  <si>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</si>
  <si>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</si>
  <si>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</si>
  <si>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</si>
  <si>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</si>
  <si>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</si>
  <si>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</si>
  <si>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</si>
  <si>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</si>
  <si>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</si>
  <si>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</si>
  <si>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</si>
  <si>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</si>
  <si>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</si>
  <si>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</si>
  <si>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</si>
  <si>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</si>
  <si>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</si>
  <si>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</si>
  <si>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</si>
  <si>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</si>
  <si>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</si>
  <si>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</si>
  <si>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</si>
  <si>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</si>
  <si>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</si>
  <si>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</si>
  <si>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</si>
  <si>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</si>
  <si>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</si>
  <si>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</si>
  <si>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</si>
  <si>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</si>
  <si>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</si>
  <si>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</si>
  <si>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</si>
  <si>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</si>
  <si>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</si>
  <si>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</si>
  <si>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</si>
  <si>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</si>
  <si>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</si>
  <si>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</si>
  <si>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</si>
  <si>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</si>
  <si>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</si>
  <si>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</si>
  <si>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</si>
  <si>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</si>
  <si>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</si>
  <si>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</si>
  <si>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</si>
  <si>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</si>
  <si>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</si>
  <si>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</si>
  <si>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</si>
  <si>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</si>
  <si>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</si>
  <si>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</si>
  <si>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</si>
  <si>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</si>
  <si>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</si>
  <si>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</si>
  <si>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</si>
  <si>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</si>
  <si>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</si>
  <si>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</si>
  <si>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</si>
  <si>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</si>
  <si>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</si>
  <si>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</si>
  <si>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</si>
  <si>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</si>
  <si>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</si>
  <si>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</si>
  <si>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</si>
  <si>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</si>
  <si>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</si>
  <si>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</si>
  <si>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</si>
  <si>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</si>
  <si>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</si>
  <si>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</si>
  <si>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</si>
  <si>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</si>
  <si>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</si>
  <si>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</si>
  <si>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</si>
  <si>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</si>
  <si>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</si>
  <si>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</si>
  <si>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</si>
  <si>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</si>
  <si>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</si>
  <si>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</si>
  <si>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</si>
  <si>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</si>
  <si>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</si>
  <si>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</si>
  <si>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</si>
  <si>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</si>
  <si>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</si>
  <si>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</si>
  <si>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</si>
  <si>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</si>
  <si>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</si>
  <si>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</si>
  <si>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</si>
  <si>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</si>
  <si>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</si>
  <si>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</si>
  <si>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</si>
  <si>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</si>
  <si>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</si>
  <si>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</si>
  <si>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</si>
  <si>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</si>
  <si>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</si>
  <si>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</si>
  <si>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</si>
  <si>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</si>
  <si>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</si>
  <si>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</si>
  <si>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</si>
  <si>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</si>
  <si>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</si>
  <si>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</si>
  <si>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</si>
  <si>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</si>
  <si>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</si>
  <si>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</si>
  <si>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</si>
  <si>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</si>
  <si>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</si>
  <si>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</si>
  <si>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</si>
  <si>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</si>
  <si>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</si>
  <si>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</si>
  <si>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</si>
  <si>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</si>
  <si>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</si>
  <si>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</si>
  <si>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</si>
  <si>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</si>
  <si>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</si>
  <si>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</si>
  <si>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</si>
  <si>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</si>
  <si>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</si>
  <si>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</si>
  <si>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</si>
  <si>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</si>
  <si>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</si>
  <si>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</si>
  <si>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</si>
  <si>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</si>
  <si>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</si>
  <si>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</si>
  <si>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</si>
  <si>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</si>
  <si>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</si>
  <si>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</si>
  <si>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</si>
  <si>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</si>
  <si>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</si>
  <si>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</si>
  <si>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</si>
  <si>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</si>
  <si>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</si>
  <si>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</si>
  <si>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</si>
  <si>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</si>
  <si>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</si>
  <si>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</si>
  <si>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</si>
  <si>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</si>
  <si>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</si>
  <si>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</si>
  <si>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</si>
  <si>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</si>
  <si>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</si>
  <si>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</si>
  <si>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</si>
  <si>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</si>
  <si>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</si>
  <si>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</si>
  <si>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</si>
  <si>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</si>
  <si>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</si>
  <si>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</si>
  <si>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</si>
  <si>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</si>
  <si>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</si>
  <si>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</si>
  <si>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</si>
  <si>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</si>
  <si>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</si>
  <si>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</si>
  <si>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</si>
  <si>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</si>
  <si>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</si>
  <si>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</si>
  <si>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</si>
  <si>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</si>
  <si>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</si>
  <si>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</si>
  <si>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</si>
  <si>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</si>
  <si>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</si>
  <si>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</si>
  <si>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</si>
  <si>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</si>
  <si>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</si>
  <si>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</si>
  <si>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</si>
  <si>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</si>
  <si>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</si>
  <si>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</si>
  <si>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</si>
  <si>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</si>
  <si>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</si>
  <si>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</si>
  <si>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</si>
  <si>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</si>
  <si>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</si>
  <si>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</si>
  <si>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</si>
  <si>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</si>
  <si>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</si>
  <si>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</si>
  <si>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</si>
  <si>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</si>
  <si>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2599</t>
  </si>
  <si>
    <t>30806679</t>
  </si>
  <si>
    <t>АО "ГУ ЖКХ"</t>
  </si>
  <si>
    <t>5116000922</t>
  </si>
  <si>
    <t>695245001</t>
  </si>
  <si>
    <t>30335229</t>
  </si>
  <si>
    <t>770401001</t>
  </si>
  <si>
    <t>26375055</t>
  </si>
  <si>
    <t>АО "Кардымовский молочноконсервный комбинат"</t>
  </si>
  <si>
    <t>6708000520</t>
  </si>
  <si>
    <t>670801001</t>
  </si>
  <si>
    <t>26381508</t>
  </si>
  <si>
    <t>АО "Мосводоканал"</t>
  </si>
  <si>
    <t>7701984274</t>
  </si>
  <si>
    <t>770101001</t>
  </si>
  <si>
    <t>28426863</t>
  </si>
  <si>
    <t>АО "ОВРК"</t>
  </si>
  <si>
    <t>7702718564</t>
  </si>
  <si>
    <t>770901001</t>
  </si>
  <si>
    <t>26375074</t>
  </si>
  <si>
    <t>АО "Олакс-Катынь"</t>
  </si>
  <si>
    <t>6714024061</t>
  </si>
  <si>
    <t>671401001</t>
  </si>
  <si>
    <t>26321985</t>
  </si>
  <si>
    <t>АО "Пирамида"</t>
  </si>
  <si>
    <t>6731009850</t>
  </si>
  <si>
    <t>26838066</t>
  </si>
  <si>
    <t>АО "РЭУ"</t>
  </si>
  <si>
    <t>7714783092</t>
  </si>
  <si>
    <t>26381270</t>
  </si>
  <si>
    <t>АО "Рославльский ВРЗ"</t>
  </si>
  <si>
    <t>6725012043</t>
  </si>
  <si>
    <t>672501001</t>
  </si>
  <si>
    <t>26375105</t>
  </si>
  <si>
    <t>АО "Смоленский ДОК"</t>
  </si>
  <si>
    <t>6729001349</t>
  </si>
  <si>
    <t>672901001</t>
  </si>
  <si>
    <t>26375106</t>
  </si>
  <si>
    <t>АО "Смоленский авиационный завод"</t>
  </si>
  <si>
    <t>6729001476</t>
  </si>
  <si>
    <t>672950001</t>
  </si>
  <si>
    <t>26360922</t>
  </si>
  <si>
    <t>АО ''МЗАТЭ-2'' филиал г. Вязьма</t>
  </si>
  <si>
    <t>7701105580</t>
  </si>
  <si>
    <t>31078976</t>
  </si>
  <si>
    <t>Войсковая часть 7459</t>
  </si>
  <si>
    <t>6730018361</t>
  </si>
  <si>
    <t>673001001</t>
  </si>
  <si>
    <t>11-04-2018 00:00:00</t>
  </si>
  <si>
    <t>26359846</t>
  </si>
  <si>
    <t>Вяземский завод железобетонных шпал - филиал ОАО "БетЭлТранс"</t>
  </si>
  <si>
    <t>7708669867</t>
  </si>
  <si>
    <t>672202001</t>
  </si>
  <si>
    <t>26359793</t>
  </si>
  <si>
    <t>ЗАО "Велижский леспромхоз"</t>
  </si>
  <si>
    <t>6701000810</t>
  </si>
  <si>
    <t>670101001</t>
  </si>
  <si>
    <t>26359854</t>
  </si>
  <si>
    <t>ЗАО "Гагаринконсервмолоко"</t>
  </si>
  <si>
    <t>6723000740</t>
  </si>
  <si>
    <t>672301001</t>
  </si>
  <si>
    <t>26836317</t>
  </si>
  <si>
    <t>ЗАО "Классен-РУС"</t>
  </si>
  <si>
    <t>7710241807</t>
  </si>
  <si>
    <t>771001001</t>
  </si>
  <si>
    <t>26359890</t>
  </si>
  <si>
    <t>ЗАО "Смоленская чулочная фабрика"</t>
  </si>
  <si>
    <t>6731008327</t>
  </si>
  <si>
    <t>27554214</t>
  </si>
  <si>
    <t>ЗАО трест "Смоленскагропромстрой"</t>
  </si>
  <si>
    <t>6731020250</t>
  </si>
  <si>
    <t>27793093</t>
  </si>
  <si>
    <t>ИП Граков А.А.</t>
  </si>
  <si>
    <t>672700060828</t>
  </si>
  <si>
    <t>27792951</t>
  </si>
  <si>
    <t>ИП Давудов Т.Д.</t>
  </si>
  <si>
    <t>672700004439</t>
  </si>
  <si>
    <t>27792962</t>
  </si>
  <si>
    <t>ИП Мягков С.А.</t>
  </si>
  <si>
    <t>672700070086</t>
  </si>
  <si>
    <t>27793105</t>
  </si>
  <si>
    <t>ИП Семенов И.Г.</t>
  </si>
  <si>
    <t>672700043999</t>
  </si>
  <si>
    <t>27793216</t>
  </si>
  <si>
    <t>ИП Семенова С.В.</t>
  </si>
  <si>
    <t>672701475737</t>
  </si>
  <si>
    <t>26359837</t>
  </si>
  <si>
    <t>МБОУ "Всходская СОШ имени М.В. Исаковского"</t>
  </si>
  <si>
    <t>6717002362</t>
  </si>
  <si>
    <t>671701001</t>
  </si>
  <si>
    <t>26359836</t>
  </si>
  <si>
    <t>МБОУ "Знаменская СОШ"</t>
  </si>
  <si>
    <t>6717002355</t>
  </si>
  <si>
    <t>26359801</t>
  </si>
  <si>
    <t>МБОУ Пржевальская СШ Демидовского района</t>
  </si>
  <si>
    <t>6703003172</t>
  </si>
  <si>
    <t>670301001</t>
  </si>
  <si>
    <t>31766667</t>
  </si>
  <si>
    <t>МБУ "Управление ДКХ Гагаринского района"</t>
  </si>
  <si>
    <t>6700021092</t>
  </si>
  <si>
    <t>670001001</t>
  </si>
  <si>
    <t>27-08-2024 00:00:00</t>
  </si>
  <si>
    <t>МИНИСТЕРСТВО ЖИЛИЩНО-КОММУНАЛЬНОГО ХОЗЯЙСТВА,ЭНЕРГЕТИКИ И ТАРИФНОЙ ПОЛИТИКИ СМОЛЕНСКОЙ ОБЛАСТИ</t>
  </si>
  <si>
    <t>6730029638</t>
  </si>
  <si>
    <t>26375064</t>
  </si>
  <si>
    <t>ММПКХ "Понизовское"</t>
  </si>
  <si>
    <t>6713000195</t>
  </si>
  <si>
    <t>671301001</t>
  </si>
  <si>
    <t>26359849</t>
  </si>
  <si>
    <t>МОУ "Семлевская средняя школа №1"</t>
  </si>
  <si>
    <t>6722012398</t>
  </si>
  <si>
    <t>672001001</t>
  </si>
  <si>
    <t>30948565</t>
  </si>
  <si>
    <t>МУП "Водоканал"</t>
  </si>
  <si>
    <t>6725031462</t>
  </si>
  <si>
    <t>26651857</t>
  </si>
  <si>
    <t>МУП "Горводоканал"</t>
  </si>
  <si>
    <t>6727016149</t>
  </si>
  <si>
    <t>672701001</t>
  </si>
  <si>
    <t>27572198</t>
  </si>
  <si>
    <t>МУП "Жилкомсервис"</t>
  </si>
  <si>
    <t>6712009692</t>
  </si>
  <si>
    <t>671201001</t>
  </si>
  <si>
    <t>26375084</t>
  </si>
  <si>
    <t>МУП "Игоревское коммунальное хозяйство"</t>
  </si>
  <si>
    <t>6719004157</t>
  </si>
  <si>
    <t>671901001</t>
  </si>
  <si>
    <t>26804289</t>
  </si>
  <si>
    <t>МУП "Источник"</t>
  </si>
  <si>
    <t>6712009484</t>
  </si>
  <si>
    <t>31357096</t>
  </si>
  <si>
    <t>МУП "Катынь"</t>
  </si>
  <si>
    <t>6714049612</t>
  </si>
  <si>
    <t>31471582</t>
  </si>
  <si>
    <t>МУП "Козино"</t>
  </si>
  <si>
    <t>6714050745</t>
  </si>
  <si>
    <t>671140100</t>
  </si>
  <si>
    <t>01-01-2021 00:00:00</t>
  </si>
  <si>
    <t>26359796</t>
  </si>
  <si>
    <t>МУП "Коммунальник"</t>
  </si>
  <si>
    <t>6701005400</t>
  </si>
  <si>
    <t>26375046</t>
  </si>
  <si>
    <t>6701005488</t>
  </si>
  <si>
    <t>26375087</t>
  </si>
  <si>
    <t>МУП "Коммунальщик"</t>
  </si>
  <si>
    <t>6720003292</t>
  </si>
  <si>
    <t>27-01-2025 00:00:00</t>
  </si>
  <si>
    <t>26375047</t>
  </si>
  <si>
    <t>6702002521</t>
  </si>
  <si>
    <t>670201001</t>
  </si>
  <si>
    <t>26375054</t>
  </si>
  <si>
    <t>6707003110</t>
  </si>
  <si>
    <t>670701001</t>
  </si>
  <si>
    <t>26375059</t>
  </si>
  <si>
    <t>6709004052</t>
  </si>
  <si>
    <t>670901001</t>
  </si>
  <si>
    <t>26375083</t>
  </si>
  <si>
    <t>6719004140</t>
  </si>
  <si>
    <t>26450466</t>
  </si>
  <si>
    <t>МУП "Коммунресурс"</t>
  </si>
  <si>
    <t>6701005745</t>
  </si>
  <si>
    <t>31657365</t>
  </si>
  <si>
    <t>МУП "Кощинское"</t>
  </si>
  <si>
    <t>6714053337</t>
  </si>
  <si>
    <t>30955537</t>
  </si>
  <si>
    <t>МУП "МКС"</t>
  </si>
  <si>
    <t>6725031448</t>
  </si>
  <si>
    <t>31357084</t>
  </si>
  <si>
    <t>МУП "Печерские коммунальные системы"</t>
  </si>
  <si>
    <t>6714049429</t>
  </si>
  <si>
    <t>01-10-2019 00:00:00</t>
  </si>
  <si>
    <t>26375065</t>
  </si>
  <si>
    <t>МУП "Руднятеплоэнерго"</t>
  </si>
  <si>
    <t>6713006253</t>
  </si>
  <si>
    <t>26359886</t>
  </si>
  <si>
    <t>МУП "Смоленсктеплосеть"</t>
  </si>
  <si>
    <t>6730020716</t>
  </si>
  <si>
    <t>31462937</t>
  </si>
  <si>
    <t>МУП "Сычевское управление ЖКХ"</t>
  </si>
  <si>
    <t>6722035839</t>
  </si>
  <si>
    <t>672201001</t>
  </si>
  <si>
    <t>30933754</t>
  </si>
  <si>
    <t>МУП "ТЭР"</t>
  </si>
  <si>
    <t>6727028610</t>
  </si>
  <si>
    <t>01-07-2017 00:00:00</t>
  </si>
  <si>
    <t>31474407</t>
  </si>
  <si>
    <t>МУП "Талашкино"</t>
  </si>
  <si>
    <t>6714051347</t>
  </si>
  <si>
    <t>30869683</t>
  </si>
  <si>
    <t>МУП "Теплоснаб"</t>
  </si>
  <si>
    <t>6732118629</t>
  </si>
  <si>
    <t>673201001</t>
  </si>
  <si>
    <t>01-11-2016 00:00:00</t>
  </si>
  <si>
    <t>26446403</t>
  </si>
  <si>
    <t>МУП "Управление коммунального хозяйства"</t>
  </si>
  <si>
    <t>6705004125</t>
  </si>
  <si>
    <t>670501001</t>
  </si>
  <si>
    <t>26375085</t>
  </si>
  <si>
    <t>МУП "Шумячское РПО КХ"</t>
  </si>
  <si>
    <t>6720000277</t>
  </si>
  <si>
    <t>26375048</t>
  </si>
  <si>
    <t>МУП "Янтарь"</t>
  </si>
  <si>
    <t>6703004472</t>
  </si>
  <si>
    <t>28830507</t>
  </si>
  <si>
    <t>МУП ЖКХ "Надежда"</t>
  </si>
  <si>
    <t>6714035433</t>
  </si>
  <si>
    <t>26375067</t>
  </si>
  <si>
    <t>МУП КХ "Казимирово"</t>
  </si>
  <si>
    <t>6713007017</t>
  </si>
  <si>
    <t>26446423</t>
  </si>
  <si>
    <t>МУП КХ "Смолиговка"</t>
  </si>
  <si>
    <t>6713008934</t>
  </si>
  <si>
    <t>26375066</t>
  </si>
  <si>
    <t>МУП КХ "Чистик"</t>
  </si>
  <si>
    <t>6713006503</t>
  </si>
  <si>
    <t>26382739</t>
  </si>
  <si>
    <t>МУП службы "Заказчик" по ЖКУ</t>
  </si>
  <si>
    <t>6703003398</t>
  </si>
  <si>
    <t>26375063</t>
  </si>
  <si>
    <t>МУУП "Прудковский ЖЭУ"</t>
  </si>
  <si>
    <t>6712007938</t>
  </si>
  <si>
    <t>01-10-2021 00:00:00</t>
  </si>
  <si>
    <t>26375075</t>
  </si>
  <si>
    <t>МУЭП "Корохоткинское"</t>
  </si>
  <si>
    <t>6714026750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</si>
  <si>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</si>
  <si>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</si>
  <si>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</si>
  <si>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</si>
  <si>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26359865</t>
  </si>
  <si>
    <t>ОАО "Авангард"</t>
  </si>
  <si>
    <t>6726504312</t>
  </si>
  <si>
    <t>672601001</t>
  </si>
  <si>
    <t>26359847</t>
  </si>
  <si>
    <t>ОАО "Вяземский машиностроительный завод"</t>
  </si>
  <si>
    <t>6722003019</t>
  </si>
  <si>
    <t>26359853</t>
  </si>
  <si>
    <t>ОАО "Гагаринский хлебозавод"</t>
  </si>
  <si>
    <t>6723000613</t>
  </si>
  <si>
    <t>26359844</t>
  </si>
  <si>
    <t>ОАО "Завод ЖБИ"</t>
  </si>
  <si>
    <t>6722000040</t>
  </si>
  <si>
    <t>26381276</t>
  </si>
  <si>
    <t>ОАО "Сафоновомясопродукт"</t>
  </si>
  <si>
    <t>6726001213</t>
  </si>
  <si>
    <t>26446474</t>
  </si>
  <si>
    <t>ОАО "Смоленскоблгаз"</t>
  </si>
  <si>
    <t>6731011930</t>
  </si>
  <si>
    <t>673110100</t>
  </si>
  <si>
    <t>26321981</t>
  </si>
  <si>
    <t>ОАО НПП "Техноприбор"</t>
  </si>
  <si>
    <t>6730003580</t>
  </si>
  <si>
    <t>26359885</t>
  </si>
  <si>
    <t>ОГБУ "Хозяйственное управление Администрации Смоленской области"</t>
  </si>
  <si>
    <t>6730011743</t>
  </si>
  <si>
    <t>26359800</t>
  </si>
  <si>
    <t>ОГБУЗ "Демидовская ЦРБ"</t>
  </si>
  <si>
    <t>6703000887</t>
  </si>
  <si>
    <t>28266261</t>
  </si>
  <si>
    <t>ОГУЭПП "Смоленскоблкоммунэнерго"</t>
  </si>
  <si>
    <t>6731000014</t>
  </si>
  <si>
    <t>31444331</t>
  </si>
  <si>
    <t>ООО "АтомТеплоЭлектроСеть"</t>
  </si>
  <si>
    <t>7705923730</t>
  </si>
  <si>
    <t>672543002</t>
  </si>
  <si>
    <t>31479744</t>
  </si>
  <si>
    <t>ООО "Гагаринское ЖЭУ"</t>
  </si>
  <si>
    <t>6723021050</t>
  </si>
  <si>
    <t>30377001</t>
  </si>
  <si>
    <t>ООО "Газтеплосервис"</t>
  </si>
  <si>
    <t>6732060305</t>
  </si>
  <si>
    <t>26375114</t>
  </si>
  <si>
    <t>ООО "Гнездово"</t>
  </si>
  <si>
    <t>6731053369</t>
  </si>
  <si>
    <t>28128739</t>
  </si>
  <si>
    <t>ООО "Городок"</t>
  </si>
  <si>
    <t>6727014102</t>
  </si>
  <si>
    <t>28976029</t>
  </si>
  <si>
    <t>ООО "Городские инженерные сети"</t>
  </si>
  <si>
    <t>6730007352</t>
  </si>
  <si>
    <t>26375110</t>
  </si>
  <si>
    <t>ООО "Дева"</t>
  </si>
  <si>
    <t>6730026411</t>
  </si>
  <si>
    <t>27792237</t>
  </si>
  <si>
    <t>ООО "Дивинка"</t>
  </si>
  <si>
    <t>6712009090</t>
  </si>
  <si>
    <t>26836322</t>
  </si>
  <si>
    <t>ООО "Динамик"</t>
  </si>
  <si>
    <t>6723023096</t>
  </si>
  <si>
    <t>27554141</t>
  </si>
  <si>
    <t>ООО "Домино"</t>
  </si>
  <si>
    <t>6730033828</t>
  </si>
  <si>
    <t>28497180</t>
  </si>
  <si>
    <t>ООО "Дорогобужская ТЭЦ"</t>
  </si>
  <si>
    <t>6726018979</t>
  </si>
  <si>
    <t>27792202</t>
  </si>
  <si>
    <t>ООО "Жилищник"</t>
  </si>
  <si>
    <t>6723023145</t>
  </si>
  <si>
    <t>30901756</t>
  </si>
  <si>
    <t>ООО "Игоревский деревообрабатывающий комбинат"</t>
  </si>
  <si>
    <t>6726019740</t>
  </si>
  <si>
    <t>31254108</t>
  </si>
  <si>
    <t>ООО "Игоревский завод древесностружечных плит"</t>
  </si>
  <si>
    <t>6726024147</t>
  </si>
  <si>
    <t>01-01-2019 00:00:00</t>
  </si>
  <si>
    <t>31239833</t>
  </si>
  <si>
    <t>ООО "Исток"</t>
  </si>
  <si>
    <t>6714047005</t>
  </si>
  <si>
    <t>28814572</t>
  </si>
  <si>
    <t>ООО "КардымовоТеплоСети"</t>
  </si>
  <si>
    <t>6727050608</t>
  </si>
  <si>
    <t>26375079</t>
  </si>
  <si>
    <t>ООО "Коммунальное хозяйство"</t>
  </si>
  <si>
    <t>6716002867</t>
  </si>
  <si>
    <t>671601001</t>
  </si>
  <si>
    <t>26446431</t>
  </si>
  <si>
    <t>ООО "Коммунальные системы "Гнездово"</t>
  </si>
  <si>
    <t>6714028387</t>
  </si>
  <si>
    <t>26375077</t>
  </si>
  <si>
    <t>ООО "Коммунальные системы "Кощино"</t>
  </si>
  <si>
    <t>6714028323</t>
  </si>
  <si>
    <t>26445810</t>
  </si>
  <si>
    <t>ООО "Коммунальные системы "Пригорское"</t>
  </si>
  <si>
    <t>6714028370</t>
  </si>
  <si>
    <t>31250398</t>
  </si>
  <si>
    <t>ООО "Коммунальные системы"</t>
  </si>
  <si>
    <t>6732158935</t>
  </si>
  <si>
    <t>26359823</t>
  </si>
  <si>
    <t>ООО "Коммунальные системы" Жуково"</t>
  </si>
  <si>
    <t>6714028355</t>
  </si>
  <si>
    <t>26359814</t>
  </si>
  <si>
    <t>ООО "Коммунальщик"</t>
  </si>
  <si>
    <t>6712008603</t>
  </si>
  <si>
    <t>26359835</t>
  </si>
  <si>
    <t>6716002747</t>
  </si>
  <si>
    <t>28063768</t>
  </si>
  <si>
    <t>ООО "Коммунальщик-Талашкино"</t>
  </si>
  <si>
    <t>6714033482</t>
  </si>
  <si>
    <t>26804319</t>
  </si>
  <si>
    <t>ООО "Маяк"</t>
  </si>
  <si>
    <t>6723018956</t>
  </si>
  <si>
    <t>26559848</t>
  </si>
  <si>
    <t>ООО "Оптимальная тепловая энергетика"</t>
  </si>
  <si>
    <t>6731078902</t>
  </si>
  <si>
    <t>27792989</t>
  </si>
  <si>
    <t>ООО "Осень"</t>
  </si>
  <si>
    <t>6727000597</t>
  </si>
  <si>
    <t>26517392</t>
  </si>
  <si>
    <t>ООО "Промконсервы"</t>
  </si>
  <si>
    <t>7728276053</t>
  </si>
  <si>
    <t>28422508</t>
  </si>
  <si>
    <t>ООО "Радуга"</t>
  </si>
  <si>
    <t>6712009029</t>
  </si>
  <si>
    <t>31518963</t>
  </si>
  <si>
    <t>ООО "Ремонтно-строительная компания"</t>
  </si>
  <si>
    <t>6732135110</t>
  </si>
  <si>
    <t>27865753</t>
  </si>
  <si>
    <t>ООО "Ремонтное эксплуатационное предприятие"</t>
  </si>
  <si>
    <t>6726011050</t>
  </si>
  <si>
    <t>31730440</t>
  </si>
  <si>
    <t>ООО "СТК" Энергосервис"</t>
  </si>
  <si>
    <t>6732176290</t>
  </si>
  <si>
    <t>31239827</t>
  </si>
  <si>
    <t>ООО "СТРОЙ инвест"</t>
  </si>
  <si>
    <t>6732075340</t>
  </si>
  <si>
    <t>26447429</t>
  </si>
  <si>
    <t>ООО "Санаторий имени Пржевальского"</t>
  </si>
  <si>
    <t>6713010041</t>
  </si>
  <si>
    <t>26446443</t>
  </si>
  <si>
    <t>ООО "Санаторий-профилакторий "Кристалл"</t>
  </si>
  <si>
    <t>6714021857</t>
  </si>
  <si>
    <t>31309379</t>
  </si>
  <si>
    <t>ООО "СмолАТП"</t>
  </si>
  <si>
    <t>6732130048</t>
  </si>
  <si>
    <t>30373599</t>
  </si>
  <si>
    <t>ООО "Смоленская биоэнергетическая компания"</t>
  </si>
  <si>
    <t>6732063095</t>
  </si>
  <si>
    <t>26445778</t>
  </si>
  <si>
    <t>ООО "Стимул"</t>
  </si>
  <si>
    <t>6722021152</t>
  </si>
  <si>
    <t>26446038</t>
  </si>
  <si>
    <t>ООО "Стодолищенский ЖЭУ"</t>
  </si>
  <si>
    <t>6712009050</t>
  </si>
  <si>
    <t>26359831</t>
  </si>
  <si>
    <t>ООО "Сычевский электродный завод"</t>
  </si>
  <si>
    <t>6715003635</t>
  </si>
  <si>
    <t>671501001</t>
  </si>
  <si>
    <t>31239821</t>
  </si>
  <si>
    <t>ООО "Тепло людям. Велиж"</t>
  </si>
  <si>
    <t>6732163237</t>
  </si>
  <si>
    <t>01-10-2018 00:00:00</t>
  </si>
  <si>
    <t>31357079</t>
  </si>
  <si>
    <t>ООО "Тепло людям. Смоленск"</t>
  </si>
  <si>
    <t>6732181028</t>
  </si>
  <si>
    <t>27574195</t>
  </si>
  <si>
    <t>ООО "ТеплоЭнергетическое предприятие"</t>
  </si>
  <si>
    <t>6722024516</t>
  </si>
  <si>
    <t>27792180</t>
  </si>
  <si>
    <t>ООО "Теплосервис"</t>
  </si>
  <si>
    <t>6722027676</t>
  </si>
  <si>
    <t>28128668</t>
  </si>
  <si>
    <t>ООО "Теплострой-Сервис+"</t>
  </si>
  <si>
    <t>7727785996</t>
  </si>
  <si>
    <t>772701001</t>
  </si>
  <si>
    <t>31401306</t>
  </si>
  <si>
    <t>ООО "Теплоэнергосервис"</t>
  </si>
  <si>
    <t>6732162184</t>
  </si>
  <si>
    <t>31397385</t>
  </si>
  <si>
    <t>ООО "Технострой""</t>
  </si>
  <si>
    <t>6732139280</t>
  </si>
  <si>
    <t>02-10-2019 00:00:00</t>
  </si>
  <si>
    <t>31544308</t>
  </si>
  <si>
    <t>ООО "Транзит-С"</t>
  </si>
  <si>
    <t>6729017902</t>
  </si>
  <si>
    <t>26447623</t>
  </si>
  <si>
    <t>ООО "Управляющая компания"</t>
  </si>
  <si>
    <t>6731058705</t>
  </si>
  <si>
    <t>26375111</t>
  </si>
  <si>
    <t>ООО "Фабрика "Шарм"</t>
  </si>
  <si>
    <t>6730061529</t>
  </si>
  <si>
    <t>26359856</t>
  </si>
  <si>
    <t>ООО "Факел"</t>
  </si>
  <si>
    <t>6723005202</t>
  </si>
  <si>
    <t>26525453</t>
  </si>
  <si>
    <t>ООО "Электро-Сетевая Компания "СИТИ"</t>
  </si>
  <si>
    <t>7730587063</t>
  </si>
  <si>
    <t>773001001</t>
  </si>
  <si>
    <t>28454156</t>
  </si>
  <si>
    <t>ООО "Энергетическая компания №1"</t>
  </si>
  <si>
    <t>6732053869</t>
  </si>
  <si>
    <t>28058659</t>
  </si>
  <si>
    <t>ООО "Энергоинвест"</t>
  </si>
  <si>
    <t>6732035997</t>
  </si>
  <si>
    <t>31368700</t>
  </si>
  <si>
    <t>ООО "ЯМЗ"</t>
  </si>
  <si>
    <t>6623122216</t>
  </si>
  <si>
    <t>26381282</t>
  </si>
  <si>
    <t>ООО "Ярцевский хлопчатобумажный комбинат"</t>
  </si>
  <si>
    <t>6727014889</t>
  </si>
  <si>
    <t>31391614</t>
  </si>
  <si>
    <t>ООО УК "Жилсервис плюс"</t>
  </si>
  <si>
    <t>6726023753</t>
  </si>
  <si>
    <t>01-01-2020 00:00:00</t>
  </si>
  <si>
    <t>26381227</t>
  </si>
  <si>
    <t>ПАО "Дорогобуж"</t>
  </si>
  <si>
    <t>6704000505</t>
  </si>
  <si>
    <t>670401001</t>
  </si>
  <si>
    <t>26652138</t>
  </si>
  <si>
    <t>ПАО "Ростелеком"</t>
  </si>
  <si>
    <t>7707049388</t>
  </si>
  <si>
    <t>673243001</t>
  </si>
  <si>
    <t>28043590</t>
  </si>
  <si>
    <t>Ремонтное локомотивное депо Смоленск Московской дирекции по ремонту тягового подвижного состава структурного подразделения Дирекции по ремонту тягового подвижного состава - филиала ОАО "РЖД"</t>
  </si>
  <si>
    <t>672502001</t>
  </si>
  <si>
    <t>26517025</t>
  </si>
  <si>
    <t>СОГБУ "Жуковский психоневрологический интернат с обособленным спецотделением"</t>
  </si>
  <si>
    <t>6714005580</t>
  </si>
  <si>
    <t>28049264</t>
  </si>
  <si>
    <t>СОГБУ "Руднянский психоневрологический интернат"</t>
  </si>
  <si>
    <t>6713000597</t>
  </si>
  <si>
    <t>26359857</t>
  </si>
  <si>
    <t>СПКХ колхоз-племзавод "Радищево"</t>
  </si>
  <si>
    <t>6723009292</t>
  </si>
  <si>
    <t>26381526</t>
  </si>
  <si>
    <t>Смоленская дистанция гражданских сооружений Московской дирекции по эксплуатации зданий и сооружений - структурного подразделения Московской железнй дороги - филиала ОАО "РЖД"</t>
  </si>
  <si>
    <t>770845051</t>
  </si>
  <si>
    <t>31090849</t>
  </si>
  <si>
    <t>ФГБУ "ЦЖКУ по ЗВО" МО РФ жилищно-эксплуатационный (коммунальный) отдел №1 г. Смоленск</t>
  </si>
  <si>
    <t>7729314745</t>
  </si>
  <si>
    <t>28148999</t>
  </si>
  <si>
    <t>ФГКУ  "Логистический центр № 62"</t>
  </si>
  <si>
    <t>6729018350</t>
  </si>
  <si>
    <t>26517394</t>
  </si>
  <si>
    <t>ФГУП "РТРС" филиал "Смоленский ОРТПЦ"</t>
  </si>
  <si>
    <t>7717127211</t>
  </si>
  <si>
    <t>673002001</t>
  </si>
  <si>
    <t>28063729</t>
  </si>
  <si>
    <t>ФГУП СПО "Аналитприбор"</t>
  </si>
  <si>
    <t>6731002766</t>
  </si>
  <si>
    <t>673150001</t>
  </si>
  <si>
    <t>26375100</t>
  </si>
  <si>
    <t>ФКУ ИК-2 УФСИН России по Смоленской области</t>
  </si>
  <si>
    <t>6726007504</t>
  </si>
  <si>
    <t>26640185</t>
  </si>
  <si>
    <t>ФКУ ИК-3 УФСИН России по Смоленской области</t>
  </si>
  <si>
    <t>6726007487</t>
  </si>
  <si>
    <t>26359822</t>
  </si>
  <si>
    <t>ФКУЗ "Санаторий "Борок" МВД России"</t>
  </si>
  <si>
    <t>6714003583</t>
  </si>
  <si>
    <t>26361217</t>
  </si>
  <si>
    <t>Филиал "Смоленская ГРЭС" ПАО "Юнипро"</t>
  </si>
  <si>
    <t>8602067092</t>
  </si>
  <si>
    <t>670502001</t>
  </si>
  <si>
    <t>26447259</t>
  </si>
  <si>
    <t>Филиал АО "Квадра" - "Смоленская генерация"</t>
  </si>
  <si>
    <t>6829012680</t>
  </si>
  <si>
    <t>26445955</t>
  </si>
  <si>
    <t>Филиал АО "Концерн Росэнергоатом" "Смоленская атомная станция"</t>
  </si>
  <si>
    <t>7721632827</t>
  </si>
  <si>
    <t>672443001</t>
  </si>
  <si>
    <t>31357916</t>
  </si>
  <si>
    <t>Филиал ФГБУ "ЦЖКУ" Минобороны России (по ЗВО) ЖКС №1 (г. Смоленск)</t>
  </si>
  <si>
    <t>673245006</t>
  </si>
  <si>
    <t>30941480</t>
  </si>
  <si>
    <t>Филиал ФГБУ "ЦЖКУ" Минобороны России (по МВО)</t>
  </si>
  <si>
    <t>503243002</t>
  </si>
  <si>
    <t>26375091</t>
  </si>
  <si>
    <t>МУП "Комбинат коммунальных предприятий" МО "город Десногорск"</t>
  </si>
  <si>
    <t>6724002162</t>
  </si>
  <si>
    <t>672401001</t>
  </si>
  <si>
    <t>01-11-2024 00:00:00</t>
  </si>
  <si>
    <t>26446061</t>
  </si>
  <si>
    <t>МУП "Управление ЖКХ и С"</t>
  </si>
  <si>
    <t>6723009863</t>
  </si>
  <si>
    <t>28442450</t>
  </si>
  <si>
    <t>784201001</t>
  </si>
  <si>
    <t>26375073</t>
  </si>
  <si>
    <t>СПК "Пригорское"</t>
  </si>
  <si>
    <t>6714023029</t>
  </si>
  <si>
    <t>06-11-2024 00:00:00</t>
  </si>
  <si>
    <t>26375088</t>
  </si>
  <si>
    <t>АО "Вяземский ДСК"</t>
  </si>
  <si>
    <t>6722000762</t>
  </si>
  <si>
    <t>26638791</t>
  </si>
  <si>
    <t>ИП Юрченко Г.Н.</t>
  </si>
  <si>
    <t>673106659512</t>
  </si>
  <si>
    <t>31781252</t>
  </si>
  <si>
    <t>МКП "Ресурс"</t>
  </si>
  <si>
    <t>6700026206</t>
  </si>
  <si>
    <t>31539746</t>
  </si>
  <si>
    <t>МКП "Холм-Жирковское ЖКХ" Холм-Жирковского района Смоленской области</t>
  </si>
  <si>
    <t>6726026553</t>
  </si>
  <si>
    <t>20-05-2021 00:00:00</t>
  </si>
  <si>
    <t>26653795</t>
  </si>
  <si>
    <t>МКП КХ "Голынки"</t>
  </si>
  <si>
    <t>6713009286</t>
  </si>
  <si>
    <t>21-11-2024 00:00:00</t>
  </si>
  <si>
    <t>31643260</t>
  </si>
  <si>
    <t>МУП "Вода Туманово"</t>
  </si>
  <si>
    <t>6722038149</t>
  </si>
  <si>
    <t>26450435</t>
  </si>
  <si>
    <t>6704007370</t>
  </si>
  <si>
    <t>31390995</t>
  </si>
  <si>
    <t>6725033332</t>
  </si>
  <si>
    <t>26375101</t>
  </si>
  <si>
    <t>6726009935</t>
  </si>
  <si>
    <t>26452972</t>
  </si>
  <si>
    <t>6727016244</t>
  </si>
  <si>
    <t>28983465</t>
  </si>
  <si>
    <t>МУП "Водоканал" (пос. Озерный)</t>
  </si>
  <si>
    <t>6727051866</t>
  </si>
  <si>
    <t>31486502</t>
  </si>
  <si>
    <t>МУП "Водолей"</t>
  </si>
  <si>
    <t>6725034390</t>
  </si>
  <si>
    <t>20-09-2024 00:00:00</t>
  </si>
  <si>
    <t>26832225</t>
  </si>
  <si>
    <t>6710004603</t>
  </si>
  <si>
    <t>671001001</t>
  </si>
  <si>
    <t>31673954</t>
  </si>
  <si>
    <t>МУП "Водоснабжение Новое село"</t>
  </si>
  <si>
    <t>6722038170</t>
  </si>
  <si>
    <t>31670204</t>
  </si>
  <si>
    <t>МУП "Водоснабжение и водоотведение Вяземский"</t>
  </si>
  <si>
    <t>6722038276</t>
  </si>
  <si>
    <t>30858805</t>
  </si>
  <si>
    <t>МУП "Водоснабжение и водоотведение"</t>
  </si>
  <si>
    <t>6725030892</t>
  </si>
  <si>
    <t>31661762</t>
  </si>
  <si>
    <t>МУП "Водотеплоснабжение Кайдаковского сельского поселения"</t>
  </si>
  <si>
    <t>6722038283</t>
  </si>
  <si>
    <t>26375090</t>
  </si>
  <si>
    <t>6723000684</t>
  </si>
  <si>
    <t>31643278</t>
  </si>
  <si>
    <t>6726027420</t>
  </si>
  <si>
    <t>31669997</t>
  </si>
  <si>
    <t>МУП "Гусино"</t>
  </si>
  <si>
    <t>6714053827</t>
  </si>
  <si>
    <t>08-08-2022 00:00:00</t>
  </si>
  <si>
    <t>31607740</t>
  </si>
  <si>
    <t>МУП "ЖКХ с. Новый"</t>
  </si>
  <si>
    <t>6722037811</t>
  </si>
  <si>
    <t>31486510</t>
  </si>
  <si>
    <t>МУП "ЖКХ-Красный"</t>
  </si>
  <si>
    <t>6714049588</t>
  </si>
  <si>
    <t>26375052</t>
  </si>
  <si>
    <t>МУП "Жилищник"</t>
  </si>
  <si>
    <t>6706005731</t>
  </si>
  <si>
    <t>670601001</t>
  </si>
  <si>
    <t>26381240</t>
  </si>
  <si>
    <t>МУП "Жилищно-коммунальная служба"</t>
  </si>
  <si>
    <t>6711002800</t>
  </si>
  <si>
    <t>671101001</t>
  </si>
  <si>
    <t>31682957</t>
  </si>
  <si>
    <t>МУП "Игоревское ЖКХ"</t>
  </si>
  <si>
    <t>6726027557</t>
  </si>
  <si>
    <t>20-01-2023 00:00:00</t>
  </si>
  <si>
    <t>26453588</t>
  </si>
  <si>
    <t>МУП "Исток"</t>
  </si>
  <si>
    <t>6710004547</t>
  </si>
  <si>
    <t>30351489</t>
  </si>
  <si>
    <t>МУП "Капыревщина"</t>
  </si>
  <si>
    <t>6727025457</t>
  </si>
  <si>
    <t>26652102</t>
  </si>
  <si>
    <t>6710004554</t>
  </si>
  <si>
    <t>28038347</t>
  </si>
  <si>
    <t>МУП "КомфорТ"</t>
  </si>
  <si>
    <t>6727017978</t>
  </si>
  <si>
    <t>31670598</t>
  </si>
  <si>
    <t>МУП "Любовское"</t>
  </si>
  <si>
    <t>6725037143</t>
  </si>
  <si>
    <t>31414927</t>
  </si>
  <si>
    <t>МУП "Михейково"</t>
  </si>
  <si>
    <t>6727032461</t>
  </si>
  <si>
    <t>23-01-2020 00:00:00</t>
  </si>
  <si>
    <t>27390874</t>
  </si>
  <si>
    <t>МУП "Надежда"</t>
  </si>
  <si>
    <t>6725015809</t>
  </si>
  <si>
    <t>26375095</t>
  </si>
  <si>
    <t>МУП "Остер"</t>
  </si>
  <si>
    <t>6725013030</t>
  </si>
  <si>
    <t>26788625</t>
  </si>
  <si>
    <t>МУП "Прометей"</t>
  </si>
  <si>
    <t>6710004579</t>
  </si>
  <si>
    <t>31751933</t>
  </si>
  <si>
    <t>МУП "Ресурс"</t>
  </si>
  <si>
    <t>6700013937</t>
  </si>
  <si>
    <t>14-03-2024 00:00:00</t>
  </si>
  <si>
    <t>26375049</t>
  </si>
  <si>
    <t>МУП "Родник"</t>
  </si>
  <si>
    <t>6703004514</t>
  </si>
  <si>
    <t>31415043</t>
  </si>
  <si>
    <t>МУП "Сметанино"</t>
  </si>
  <si>
    <t>6714050128</t>
  </si>
  <si>
    <t>31538960</t>
  </si>
  <si>
    <t>МУП "Стодолище"</t>
  </si>
  <si>
    <t>6725034939</t>
  </si>
  <si>
    <t>21-05-2021 00:00:00</t>
  </si>
  <si>
    <t>11-12-2024 00:00:00</t>
  </si>
  <si>
    <t>31416429</t>
  </si>
  <si>
    <t>МУП "СтройСервис-Хохловское"</t>
  </si>
  <si>
    <t>6714050174</t>
  </si>
  <si>
    <t>30858796</t>
  </si>
  <si>
    <t>МУП "Суетово"</t>
  </si>
  <si>
    <t>6727028842</t>
  </si>
  <si>
    <t>31767090</t>
  </si>
  <si>
    <t>МУП "Темкино-Коммунальное хозяйство"</t>
  </si>
  <si>
    <t>6700012718</t>
  </si>
  <si>
    <t>16-02-2024 00:00:00</t>
  </si>
  <si>
    <t>31456160</t>
  </si>
  <si>
    <t>МУП "Угра-благоустройство"</t>
  </si>
  <si>
    <t>6722035444</t>
  </si>
  <si>
    <t>30829527</t>
  </si>
  <si>
    <t>МУП "Шумячская МТС"</t>
  </si>
  <si>
    <t>6720002796</t>
  </si>
  <si>
    <t>30829379</t>
  </si>
  <si>
    <t>МУП ЖКХ "Екимовичи"</t>
  </si>
  <si>
    <t>6725030035</t>
  </si>
  <si>
    <t>31-12-2024 00:00:00</t>
  </si>
  <si>
    <t>26375062</t>
  </si>
  <si>
    <t>МУУП "Лосненский ЖЭУ"</t>
  </si>
  <si>
    <t>6712007920</t>
  </si>
  <si>
    <t>05-08-2024 00:00:00</t>
  </si>
  <si>
    <t>26455182</t>
  </si>
  <si>
    <t>МУЭП "Михновское"</t>
  </si>
  <si>
    <t>6714029912</t>
  </si>
  <si>
    <t>26555762</t>
  </si>
  <si>
    <t>ОАО "79 ЦИБ"</t>
  </si>
  <si>
    <t>6729018991</t>
  </si>
  <si>
    <t>13-08-2010 00:00:00</t>
  </si>
  <si>
    <t>26375089</t>
  </si>
  <si>
    <t>ОАО "Вяземский ГОК"</t>
  </si>
  <si>
    <t>6722026055</t>
  </si>
  <si>
    <t>28496675</t>
  </si>
  <si>
    <t>ОАО "Газпром"</t>
  </si>
  <si>
    <t>7805018099</t>
  </si>
  <si>
    <t>671902001</t>
  </si>
  <si>
    <t>30947576</t>
  </si>
  <si>
    <t>ООО "Альфа Транс Терминал"</t>
  </si>
  <si>
    <t>6714031189</t>
  </si>
  <si>
    <t>31607749</t>
  </si>
  <si>
    <t>ООО "Антарес"</t>
  </si>
  <si>
    <t>6732161536</t>
  </si>
  <si>
    <t>28983477</t>
  </si>
  <si>
    <t>ООО "Водоканал Вяземского района"</t>
  </si>
  <si>
    <t>6722028447</t>
  </si>
  <si>
    <t>26638751</t>
  </si>
  <si>
    <t>ООО "Горизонт"</t>
  </si>
  <si>
    <t>6712009036</t>
  </si>
  <si>
    <t>31230099</t>
  </si>
  <si>
    <t>ООО "Городской водоканал"</t>
  </si>
  <si>
    <t>6732157272</t>
  </si>
  <si>
    <t>31643540</t>
  </si>
  <si>
    <t>ООО "ЖКУ Игоревское"</t>
  </si>
  <si>
    <t>6726026779</t>
  </si>
  <si>
    <t>31280403</t>
  </si>
  <si>
    <t>ООО "Инженерные системы"</t>
  </si>
  <si>
    <t>6732151714</t>
  </si>
  <si>
    <t>06-10-2017 00:00:00</t>
  </si>
  <si>
    <t>31639430</t>
  </si>
  <si>
    <t>ООО "Инжиниринговый центр "Полимикс"</t>
  </si>
  <si>
    <t>6731079286</t>
  </si>
  <si>
    <t>28830499</t>
  </si>
  <si>
    <t>ООО "КардымовоВодоканал"</t>
  </si>
  <si>
    <t>6727050622</t>
  </si>
  <si>
    <t>26804346</t>
  </si>
  <si>
    <t>ООО "Кармановское ЖЭУ"</t>
  </si>
  <si>
    <t>6723023113</t>
  </si>
  <si>
    <t>30870626</t>
  </si>
  <si>
    <t>ООО "Коммуникации"</t>
  </si>
  <si>
    <t>6732101512</t>
  </si>
  <si>
    <t>31458192</t>
  </si>
  <si>
    <t>ООО "Коски"</t>
  </si>
  <si>
    <t>6725018052</t>
  </si>
  <si>
    <t>28965769</t>
  </si>
  <si>
    <t>ООО "Межмуниципальное Партнерство"</t>
  </si>
  <si>
    <t>6725015982</t>
  </si>
  <si>
    <t>24-03-2011 00:00:00</t>
  </si>
  <si>
    <t>28496662</t>
  </si>
  <si>
    <t>ООО "Посейдон"</t>
  </si>
  <si>
    <t>6732066508</t>
  </si>
  <si>
    <t>31288371</t>
  </si>
  <si>
    <t>ООО "Региональные объединенные системы водоснабжения и водоотведения Смоленской области"</t>
  </si>
  <si>
    <t>6726022823</t>
  </si>
  <si>
    <t>26451669</t>
  </si>
  <si>
    <t>ООО "Родник"</t>
  </si>
  <si>
    <t>6712008593</t>
  </si>
  <si>
    <t>31442702</t>
  </si>
  <si>
    <t>ООО "Рославльские тормозные системы"</t>
  </si>
  <si>
    <t>6725019049</t>
  </si>
  <si>
    <t>26450451</t>
  </si>
  <si>
    <t>ООО "Спецводмонтаж"</t>
  </si>
  <si>
    <t>6722017526</t>
  </si>
  <si>
    <t>28175410</t>
  </si>
  <si>
    <t>ООО "СтройРемСервис"</t>
  </si>
  <si>
    <t>6722027860</t>
  </si>
  <si>
    <t>23-01-2024 00:00:00</t>
  </si>
  <si>
    <t>27390866</t>
  </si>
  <si>
    <t>ООО "Титан"</t>
  </si>
  <si>
    <t>6727020970</t>
  </si>
  <si>
    <t>27682138</t>
  </si>
  <si>
    <t>ООО "Торговый Дом "Ключ"</t>
  </si>
  <si>
    <t>6729041373</t>
  </si>
  <si>
    <t>26381257</t>
  </si>
  <si>
    <t>ООО "Угранское коммунальное предприятие"</t>
  </si>
  <si>
    <t>6717004419</t>
  </si>
  <si>
    <t>26375103</t>
  </si>
  <si>
    <t>ООО "Эталон"</t>
  </si>
  <si>
    <t>6726012857</t>
  </si>
  <si>
    <t>30947561</t>
  </si>
  <si>
    <t>ООО УК "Радуга"</t>
  </si>
  <si>
    <t>6712011170</t>
  </si>
  <si>
    <t>25-08-2006 00:00:00</t>
  </si>
  <si>
    <t>28261069</t>
  </si>
  <si>
    <t>ПАО "Нефтяная Компания "Роснефть" - "Смоленскнефтепродукт"</t>
  </si>
  <si>
    <t>6730017336</t>
  </si>
  <si>
    <t>03-10-2012 00:00:00</t>
  </si>
  <si>
    <t>27682157</t>
  </si>
  <si>
    <t>ПАО "Сафоновский сельский строительный комбинат"</t>
  </si>
  <si>
    <t>6726015022</t>
  </si>
  <si>
    <t>26375113</t>
  </si>
  <si>
    <t>СМУП "Горводоканал"</t>
  </si>
  <si>
    <t>6731000342</t>
  </si>
  <si>
    <t>28983485</t>
  </si>
  <si>
    <t>СОГБУ "Воргинский ПНИ"</t>
  </si>
  <si>
    <t>6707000888</t>
  </si>
  <si>
    <t>28983491</t>
  </si>
  <si>
    <t>СОГБУ "Дрюцкий психоневрологичесий интернат"</t>
  </si>
  <si>
    <t>6714000960</t>
  </si>
  <si>
    <t>26594373</t>
  </si>
  <si>
    <t>СОГБУ "Ново-Никольский ДДИУОД"</t>
  </si>
  <si>
    <t>6722005626</t>
  </si>
  <si>
    <t>31434265</t>
  </si>
  <si>
    <t>АО "ГЛАСС МАРКЕТ"</t>
  </si>
  <si>
    <t>6725033117</t>
  </si>
  <si>
    <t>31538935</t>
  </si>
  <si>
    <t>АО "Единый инвестиционный центр"</t>
  </si>
  <si>
    <t>6671067773</t>
  </si>
  <si>
    <t>667101001</t>
  </si>
  <si>
    <t>20-02-2017 00:00:00</t>
  </si>
  <si>
    <t>26455274</t>
  </si>
  <si>
    <t>АО "Ситалл"</t>
  </si>
  <si>
    <t>6725001330</t>
  </si>
  <si>
    <t>31614558</t>
  </si>
  <si>
    <t>ООО "Водоснабжение водоотведение Смоленска"</t>
  </si>
  <si>
    <t>9705168986</t>
  </si>
  <si>
    <t>770501001</t>
  </si>
  <si>
    <t>31759928</t>
  </si>
  <si>
    <t>ООО "Гидросервис"</t>
  </si>
  <si>
    <t>6714051499</t>
  </si>
  <si>
    <t>16-02-2021 00:00:00</t>
  </si>
  <si>
    <t>31746326</t>
  </si>
  <si>
    <t>ООО "Гидротех"</t>
  </si>
  <si>
    <t>6732101079</t>
  </si>
  <si>
    <t>31649625</t>
  </si>
  <si>
    <t>ООО "КВС"</t>
  </si>
  <si>
    <t>6727028225</t>
  </si>
  <si>
    <t>31415051</t>
  </si>
  <si>
    <t>ООО "Смоленские водные системы"</t>
  </si>
  <si>
    <t>7743310358</t>
  </si>
  <si>
    <t>774301001</t>
  </si>
  <si>
    <t>29-07-2019 00:00:00</t>
  </si>
  <si>
    <t>30882200</t>
  </si>
  <si>
    <t>ООО "Электро"</t>
  </si>
  <si>
    <t>6714045777</t>
  </si>
  <si>
    <t>20-04-2016 00:00:00</t>
  </si>
  <si>
    <t>28063738</t>
  </si>
  <si>
    <t>АО "Спецавтохозяйство"</t>
  </si>
  <si>
    <t>6731069440</t>
  </si>
  <si>
    <t>30982055</t>
  </si>
  <si>
    <t>ОГУП "Экология"</t>
  </si>
  <si>
    <t>6731073414</t>
  </si>
  <si>
    <t>26382751</t>
  </si>
  <si>
    <t>ООО "Гранит"</t>
  </si>
  <si>
    <t>6726010916</t>
  </si>
  <si>
    <t>30389632</t>
  </si>
  <si>
    <t>ООО "Днепр"</t>
  </si>
  <si>
    <t>6714035313</t>
  </si>
  <si>
    <t>27827880</t>
  </si>
  <si>
    <t>ООО "РудняКомУслуги"</t>
  </si>
  <si>
    <t>6713012320</t>
  </si>
  <si>
    <t>28496624</t>
  </si>
  <si>
    <t>ООО "ЭКО лайн"</t>
  </si>
  <si>
    <t>6732036180</t>
  </si>
  <si>
    <t>26594236</t>
  </si>
  <si>
    <t>ООО "Эко-Транс"</t>
  </si>
  <si>
    <t>6725012741</t>
  </si>
  <si>
    <t>NSRF</t>
  </si>
  <si>
    <t>MR_NAME</t>
  </si>
  <si>
    <t>OKTMO_MR_NAME</t>
  </si>
  <si>
    <t>MO_NAME</t>
  </si>
  <si>
    <t>OKTMO_NAME</t>
  </si>
  <si>
    <t>TYPE</t>
  </si>
  <si>
    <t>MR_ID</t>
  </si>
  <si>
    <t>Велижский муниципальный округ</t>
  </si>
  <si>
    <t>66503000</t>
  </si>
  <si>
    <t>муниципальный округ</t>
  </si>
  <si>
    <t>Велижский муниципальный район</t>
  </si>
  <si>
    <t>66603000</t>
  </si>
  <si>
    <t>муниципальный район</t>
  </si>
  <si>
    <t>Велижское</t>
  </si>
  <si>
    <t>66603101</t>
  </si>
  <si>
    <t>городское поселение, в состав которого входит город</t>
  </si>
  <si>
    <t>Крутовское</t>
  </si>
  <si>
    <t>66603480</t>
  </si>
  <si>
    <t>сельское поселение</t>
  </si>
  <si>
    <t>Печенковское</t>
  </si>
  <si>
    <t>66603460</t>
  </si>
  <si>
    <t>Селезневское</t>
  </si>
  <si>
    <t>66603470</t>
  </si>
  <si>
    <t>Вяземский муниципальный округ</t>
  </si>
  <si>
    <t>66505000</t>
  </si>
  <si>
    <t>66605000</t>
  </si>
  <si>
    <t>Вязьма-Брянское сельское поселение</t>
  </si>
  <si>
    <t>66605408</t>
  </si>
  <si>
    <t>Кайдаковское</t>
  </si>
  <si>
    <t>66605436</t>
  </si>
  <si>
    <t>Новосельское</t>
  </si>
  <si>
    <t>66605456</t>
  </si>
  <si>
    <t>Семлевское</t>
  </si>
  <si>
    <t>66605472</t>
  </si>
  <si>
    <t>Тумановское</t>
  </si>
  <si>
    <t>66605480</t>
  </si>
  <si>
    <t>Гагаринский муниципальный округ</t>
  </si>
  <si>
    <t>66508000</t>
  </si>
  <si>
    <t>66608000</t>
  </si>
  <si>
    <t>Гагаринское сельское поселение</t>
  </si>
  <si>
    <t>66608416</t>
  </si>
  <si>
    <t>Никольское</t>
  </si>
  <si>
    <t>66608456</t>
  </si>
  <si>
    <t>Глинковский муниципальный округ</t>
  </si>
  <si>
    <t>66509000</t>
  </si>
  <si>
    <t>Глинковский муниципальный район</t>
  </si>
  <si>
    <t>66609000</t>
  </si>
  <si>
    <t>Болтутинское</t>
  </si>
  <si>
    <t>66609403</t>
  </si>
  <si>
    <t>Глинковское</t>
  </si>
  <si>
    <t>66609411</t>
  </si>
  <si>
    <t>Доброминское</t>
  </si>
  <si>
    <t>66609414</t>
  </si>
  <si>
    <t>Город Десногорск</t>
  </si>
  <si>
    <t>66710000</t>
  </si>
  <si>
    <t>городской округ</t>
  </si>
  <si>
    <t>Город Смоленск</t>
  </si>
  <si>
    <t>66701000</t>
  </si>
  <si>
    <t>Демидовский муниципальный округ</t>
  </si>
  <si>
    <t>66511000</t>
  </si>
  <si>
    <t>Демидовский муниципальный район</t>
  </si>
  <si>
    <t>66611000</t>
  </si>
  <si>
    <t>Борковское</t>
  </si>
  <si>
    <t>66611410</t>
  </si>
  <si>
    <t>Демидовское</t>
  </si>
  <si>
    <t>66611101</t>
  </si>
  <si>
    <t>Заборьевское</t>
  </si>
  <si>
    <t>66611445</t>
  </si>
  <si>
    <t>Пржевальское</t>
  </si>
  <si>
    <t>66611153</t>
  </si>
  <si>
    <t>городское поселение, в состав которого входит поселок</t>
  </si>
  <si>
    <t>Слободское</t>
  </si>
  <si>
    <t>66611487</t>
  </si>
  <si>
    <t>Титовщинское</t>
  </si>
  <si>
    <t>66611490</t>
  </si>
  <si>
    <t>66614000</t>
  </si>
  <si>
    <t>Алексинское</t>
  </si>
  <si>
    <t>66614405</t>
  </si>
  <si>
    <t>Верхнеднепровское</t>
  </si>
  <si>
    <t>66614153</t>
  </si>
  <si>
    <t>Дорогобужское</t>
  </si>
  <si>
    <t>66614101</t>
  </si>
  <si>
    <t>Усвятское</t>
  </si>
  <si>
    <t>66614465</t>
  </si>
  <si>
    <t>Духовщинский муниципальный округ</t>
  </si>
  <si>
    <t>66516000</t>
  </si>
  <si>
    <t>Духовщинский муниципальный район</t>
  </si>
  <si>
    <t>66616000</t>
  </si>
  <si>
    <t>Булгаковское</t>
  </si>
  <si>
    <t>66616412</t>
  </si>
  <si>
    <t>Духовщинское</t>
  </si>
  <si>
    <t>66616101</t>
  </si>
  <si>
    <t>Озерненское</t>
  </si>
  <si>
    <t>66616155</t>
  </si>
  <si>
    <t>Пречистенское сельское поселение</t>
  </si>
  <si>
    <t>66616448</t>
  </si>
  <si>
    <t>Третьяковское</t>
  </si>
  <si>
    <t>66616468</t>
  </si>
  <si>
    <t>Ельнинский муниципальный округ</t>
  </si>
  <si>
    <t>66519000</t>
  </si>
  <si>
    <t>66619000</t>
  </si>
  <si>
    <t>Бобровичское</t>
  </si>
  <si>
    <t>66619416</t>
  </si>
  <si>
    <t>Коробецкое</t>
  </si>
  <si>
    <t>66619440</t>
  </si>
  <si>
    <t>Леонидовское</t>
  </si>
  <si>
    <t>66619452</t>
  </si>
  <si>
    <t>Ершичский муниципальный округ</t>
  </si>
  <si>
    <t>66521000</t>
  </si>
  <si>
    <t>Ершичский муниципальный район</t>
  </si>
  <si>
    <t>66621000</t>
  </si>
  <si>
    <t>Воргинское</t>
  </si>
  <si>
    <t>66621414</t>
  </si>
  <si>
    <t>60</t>
  </si>
  <si>
    <t>Ершичское</t>
  </si>
  <si>
    <t>66621433</t>
  </si>
  <si>
    <t>61</t>
  </si>
  <si>
    <t>Кузьмичское</t>
  </si>
  <si>
    <t>66621444</t>
  </si>
  <si>
    <t>62</t>
  </si>
  <si>
    <t>Руханское</t>
  </si>
  <si>
    <t>66621466</t>
  </si>
  <si>
    <t>63</t>
  </si>
  <si>
    <t>Кардымовский муниципальный округ</t>
  </si>
  <si>
    <t>66523000</t>
  </si>
  <si>
    <t>64</t>
  </si>
  <si>
    <t>Кардымовский муниципальный район</t>
  </si>
  <si>
    <t>66623000</t>
  </si>
  <si>
    <t>Каменское</t>
  </si>
  <si>
    <t>66623410</t>
  </si>
  <si>
    <t>65</t>
  </si>
  <si>
    <t>Кардымовское</t>
  </si>
  <si>
    <t>66623151</t>
  </si>
  <si>
    <t>67</t>
  </si>
  <si>
    <t>Тюшинское</t>
  </si>
  <si>
    <t>66623432</t>
  </si>
  <si>
    <t>Шокинское</t>
  </si>
  <si>
    <t>66623428</t>
  </si>
  <si>
    <t>69</t>
  </si>
  <si>
    <t>Краснинский муниципальный район</t>
  </si>
  <si>
    <t>66624000</t>
  </si>
  <si>
    <t>Гусинское</t>
  </si>
  <si>
    <t>66624430</t>
  </si>
  <si>
    <t>71</t>
  </si>
  <si>
    <t>72</t>
  </si>
  <si>
    <t>Краснинское</t>
  </si>
  <si>
    <t>66624151</t>
  </si>
  <si>
    <t>73</t>
  </si>
  <si>
    <t>Малеевское</t>
  </si>
  <si>
    <t>66624445</t>
  </si>
  <si>
    <t>74</t>
  </si>
  <si>
    <t>Мерлинское</t>
  </si>
  <si>
    <t>66624455</t>
  </si>
  <si>
    <t>75</t>
  </si>
  <si>
    <t>Монастырщинский муниципальный округ</t>
  </si>
  <si>
    <t>66527000</t>
  </si>
  <si>
    <t>76</t>
  </si>
  <si>
    <t>Монастырщинский муниципальный район</t>
  </si>
  <si>
    <t>66627000</t>
  </si>
  <si>
    <t>Александровское</t>
  </si>
  <si>
    <t>66627405</t>
  </si>
  <si>
    <t>77</t>
  </si>
  <si>
    <t>Барсуковское</t>
  </si>
  <si>
    <t>66627410</t>
  </si>
  <si>
    <t>78</t>
  </si>
  <si>
    <t>Гоголевское</t>
  </si>
  <si>
    <t>66627420</t>
  </si>
  <si>
    <t>79</t>
  </si>
  <si>
    <t>Монастырщинский</t>
  </si>
  <si>
    <t>66627151</t>
  </si>
  <si>
    <t>81</t>
  </si>
  <si>
    <t>Новомихайловское</t>
  </si>
  <si>
    <t>66627460</t>
  </si>
  <si>
    <t>Соболевское</t>
  </si>
  <si>
    <t>66627480</t>
  </si>
  <si>
    <t>Татарское</t>
  </si>
  <si>
    <t>66627475</t>
  </si>
  <si>
    <t>84</t>
  </si>
  <si>
    <t>Новодугинский муниципальный округ</t>
  </si>
  <si>
    <t>66530000</t>
  </si>
  <si>
    <t>85</t>
  </si>
  <si>
    <t>Новодугинский муниципальный район</t>
  </si>
  <si>
    <t>66630000</t>
  </si>
  <si>
    <t>Высоковское</t>
  </si>
  <si>
    <t>66630410</t>
  </si>
  <si>
    <t>86</t>
  </si>
  <si>
    <t>Днепровское</t>
  </si>
  <si>
    <t>66630415</t>
  </si>
  <si>
    <t>87</t>
  </si>
  <si>
    <t>Извековское</t>
  </si>
  <si>
    <t>66630420</t>
  </si>
  <si>
    <t>88</t>
  </si>
  <si>
    <t>89</t>
  </si>
  <si>
    <t>Новодугинское</t>
  </si>
  <si>
    <t>66630435</t>
  </si>
  <si>
    <t>90</t>
  </si>
  <si>
    <t>Тесовское</t>
  </si>
  <si>
    <t>66630440</t>
  </si>
  <si>
    <t>Починковский муниципальный округ</t>
  </si>
  <si>
    <t>66533000</t>
  </si>
  <si>
    <t>92</t>
  </si>
  <si>
    <t>66633000</t>
  </si>
  <si>
    <t>Ленинское</t>
  </si>
  <si>
    <t>66633445</t>
  </si>
  <si>
    <t>93</t>
  </si>
  <si>
    <t>94</t>
  </si>
  <si>
    <t>96</t>
  </si>
  <si>
    <t>97</t>
  </si>
  <si>
    <t>Стодолищенское</t>
  </si>
  <si>
    <t>66633485</t>
  </si>
  <si>
    <t>98</t>
  </si>
  <si>
    <t>Шаталовское</t>
  </si>
  <si>
    <t>66633495</t>
  </si>
  <si>
    <t>99</t>
  </si>
  <si>
    <t>Рославльский муниципальный округ</t>
  </si>
  <si>
    <t>66536000</t>
  </si>
  <si>
    <t>100</t>
  </si>
  <si>
    <t>66636000</t>
  </si>
  <si>
    <t>Астапковичское</t>
  </si>
  <si>
    <t>66636408</t>
  </si>
  <si>
    <t>101</t>
  </si>
  <si>
    <t>Екимовичское</t>
  </si>
  <si>
    <t>66636430</t>
  </si>
  <si>
    <t>102</t>
  </si>
  <si>
    <t>Кирилловское</t>
  </si>
  <si>
    <t>66636442</t>
  </si>
  <si>
    <t>103</t>
  </si>
  <si>
    <t>Липовское</t>
  </si>
  <si>
    <t>66636460</t>
  </si>
  <si>
    <t>104</t>
  </si>
  <si>
    <t>Любовское</t>
  </si>
  <si>
    <t>66636462</t>
  </si>
  <si>
    <t>106</t>
  </si>
  <si>
    <t>Перенское</t>
  </si>
  <si>
    <t>66636472</t>
  </si>
  <si>
    <t>107</t>
  </si>
  <si>
    <t>Пригорьевское</t>
  </si>
  <si>
    <t>66636476</t>
  </si>
  <si>
    <t>108</t>
  </si>
  <si>
    <t>109</t>
  </si>
  <si>
    <t>110</t>
  </si>
  <si>
    <t>Сырокоренское</t>
  </si>
  <si>
    <t>66636488</t>
  </si>
  <si>
    <t>111</t>
  </si>
  <si>
    <t>Руднянский муниципальный округ</t>
  </si>
  <si>
    <t>66538000</t>
  </si>
  <si>
    <t>112</t>
  </si>
  <si>
    <t>Руднянский муниципальный район</t>
  </si>
  <si>
    <t>66638000</t>
  </si>
  <si>
    <t>Голынковское</t>
  </si>
  <si>
    <t>66638153</t>
  </si>
  <si>
    <t>113</t>
  </si>
  <si>
    <t>Любавичское сельское поселение</t>
  </si>
  <si>
    <t>66638450</t>
  </si>
  <si>
    <t>114</t>
  </si>
  <si>
    <t>Переволочское</t>
  </si>
  <si>
    <t>66638460</t>
  </si>
  <si>
    <t>Понизовское</t>
  </si>
  <si>
    <t>66638475</t>
  </si>
  <si>
    <t>116</t>
  </si>
  <si>
    <t>117</t>
  </si>
  <si>
    <t>Руднянское</t>
  </si>
  <si>
    <t>66638101</t>
  </si>
  <si>
    <t>118</t>
  </si>
  <si>
    <t>Чистиковское</t>
  </si>
  <si>
    <t>66638494</t>
  </si>
  <si>
    <t>119</t>
  </si>
  <si>
    <t>Сафоновский муниципальный округ</t>
  </si>
  <si>
    <t>66541000</t>
  </si>
  <si>
    <t>120</t>
  </si>
  <si>
    <t>66641000</t>
  </si>
  <si>
    <t>Барановское</t>
  </si>
  <si>
    <t>66641410</t>
  </si>
  <si>
    <t>121</t>
  </si>
  <si>
    <t>122</t>
  </si>
  <si>
    <t>Вадинское</t>
  </si>
  <si>
    <t>66641417</t>
  </si>
  <si>
    <t>123</t>
  </si>
  <si>
    <t>Вышегорское</t>
  </si>
  <si>
    <t>66641425</t>
  </si>
  <si>
    <t>Зимницкое</t>
  </si>
  <si>
    <t>66641445</t>
  </si>
  <si>
    <t>125</t>
  </si>
  <si>
    <t>Издешковское</t>
  </si>
  <si>
    <t>66641457</t>
  </si>
  <si>
    <t>Казулинское</t>
  </si>
  <si>
    <t>66641460</t>
  </si>
  <si>
    <t>127</t>
  </si>
  <si>
    <t>Николо-Погореловское</t>
  </si>
  <si>
    <t>66641470</t>
  </si>
  <si>
    <t>128</t>
  </si>
  <si>
    <t>Прудковское сельское поселение</t>
  </si>
  <si>
    <t>66641475</t>
  </si>
  <si>
    <t>129</t>
  </si>
  <si>
    <t>Пушкинское</t>
  </si>
  <si>
    <t>66641480</t>
  </si>
  <si>
    <t>130</t>
  </si>
  <si>
    <t>Рыбковское</t>
  </si>
  <si>
    <t>66641495</t>
  </si>
  <si>
    <t>131</t>
  </si>
  <si>
    <t>132</t>
  </si>
  <si>
    <t>Старосельское</t>
  </si>
  <si>
    <t>66641485</t>
  </si>
  <si>
    <t>134</t>
  </si>
  <si>
    <t>Смоленский муниципальный округ</t>
  </si>
  <si>
    <t>66544000</t>
  </si>
  <si>
    <t>135</t>
  </si>
  <si>
    <t>66644000</t>
  </si>
  <si>
    <t>Волоковское</t>
  </si>
  <si>
    <t>66644415</t>
  </si>
  <si>
    <t>Вязгинское</t>
  </si>
  <si>
    <t>66644417</t>
  </si>
  <si>
    <t>137</t>
  </si>
  <si>
    <t>Гнездовское сельское поселение</t>
  </si>
  <si>
    <t>66644421</t>
  </si>
  <si>
    <t>138</t>
  </si>
  <si>
    <t>Дивасовское</t>
  </si>
  <si>
    <t>66644424</t>
  </si>
  <si>
    <t>139</t>
  </si>
  <si>
    <t>Касплянское</t>
  </si>
  <si>
    <t>66644433</t>
  </si>
  <si>
    <t>140</t>
  </si>
  <si>
    <t>Катынское</t>
  </si>
  <si>
    <t>66644436</t>
  </si>
  <si>
    <t>141</t>
  </si>
  <si>
    <t>142</t>
  </si>
  <si>
    <t>Корохоткинское</t>
  </si>
  <si>
    <t>66644442</t>
  </si>
  <si>
    <t>144</t>
  </si>
  <si>
    <t>Лоинское</t>
  </si>
  <si>
    <t>66644454</t>
  </si>
  <si>
    <t>145</t>
  </si>
  <si>
    <t>Михновское</t>
  </si>
  <si>
    <t>66644465</t>
  </si>
  <si>
    <t>146</t>
  </si>
  <si>
    <t>Новосельское сельское поселение</t>
  </si>
  <si>
    <t>66644406</t>
  </si>
  <si>
    <t>147</t>
  </si>
  <si>
    <t>Печерское</t>
  </si>
  <si>
    <t>66644474</t>
  </si>
  <si>
    <t>148</t>
  </si>
  <si>
    <t>Пионерское</t>
  </si>
  <si>
    <t>66644476</t>
  </si>
  <si>
    <t>149</t>
  </si>
  <si>
    <t>Пригорское</t>
  </si>
  <si>
    <t>66644482</t>
  </si>
  <si>
    <t>150</t>
  </si>
  <si>
    <t>151</t>
  </si>
  <si>
    <t>152</t>
  </si>
  <si>
    <t>Стабенское</t>
  </si>
  <si>
    <t>66644486</t>
  </si>
  <si>
    <t>153</t>
  </si>
  <si>
    <t>154</t>
  </si>
  <si>
    <t>Хохловское</t>
  </si>
  <si>
    <t>66644498</t>
  </si>
  <si>
    <t>155</t>
  </si>
  <si>
    <t>Сычевский муниципальный округ</t>
  </si>
  <si>
    <t>66546000</t>
  </si>
  <si>
    <t>156</t>
  </si>
  <si>
    <t>66646000</t>
  </si>
  <si>
    <t>Дугинское</t>
  </si>
  <si>
    <t>66646470</t>
  </si>
  <si>
    <t>157</t>
  </si>
  <si>
    <t>Караваевское</t>
  </si>
  <si>
    <t>66646425</t>
  </si>
  <si>
    <t>158</t>
  </si>
  <si>
    <t>Мальцевское сельское поселение</t>
  </si>
  <si>
    <t>66646420</t>
  </si>
  <si>
    <t>159</t>
  </si>
  <si>
    <t>66646410</t>
  </si>
  <si>
    <t>160</t>
  </si>
  <si>
    <t>161</t>
  </si>
  <si>
    <t>162</t>
  </si>
  <si>
    <t>Темкинский муниципальный округ</t>
  </si>
  <si>
    <t>66548000</t>
  </si>
  <si>
    <t>163</t>
  </si>
  <si>
    <t>Темкинский муниципальный район</t>
  </si>
  <si>
    <t>66648000</t>
  </si>
  <si>
    <t>Батюшковское</t>
  </si>
  <si>
    <t>66648410</t>
  </si>
  <si>
    <t>164</t>
  </si>
  <si>
    <t>Медведевское</t>
  </si>
  <si>
    <t>66648435</t>
  </si>
  <si>
    <t>165</t>
  </si>
  <si>
    <t>Павловское сельское поселение</t>
  </si>
  <si>
    <t>66648440</t>
  </si>
  <si>
    <t>166</t>
  </si>
  <si>
    <t>Темкинское</t>
  </si>
  <si>
    <t>66648450</t>
  </si>
  <si>
    <t>168</t>
  </si>
  <si>
    <t>Угранский муниципальный округ</t>
  </si>
  <si>
    <t>66550000</t>
  </si>
  <si>
    <t>169</t>
  </si>
  <si>
    <t>Угранский муниципальный район</t>
  </si>
  <si>
    <t>66650000</t>
  </si>
  <si>
    <t>Всходское</t>
  </si>
  <si>
    <t>66650420</t>
  </si>
  <si>
    <t>170</t>
  </si>
  <si>
    <t>Знаменское</t>
  </si>
  <si>
    <t>66650435</t>
  </si>
  <si>
    <t>171</t>
  </si>
  <si>
    <t>172</t>
  </si>
  <si>
    <t>Угранское</t>
  </si>
  <si>
    <t>66650477</t>
  </si>
  <si>
    <t>173</t>
  </si>
  <si>
    <t>Хиславичский муниципальный округ</t>
  </si>
  <si>
    <t>66552000</t>
  </si>
  <si>
    <t>174</t>
  </si>
  <si>
    <t>Хиславичский муниципальный район</t>
  </si>
  <si>
    <t>66652000</t>
  </si>
  <si>
    <t>Владимировское</t>
  </si>
  <si>
    <t>66652405</t>
  </si>
  <si>
    <t>175</t>
  </si>
  <si>
    <t>Городищенское</t>
  </si>
  <si>
    <t>66652425</t>
  </si>
  <si>
    <t>176</t>
  </si>
  <si>
    <t>Кожуховичское</t>
  </si>
  <si>
    <t>66652410</t>
  </si>
  <si>
    <t>177</t>
  </si>
  <si>
    <t>Корзовское</t>
  </si>
  <si>
    <t>66652422</t>
  </si>
  <si>
    <t>178</t>
  </si>
  <si>
    <t>Печерское сельское поселение</t>
  </si>
  <si>
    <t>66652455</t>
  </si>
  <si>
    <t>179</t>
  </si>
  <si>
    <t>180</t>
  </si>
  <si>
    <t>Хиславичское</t>
  </si>
  <si>
    <t>66652151</t>
  </si>
  <si>
    <t>181</t>
  </si>
  <si>
    <t>Череповское</t>
  </si>
  <si>
    <t>66652480</t>
  </si>
  <si>
    <t>182</t>
  </si>
  <si>
    <t>Холм-Жирковский муниципальный округ</t>
  </si>
  <si>
    <t>66554000</t>
  </si>
  <si>
    <t>66654000</t>
  </si>
  <si>
    <t>Агибаловское</t>
  </si>
  <si>
    <t>66654405</t>
  </si>
  <si>
    <t>184</t>
  </si>
  <si>
    <t>Богдановское сельское поселение</t>
  </si>
  <si>
    <t>66654415</t>
  </si>
  <si>
    <t>185</t>
  </si>
  <si>
    <t>Игоревское</t>
  </si>
  <si>
    <t>66654425</t>
  </si>
  <si>
    <t>186</t>
  </si>
  <si>
    <t>Лехминское</t>
  </si>
  <si>
    <t>66654430</t>
  </si>
  <si>
    <t>187</t>
  </si>
  <si>
    <t>Тупиковское</t>
  </si>
  <si>
    <t>66654472</t>
  </si>
  <si>
    <t>188</t>
  </si>
  <si>
    <t>189</t>
  </si>
  <si>
    <t>190</t>
  </si>
  <si>
    <t>Шумячский муниципальный район</t>
  </si>
  <si>
    <t>66656000</t>
  </si>
  <si>
    <t>Надейковичское</t>
  </si>
  <si>
    <t>66656440</t>
  </si>
  <si>
    <t>192</t>
  </si>
  <si>
    <t>Озерное</t>
  </si>
  <si>
    <t>66656420</t>
  </si>
  <si>
    <t>193</t>
  </si>
  <si>
    <t>Первомайское сельское поселение</t>
  </si>
  <si>
    <t>66656445</t>
  </si>
  <si>
    <t>194</t>
  </si>
  <si>
    <t>Понятовское</t>
  </si>
  <si>
    <t>66656425</t>
  </si>
  <si>
    <t>195</t>
  </si>
  <si>
    <t>Руссковское</t>
  </si>
  <si>
    <t>66656435</t>
  </si>
  <si>
    <t>196</t>
  </si>
  <si>
    <t>Снегиревское</t>
  </si>
  <si>
    <t>66656405</t>
  </si>
  <si>
    <t>197</t>
  </si>
  <si>
    <t>Студенецкое</t>
  </si>
  <si>
    <t>66656460</t>
  </si>
  <si>
    <t>198</t>
  </si>
  <si>
    <t>199</t>
  </si>
  <si>
    <t>Шумячское</t>
  </si>
  <si>
    <t>66656151</t>
  </si>
  <si>
    <t>200</t>
  </si>
  <si>
    <t>Ярцевский муниципальный округ</t>
  </si>
  <si>
    <t>66558000</t>
  </si>
  <si>
    <t>201</t>
  </si>
  <si>
    <t>66658000</t>
  </si>
  <si>
    <t>Капыревщинское</t>
  </si>
  <si>
    <t>66658415</t>
  </si>
  <si>
    <t>202</t>
  </si>
  <si>
    <t>Михейковское</t>
  </si>
  <si>
    <t>66658435</t>
  </si>
  <si>
    <t>203</t>
  </si>
  <si>
    <t>Мушковичское</t>
  </si>
  <si>
    <t>66658445</t>
  </si>
  <si>
    <t>204</t>
  </si>
  <si>
    <t>Подрощинское</t>
  </si>
  <si>
    <t>66658455</t>
  </si>
  <si>
    <t>205</t>
  </si>
  <si>
    <t>Суетовское</t>
  </si>
  <si>
    <t>66658480</t>
  </si>
  <si>
    <t>206</t>
  </si>
  <si>
    <t>207</t>
  </si>
  <si>
    <t>208</t>
  </si>
  <si>
    <t>NUMBER_POINT</t>
  </si>
  <si>
    <t>INVP_NAME</t>
  </si>
  <si>
    <t>INVP_ID</t>
  </si>
  <si>
    <t>L_START_DATE</t>
  </si>
  <si>
    <t>L_END_DATE</t>
  </si>
  <si>
    <t>L_DECISION_NAME</t>
  </si>
  <si>
    <t>L_DECISION_TYPE</t>
  </si>
  <si>
    <t>L_DECISION_NMBR</t>
  </si>
  <si>
    <t>L_DECISION_DATE</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</si>
  <si>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Воргинское, Ершичский муниципальный район на 2023-2025 годы</t>
  </si>
  <si>
    <t>01.01.2023</t>
  </si>
  <si>
    <t>Инвестиционная программа № 21 от 13.05.2022 ООО "Смоленскрегионтеплоэнерго" в сфере теплоснабжения по модернизации и реконструкции газовой котельной, на территории сельского поселения Ершичское, Ершичский муниципальный район на 2023-2025 годы</t>
  </si>
  <si>
    <t>Инвестиционная программа № 24 от 15.05.2020 Филиал "Смоленская ГРЭС" ПАО "Юнипро" в сфере теплоснабжения по реконструкции и модернизации существующих объектов тепловых сетей, на территории муниципального района Духовщинский на 2021 год</t>
  </si>
  <si>
    <t>01.01.2021</t>
  </si>
  <si>
    <t>31.12.2021</t>
  </si>
  <si>
    <t>Инвестиционная программа № 33 от 31.05.2024 ООО "Смоленскрегионтеплоэнерго" в сфере теплоснабжения по строительству газовой блочно-модульной котельной, на территории г Ярцево, Ярцевское, Ярцевский муниципальный район на 2025-2027 годы</t>
  </si>
  <si>
    <t>Инвестиционная программа № 34 от 18.07.2023 Филиал АО "Квадра" - "Смоленская генерация"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</si>
  <si>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2022-2024 годы</t>
  </si>
  <si>
    <t>01.01.2022</t>
  </si>
  <si>
    <t>Инвестиционная программа № 48 от 24.05.2021 ООО "Смоленскрегионтеплоэнерго" в сфере теплоснабжения по реконструкции и модернизации существующих объектов котельной, на территории муниципального района Починковский на 2022-2025 годы</t>
  </si>
  <si>
    <t>Инвестиционная программа № 49 от 24.05.2021 Филиал "Смоленская ГРЭС" ПАО "Юнипро" в сфере теплоснабжения по реконструкции и модернизации существующих объектов тепловых сетей, на территории городского поселения Озерненское, Духовщинский муниципальный район на 2022 год</t>
  </si>
  <si>
    <t>31.12.2022</t>
  </si>
  <si>
    <t>Инвестиционная программа № 62 от 27.10.2023 ООО "Смоленскрегионтеплоэнерго" в сфере теплоснабжения по реконструкции существующих объектов котельных, на территории муниципального района Сычевский на 2024-2026 годы</t>
  </si>
  <si>
    <t>Инвестиционная программа № 63 от 27.10.2023 МУП "Смоленсктеплосеть" в сфере теплоснабжения по реконструкции существующих объектов тепловых сетей и системы централизованного теплоснабжения, на территории городского округа Смоленск на 2024-2028 годы</t>
  </si>
  <si>
    <t>Инвестиционная программа от 18.03.2021 ООО "Смоленскрегионтеплоэнерго" в сфере теплоснабжения по модернизации тепловых сетей, на территории муниципального района Холм-Жирковский на 2021-2035 годы</t>
  </si>
  <si>
    <t>18.03.2021</t>
  </si>
  <si>
    <t>31.12.2035</t>
  </si>
  <si>
    <t>Инвестиционная программа от 24.05.2021 ООО "Смоленская биоэнергетическая компания" в сфере теплоснабжения по реконструкции газовой котельной, на территории г Сычевка, Сычевское, Сычевский муниципальный район на 2021-2035 годы</t>
  </si>
  <si>
    <t>24.05.2021</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</si>
  <si>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</si>
  <si>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</si>
  <si>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</si>
  <si>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</si>
  <si>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</si>
  <si>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</si>
  <si>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</si>
  <si>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</si>
  <si>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</si>
  <si>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</si>
  <si>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</si>
  <si>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Территория 11</t>
  </si>
  <si>
    <t>Территория 12</t>
  </si>
  <si>
    <t>Территория 13</t>
  </si>
  <si>
    <t>Территория 14</t>
  </si>
  <si>
    <t>Территория 15</t>
  </si>
  <si>
    <t>Территория 16</t>
  </si>
  <si>
    <t>Территория 17</t>
  </si>
  <si>
    <t>Территория 18</t>
  </si>
  <si>
    <t>Территория 19</t>
  </si>
  <si>
    <t>Территория 20</t>
  </si>
  <si>
    <t>Территория 21</t>
  </si>
  <si>
    <t>Территория 22</t>
  </si>
  <si>
    <t>Территория 23</t>
  </si>
  <si>
    <t>Территория 24</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</si>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</sst>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09">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29">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CCCCFF"/>
      </patternFill>
    </fill>
    <fill>
      <patternFill patternType="solid">
        <fgColor rgb="FF00CCFF"/>
      </patternFill>
    </fill>
    <fill>
      <patternFill patternType="solid">
        <fgColor rgb="FFEAEBEE"/>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3" fillId="0" borderId="0" applyFill="0" applyBorder="0">
      <alignment vertical="top"/>
    </xf>
    <xf numFmtId="0" fontId="10" fillId="0" borderId="0" applyFill="0" applyBorder="0"/>
    <xf numFmtId="0" fontId="11" fillId="0" borderId="0" applyFill="0" applyBorder="0">
      <alignment vertical="top"/>
    </xf>
  </cellStyleXfs>
  <cellXfs count="24400">
    <xf numFmtId="49" fontId="0" fillId="0" borderId="0" xfId="0" applyNumberFormat="1" applyFont="1">
      <alignment vertical="top"/>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96"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97"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98"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98"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6"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99"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0"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1" fillId="0" borderId="3" xfId="0" applyNumberFormat="1" applyFont="1" applyBorder="1" applyAlignment="1">
      <alignment horizontal="center" vertical="center" wrapText="1"/>
    </xf>
    <xf numFmtId="49" fontId="101" fillId="0" borderId="8" xfId="0" applyNumberFormat="1" applyFont="1" applyBorder="1" applyAlignment="1">
      <alignment horizontal="center" vertical="center" wrapText="1"/>
    </xf>
    <xf numFmtId="0" fontId="5" fillId="26" borderId="3" xfId="12" applyFont="1" applyFill="1" applyBorder="1" applyAlignment="1">
      <alignment vertical="center"/>
    </xf>
    <xf numFmtId="0" fontId="27" fillId="27"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11"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0"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20"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5" fillId="0" borderId="0" xfId="13" applyNumberFormat="1" applyFont="1" applyAlignment="1">
      <alignment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28" fillId="0" borderId="0" xfId="13" applyNumberFormat="1" applyFont="1" applyAlignment="1">
      <alignment horizontal="center" vertical="center" wrapText="1"/>
    </xf>
    <xf numFmtId="0" fontId="27" fillId="0" borderId="0" xfId="13" applyNumberFormat="1" applyFont="1" applyAlignment="1">
      <alignment vertical="center" wrapText="1"/>
    </xf>
    <xf numFmtId="0" fontId="27" fillId="0" borderId="0" xfId="13" applyNumberFormat="1" applyFont="1" applyAlignment="1">
      <alignment vertical="center"/>
    </xf>
    <xf numFmtId="0" fontId="5" fillId="0" borderId="10" xfId="13" applyNumberFormat="1" applyFont="1" applyBorder="1" applyAlignment="1">
      <alignment horizontal="left" vertical="top" wrapText="1" indent="1"/>
    </xf>
    <xf numFmtId="0" fontId="5" fillId="0" borderId="18" xfId="13" applyNumberFormat="1" applyFont="1" applyBorder="1" applyAlignment="1">
      <alignment horizontal="left" vertical="center" wrapText="1" indent="1"/>
    </xf>
    <xf numFmtId="0" fontId="30" fillId="8" borderId="0" xfId="13" applyNumberFormat="1" applyFont="1" applyFill="1" applyAlignment="1">
      <alignment horizontal="center" vertical="center" wrapText="1"/>
    </xf>
    <xf numFmtId="0" fontId="28" fillId="0" borderId="0" xfId="13" applyNumberFormat="1" applyFont="1" applyAlignment="1">
      <alignment vertical="center" wrapText="1"/>
    </xf>
    <xf numFmtId="0" fontId="61" fillId="8" borderId="10"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 fontId="5" fillId="9" borderId="3" xfId="13" applyNumberFormat="1" applyFont="1" applyFill="1" applyBorder="1" applyAlignment="1" applyProtection="1">
      <alignment horizontal="right" vertical="center" wrapText="1"/>
      <protection locked="0"/>
    </xf>
    <xf numFmtId="4" fontId="5"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27" fillId="0" borderId="3" xfId="13" applyNumberFormat="1" applyFont="1" applyBorder="1" applyAlignment="1">
      <alignment vertical="center" wrapText="1"/>
    </xf>
    <xf numFmtId="0" fontId="0" fillId="0" borderId="3" xfId="13" applyNumberFormat="1" applyFont="1" applyBorder="1" applyAlignment="1">
      <alignment horizontal="center" vertical="center" wrapText="1"/>
    </xf>
    <xf numFmtId="0" fontId="61" fillId="8" borderId="0" xfId="13" applyNumberFormat="1" applyFont="1" applyFill="1" applyAlignment="1">
      <alignment horizontal="center" vertical="center" wrapText="1"/>
    </xf>
    <xf numFmtId="4" fontId="27" fillId="0" borderId="3" xfId="13" applyNumberFormat="1" applyFont="1" applyBorder="1" applyAlignment="1">
      <alignment horizontal="right"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10" fillId="0" borderId="0" xfId="0" applyNumberFormat="1" applyFont="1" applyAlignment="1"/>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0" fillId="10" borderId="6" xfId="13" applyNumberFormat="1" applyFont="1" applyFill="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49" fontId="16" fillId="0" borderId="55" xfId="0" applyNumberFormat="1" applyFont="1" applyBorder="1" applyAlignment="1">
      <alignment horizontal="center" vertical="center" wrapText="1"/>
    </xf>
    <xf numFmtId="49" fontId="16" fillId="0" borderId="56"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57"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4" xfId="0" applyNumberFormat="1" applyFont="1" applyBorder="1" applyAlignment="1">
      <alignment horizontal="center" vertical="center" wrapText="1"/>
    </xf>
    <xf numFmtId="0" fontId="5" fillId="0" borderId="54"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0" fontId="5" fillId="0" borderId="0" xfId="13" applyNumberFormat="1" applyFont="1" applyAlignment="1">
      <alignment horizontal="left" vertical="top" wrapText="1"/>
    </xf>
    <xf numFmtId="0" fontId="5" fillId="7" borderId="5" xfId="13" applyNumberFormat="1" applyFont="1" applyFill="1" applyBorder="1" applyAlignment="1">
      <alignment horizontal="left" vertical="center" wrapText="1"/>
    </xf>
    <xf numFmtId="0" fontId="5" fillId="7" borderId="6" xfId="13" applyNumberFormat="1" applyFont="1" applyFill="1" applyBorder="1" applyAlignment="1">
      <alignment horizontal="left" vertical="center" wrapText="1"/>
    </xf>
    <xf numFmtId="0" fontId="5" fillId="7" borderId="4" xfId="13" applyNumberFormat="1" applyFont="1" applyFill="1" applyBorder="1" applyAlignment="1">
      <alignment horizontal="left" vertical="center" wrapText="1"/>
    </xf>
    <xf numFmtId="0" fontId="5" fillId="9" borderId="5" xfId="13" applyNumberFormat="1" applyFont="1" applyFill="1" applyBorder="1" applyAlignment="1" applyProtection="1">
      <alignment horizontal="left" vertical="center" wrapText="1"/>
      <protection locked="0"/>
    </xf>
    <xf numFmtId="0" fontId="5" fillId="9" borderId="6" xfId="13" applyNumberFormat="1" applyFont="1" applyFill="1" applyBorder="1" applyAlignment="1" applyProtection="1">
      <alignment horizontal="left" vertical="center" wrapText="1"/>
      <protection locked="0"/>
    </xf>
    <xf numFmtId="0" fontId="5" fillId="9" borderId="4" xfId="13" applyNumberFormat="1" applyFont="1" applyFill="1" applyBorder="1" applyAlignment="1" applyProtection="1">
      <alignment horizontal="left" vertical="center" wrapText="1"/>
      <protection locked="0"/>
    </xf>
    <xf numFmtId="0" fontId="5" fillId="13" borderId="5" xfId="13" applyNumberFormat="1" applyFont="1" applyFill="1" applyBorder="1" applyAlignment="1">
      <alignment horizontal="left" vertical="center"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5" fillId="0" borderId="3" xfId="13" applyNumberFormat="1" applyFont="1" applyBorder="1" applyAlignment="1">
      <alignment horizontal="center" vertical="center" wrapText="1"/>
    </xf>
    <xf numFmtId="49" fontId="5" fillId="8" borderId="3" xfId="11" applyNumberFormat="1" applyFont="1" applyFill="1" applyBorder="1" applyAlignment="1">
      <alignment horizontal="center" vertical="center" wrapText="1"/>
    </xf>
    <xf numFmtId="0" fontId="61" fillId="8" borderId="10" xfId="13" applyNumberFormat="1" applyFont="1" applyFill="1" applyBorder="1" applyAlignment="1">
      <alignment horizontal="center" vertical="center" wrapText="1"/>
    </xf>
    <xf numFmtId="168"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0" fontId="5" fillId="7" borderId="3" xfId="13" applyNumberFormat="1" applyFont="1" applyFill="1" applyBorder="1" applyAlignment="1">
      <alignment horizontal="left" vertical="center" wrapText="1" indent="1"/>
    </xf>
    <xf numFmtId="168" fontId="5" fillId="7" borderId="3" xfId="13" applyNumberFormat="1" applyFont="1" applyFill="1" applyBorder="1" applyAlignment="1">
      <alignment horizontal="left" vertical="center" wrapText="1" indent="1"/>
    </xf>
    <xf numFmtId="0" fontId="17" fillId="0" borderId="18" xfId="13" applyNumberFormat="1" applyFont="1" applyBorder="1" applyAlignment="1">
      <alignment horizontal="center" vertical="center" wrapText="1"/>
    </xf>
    <xf numFmtId="0" fontId="0" fillId="8" borderId="5" xfId="13" applyNumberFormat="1" applyFont="1" applyFill="1" applyBorder="1" applyAlignment="1">
      <alignment horizontal="center" vertical="center" wrapText="1"/>
    </xf>
    <xf numFmtId="0" fontId="0" fillId="8" borderId="10" xfId="13" applyNumberFormat="1" applyFont="1" applyFill="1" applyBorder="1" applyAlignment="1">
      <alignment horizontal="center" vertical="center" wrapText="1"/>
    </xf>
    <xf numFmtId="0" fontId="0" fillId="8" borderId="6" xfId="13" applyNumberFormat="1" applyFont="1" applyFill="1" applyBorder="1" applyAlignment="1">
      <alignment horizontal="center" vertical="center" wrapText="1"/>
    </xf>
    <xf numFmtId="0" fontId="0" fillId="8" borderId="4" xfId="13" applyNumberFormat="1" applyFont="1" applyFill="1" applyBorder="1" applyAlignment="1">
      <alignment horizontal="center" vertical="center" wrapText="1"/>
    </xf>
    <xf numFmtId="0" fontId="5" fillId="8" borderId="8" xfId="13" applyNumberFormat="1" applyFont="1" applyFill="1" applyBorder="1" applyAlignment="1">
      <alignment horizontal="center" vertical="center" wrapText="1"/>
    </xf>
    <xf numFmtId="0" fontId="5" fillId="8" borderId="27" xfId="13" applyNumberFormat="1" applyFont="1" applyFill="1" applyBorder="1" applyAlignment="1">
      <alignment horizontal="center" vertical="center" wrapText="1"/>
    </xf>
    <xf numFmtId="0" fontId="5" fillId="8" borderId="14" xfId="13" applyNumberFormat="1" applyFont="1" applyFill="1" applyBorder="1" applyAlignment="1">
      <alignment horizontal="center" vertical="center" wrapText="1"/>
    </xf>
    <xf numFmtId="0" fontId="5" fillId="0" borderId="28" xfId="13" applyNumberFormat="1" applyFont="1" applyBorder="1" applyAlignment="1">
      <alignment horizontal="center" vertical="center" wrapText="1"/>
    </xf>
    <xf numFmtId="0" fontId="5" fillId="0" borderId="10" xfId="13" applyNumberFormat="1" applyFont="1" applyBorder="1" applyAlignment="1">
      <alignment horizontal="center" vertical="center" wrapText="1"/>
    </xf>
    <xf numFmtId="0" fontId="5" fillId="0" borderId="11" xfId="13" applyNumberFormat="1" applyFont="1" applyBorder="1" applyAlignment="1">
      <alignment horizontal="center" vertical="center" wrapText="1"/>
    </xf>
    <xf numFmtId="0" fontId="5" fillId="0" borderId="21" xfId="13" applyNumberFormat="1" applyFont="1" applyBorder="1" applyAlignment="1">
      <alignment horizontal="center" vertical="center" wrapText="1"/>
    </xf>
    <xf numFmtId="0" fontId="5" fillId="0" borderId="18" xfId="13" applyNumberFormat="1" applyFont="1" applyBorder="1" applyAlignment="1">
      <alignment horizontal="center" vertical="center" wrapText="1"/>
    </xf>
    <xf numFmtId="0" fontId="5" fillId="0" borderId="20" xfId="13" applyNumberFormat="1" applyFont="1" applyBorder="1" applyAlignment="1">
      <alignment horizontal="center" vertical="center" wrapText="1"/>
    </xf>
    <xf numFmtId="0" fontId="0" fillId="0" borderId="5" xfId="13" applyNumberFormat="1" applyFont="1" applyBorder="1" applyAlignment="1">
      <alignment horizontal="center" vertical="center" wrapText="1"/>
    </xf>
    <xf numFmtId="0" fontId="0" fillId="0" borderId="4" xfId="13" applyNumberFormat="1" applyFont="1" applyBorder="1" applyAlignment="1">
      <alignment horizontal="center" vertical="center" wrapText="1"/>
    </xf>
    <xf numFmtId="49" fontId="5" fillId="13" borderId="3" xfId="13" applyNumberFormat="1" applyFont="1" applyFill="1" applyBorder="1" applyAlignment="1">
      <alignment horizontal="center" vertical="center" wrapText="1"/>
    </xf>
    <xf numFmtId="0" fontId="16" fillId="0" borderId="0" xfId="0" applyNumberFormat="1" applyFont="1" applyAlignment="1">
      <alignment horizontal="center" vertical="center" wrapText="1"/>
    </xf>
    <xf numFmtId="168" fontId="0" fillId="12" borderId="8" xfId="13" applyNumberFormat="1" applyFont="1" applyFill="1" applyBorder="1" applyAlignment="1" applyProtection="1">
      <alignment horizontal="center" vertical="center" wrapText="1"/>
      <protection locked="0"/>
    </xf>
    <xf numFmtId="49" fontId="27" fillId="0" borderId="3" xfId="13" applyNumberFormat="1" applyFont="1" applyBorder="1" applyAlignment="1">
      <alignment horizontal="center" vertical="center" wrapText="1"/>
    </xf>
    <xf numFmtId="49" fontId="0" fillId="12" borderId="14" xfId="13" applyNumberFormat="1" applyFont="1" applyFill="1" applyBorder="1" applyAlignment="1" applyProtection="1">
      <alignment horizontal="center" vertical="center" wrapText="1"/>
      <protection locked="0"/>
    </xf>
    <xf numFmtId="168" fontId="27" fillId="0" borderId="3" xfId="13" applyNumberFormat="1" applyFont="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28"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3" xfId="0" applyNumberFormat="1" applyFont="1" applyBorder="1" applyAlignment="1">
      <alignment horizontal="center" vertical="center"/>
    </xf>
    <xf numFmtId="0" fontId="5" fillId="0" borderId="59"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2"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98"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0"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0"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5" zoomScale="90" workbookViewId="0">
      <selection activeCell="F69" sqref="F69:F70"/>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1971"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7"/>
      <c r="F1" s="178" t="s">
        <v>0</v>
      </c>
      <c r="G1" s="347"/>
      <c r="H1" s="10"/>
      <c r="I1" s="347"/>
      <c r="J1" s="801"/>
      <c r="Q1" s="178" t="s">
        <v>1</v>
      </c>
    </row>
    <row r="2" spans="1:17" s="1558" customFormat="1" ht="14.25" customHeight="1">
      <c r="A2" s="713"/>
      <c r="B2" s="37"/>
      <c r="E2" s="1638" t="e">
        <f>code</f>
        <v>#REF!</v>
      </c>
      <c r="F2" s="205"/>
      <c r="G2" s="181"/>
      <c r="H2" s="181"/>
      <c r="I2" s="181"/>
      <c r="J2" s="802"/>
      <c r="K2" s="181"/>
      <c r="Q2" s="10">
        <v>14</v>
      </c>
    </row>
    <row r="3" spans="1:17" ht="14.65" customHeight="1">
      <c r="E3" s="182" t="e">
        <f>version</f>
        <v>#REF!</v>
      </c>
      <c r="F3" s="205"/>
      <c r="G3" s="701"/>
      <c r="H3" s="701"/>
      <c r="I3" s="701"/>
      <c r="J3" s="803"/>
      <c r="K3" s="27"/>
      <c r="Q3" s="13">
        <v>14</v>
      </c>
    </row>
    <row r="4" spans="1:17" s="1538" customFormat="1" ht="6.4" customHeight="1">
      <c r="A4" s="714"/>
      <c r="B4" s="168"/>
      <c r="C4" s="169"/>
      <c r="D4" s="170"/>
      <c r="E4" s="179"/>
      <c r="F4" s="180"/>
      <c r="G4" s="702"/>
      <c r="H4" s="345"/>
      <c r="I4" s="347"/>
      <c r="J4" s="804"/>
      <c r="Q4" s="172">
        <v>6</v>
      </c>
    </row>
    <row r="5" spans="1:17" ht="39.75" customHeight="1">
      <c r="D5" s="14"/>
      <c r="E5" s="23927" t="str">
        <f>NameTemplatesInTitle</f>
        <v>Показатели, подлежащие раскрытию в сфере горячего водоснабжения (цены и тарифы)</v>
      </c>
      <c r="F5" s="23928"/>
      <c r="G5" s="703"/>
      <c r="J5" s="805"/>
      <c r="Q5" s="13">
        <v>38</v>
      </c>
    </row>
    <row r="6" spans="1:17" s="1538" customFormat="1" ht="6.4" customHeight="1">
      <c r="A6" s="714"/>
      <c r="B6" s="168"/>
      <c r="C6" s="169"/>
      <c r="D6" s="170"/>
      <c r="E6" s="173"/>
      <c r="F6" s="174"/>
      <c r="G6" s="703"/>
      <c r="H6" s="345"/>
      <c r="I6" s="347"/>
      <c r="J6" s="804"/>
      <c r="Q6" s="172">
        <v>6</v>
      </c>
    </row>
    <row r="7" spans="1:17" ht="21" customHeight="1">
      <c r="D7" s="14"/>
      <c r="E7" s="327" t="s">
        <v>2</v>
      </c>
      <c r="F7" s="152" t="s">
        <v>3</v>
      </c>
      <c r="G7" s="703"/>
      <c r="Q7" s="13">
        <v>20</v>
      </c>
    </row>
    <row r="8" spans="1:17" s="1538" customFormat="1" ht="6.4" customHeight="1">
      <c r="A8" s="715"/>
      <c r="B8" s="168"/>
      <c r="C8" s="169"/>
      <c r="D8" s="175"/>
      <c r="E8" s="173"/>
      <c r="F8" s="176"/>
      <c r="G8" s="16"/>
      <c r="H8" s="345"/>
      <c r="I8" s="347"/>
      <c r="J8" s="807"/>
      <c r="Q8" s="172">
        <v>6</v>
      </c>
    </row>
    <row r="9" spans="1:17" s="1561" customFormat="1" ht="19.5" hidden="1" customHeight="1">
      <c r="A9" s="714"/>
      <c r="B9" s="37"/>
      <c r="C9" s="344"/>
      <c r="D9" s="346"/>
      <c r="E9" s="1091" t="s">
        <v>4</v>
      </c>
      <c r="F9" s="1818"/>
      <c r="G9" s="703"/>
      <c r="I9" s="1797" t="str">
        <f>IF(TITLE_STRUCTURE_INFO_ROIV="","","раскрывается "&amp;INDEX(ROIV_INFO_COMMENT,MATCH(TITLE_STRUCTURE_INFO_ROIV,ROIV_INFO_LIST,0)))</f>
        <v/>
      </c>
      <c r="J9" s="806"/>
      <c r="Q9" s="345">
        <v>0</v>
      </c>
    </row>
    <row r="10" spans="1:17" s="1538" customFormat="1" ht="24" hidden="1" customHeight="1">
      <c r="A10" s="715"/>
      <c r="B10" s="362"/>
      <c r="C10" s="363"/>
      <c r="D10" s="175"/>
      <c r="E10" s="1091" t="s">
        <v>5</v>
      </c>
      <c r="F10" s="1960" t="s">
        <v>6</v>
      </c>
      <c r="G10" s="16"/>
      <c r="H10" s="345"/>
      <c r="I10" s="347"/>
      <c r="J10" s="807"/>
      <c r="Q10" s="366">
        <v>24</v>
      </c>
    </row>
    <row r="11" spans="1:17" ht="22.5" customHeight="1">
      <c r="A11" s="23930" t="s">
        <v>7</v>
      </c>
      <c r="D11" s="14"/>
      <c r="E11" s="1091" t="s">
        <v>8</v>
      </c>
      <c r="F11" s="1630" t="s">
        <v>9</v>
      </c>
      <c r="G11" s="16"/>
      <c r="H11" s="704" t="s">
        <v>10</v>
      </c>
      <c r="J11" s="806" t="s">
        <v>11</v>
      </c>
      <c r="Q11" s="13">
        <v>0</v>
      </c>
    </row>
    <row r="12" spans="1:17" ht="22.5" customHeight="1">
      <c r="A12" s="23930"/>
      <c r="D12" s="14"/>
      <c r="E12" s="1091" t="s">
        <v>12</v>
      </c>
      <c r="F12" s="1630" t="s">
        <v>13</v>
      </c>
      <c r="G12" s="12"/>
      <c r="J12" s="806" t="s">
        <v>14</v>
      </c>
      <c r="Q12" s="13">
        <v>0</v>
      </c>
    </row>
    <row r="13" spans="1:17" s="1561" customFormat="1" ht="22.5" hidden="1" customHeight="1">
      <c r="A13" s="718" t="s">
        <v>15</v>
      </c>
      <c r="B13" s="37"/>
      <c r="C13" s="344"/>
      <c r="D13" s="346"/>
      <c r="E13" s="1673" t="s">
        <v>16</v>
      </c>
      <c r="F13" s="1630" t="s">
        <v>17</v>
      </c>
      <c r="G13" s="16"/>
      <c r="H13" s="701"/>
      <c r="I13" s="347"/>
      <c r="J13" s="1674" t="s">
        <v>18</v>
      </c>
      <c r="Q13" s="345">
        <v>0</v>
      </c>
    </row>
    <row r="14" spans="1:17" s="1561" customFormat="1" ht="27" hidden="1" customHeight="1">
      <c r="A14" s="718" t="s">
        <v>19</v>
      </c>
      <c r="B14" s="37"/>
      <c r="C14" s="344"/>
      <c r="D14" s="346"/>
      <c r="E14" s="1091" t="s">
        <v>20</v>
      </c>
      <c r="F14" s="1665"/>
      <c r="G14" s="16"/>
      <c r="H14" s="701"/>
      <c r="I14" s="347"/>
      <c r="J14" s="806" t="s">
        <v>21</v>
      </c>
      <c r="Q14" s="345">
        <v>0</v>
      </c>
    </row>
    <row r="15" spans="1:17" s="1561" customFormat="1" ht="19.5" hidden="1" customHeight="1">
      <c r="A15" s="718" t="s">
        <v>22</v>
      </c>
      <c r="B15" s="37"/>
      <c r="C15" s="344"/>
      <c r="D15" s="346"/>
      <c r="E15" s="1091" t="s">
        <v>23</v>
      </c>
      <c r="F15" s="1665"/>
      <c r="G15" s="16"/>
      <c r="H15" s="701"/>
      <c r="I15" s="347"/>
      <c r="J15" s="806" t="s">
        <v>24</v>
      </c>
      <c r="Q15" s="345">
        <v>0</v>
      </c>
    </row>
    <row r="16" spans="1:17" s="1538" customFormat="1" ht="6.4" customHeight="1">
      <c r="A16" s="715"/>
      <c r="B16" s="168"/>
      <c r="C16" s="169"/>
      <c r="D16" s="175"/>
      <c r="E16" s="173"/>
      <c r="F16" s="176"/>
      <c r="G16" s="16"/>
      <c r="H16" s="345"/>
      <c r="I16" s="347"/>
      <c r="J16" s="804"/>
      <c r="Q16" s="172">
        <v>6</v>
      </c>
    </row>
    <row r="17" spans="1:17" ht="21" customHeight="1">
      <c r="D17" s="14"/>
      <c r="E17" s="327" t="s">
        <v>25</v>
      </c>
      <c r="F17" s="1984" t="s">
        <v>26</v>
      </c>
      <c r="G17" s="12"/>
      <c r="H17" s="704" t="s">
        <v>10</v>
      </c>
      <c r="Q17" s="13">
        <v>20</v>
      </c>
    </row>
    <row r="18" spans="1:17" ht="25.5" customHeight="1">
      <c r="D18" s="14"/>
      <c r="E18" s="1673" t="s">
        <v>27</v>
      </c>
      <c r="F18" s="1999">
        <v>46034</v>
      </c>
      <c r="G18" s="12"/>
      <c r="I18" s="705"/>
      <c r="J18" s="23929" t="s">
        <v>28</v>
      </c>
      <c r="Q18" s="13">
        <v>0</v>
      </c>
    </row>
    <row r="19" spans="1:17" ht="25.5"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999">
        <v>46023</v>
      </c>
      <c r="G19" s="12"/>
      <c r="I19" s="705"/>
      <c r="J19" s="23929"/>
      <c r="Q19" s="13">
        <v>0</v>
      </c>
    </row>
    <row r="20" spans="1:17" ht="22.5" customHeight="1">
      <c r="D20" s="14"/>
      <c r="E20" s="15"/>
      <c r="F20" s="206" t="str">
        <f>"Первичное "&amp;IF(TEMPLATE_GROUP="P","установление тарифов","предложение по тарифам")</f>
        <v>Первичное установление тарифов</v>
      </c>
      <c r="G20" s="12"/>
      <c r="I20" s="330"/>
      <c r="J20" s="805" t="s">
        <v>29</v>
      </c>
      <c r="Q20" s="13">
        <v>0</v>
      </c>
    </row>
    <row r="21" spans="1:17" ht="19.5" customHeight="1">
      <c r="D21" s="14"/>
      <c r="E21" s="327" t="str">
        <f>"Дата "&amp;IF(TEMPLATE_GROUP="P","документа","подачи заявления")&amp;" об утверждении тарифов"</f>
        <v>Дата документа об утверждении тарифов</v>
      </c>
      <c r="F21" s="1999">
        <v>45280</v>
      </c>
      <c r="G21" s="12"/>
      <c r="I21" s="706"/>
      <c r="Q21" s="13">
        <v>0</v>
      </c>
    </row>
    <row r="22" spans="1:17" ht="19.5" customHeight="1">
      <c r="D22" s="14"/>
      <c r="E22" s="327" t="str">
        <f>"Номер "&amp;IF(TEMPLATE_GROUP="P","документа","подачи заявления")&amp;" об утверждении тарифов"</f>
        <v>Номер документа об утверждении тарифов</v>
      </c>
      <c r="F22" s="153" t="s">
        <v>30</v>
      </c>
      <c r="G22" s="12"/>
      <c r="I22" s="706"/>
      <c r="Q22" s="13">
        <v>0</v>
      </c>
    </row>
    <row r="23" spans="1:17" ht="22.5" customHeight="1">
      <c r="D23" s="14"/>
      <c r="E23" s="327" t="s">
        <v>31</v>
      </c>
      <c r="F23" s="153" t="s">
        <v>32</v>
      </c>
      <c r="G23" s="12"/>
      <c r="Q23" s="13">
        <v>0</v>
      </c>
    </row>
    <row r="24" spans="1:17" ht="19.5" customHeight="1">
      <c r="D24" s="14"/>
      <c r="E24" s="327" t="s">
        <v>33</v>
      </c>
      <c r="F24" s="153" t="s">
        <v>34</v>
      </c>
      <c r="G24" s="12"/>
      <c r="Q24" s="13">
        <v>0</v>
      </c>
    </row>
    <row r="25" spans="1:17" ht="22.5" customHeight="1">
      <c r="D25" s="14"/>
      <c r="E25" s="15"/>
      <c r="F25" s="206" t="str">
        <f>"Изменение "&amp;IF(TEMPLATE_GROUP="P","тарифов","предложения по тарифам")</f>
        <v>Изменение тарифов</v>
      </c>
      <c r="G25" s="12"/>
      <c r="J25" s="805" t="s">
        <v>35</v>
      </c>
      <c r="Q25" s="13">
        <v>0</v>
      </c>
    </row>
    <row r="26" spans="1:17" ht="19.5" customHeight="1">
      <c r="D26" s="14"/>
      <c r="E26" s="327" t="str">
        <f>"Дата "&amp;IF(TEMPLATE_GROUP="P","принятия решения","подачи заявления")&amp;" об изменении тарифов"</f>
        <v>Дата принятия решения об изменении тарифов</v>
      </c>
      <c r="F26" s="1999" t="s">
        <v>36</v>
      </c>
      <c r="G26" s="12"/>
      <c r="Q26" s="13">
        <v>0</v>
      </c>
    </row>
    <row r="27" spans="1:17" ht="19.5" customHeight="1">
      <c r="D27" s="14"/>
      <c r="E27" s="1091" t="str">
        <f>"Номер "&amp;IF(TEMPLATE_GROUP="P","принятия решения","заявления")&amp;" об изменении тарифов"</f>
        <v>Номер принятия решения об изменении тарифов</v>
      </c>
      <c r="F27" s="2000" t="s">
        <v>37</v>
      </c>
      <c r="G27" s="12"/>
      <c r="Q27" s="13">
        <v>0</v>
      </c>
    </row>
    <row r="28" spans="1:17" ht="24.75" customHeight="1">
      <c r="D28" s="14"/>
      <c r="E28" s="327" t="s">
        <v>38</v>
      </c>
      <c r="F28" s="2000" t="s">
        <v>39</v>
      </c>
      <c r="G28" s="12"/>
      <c r="Q28" s="13">
        <v>0</v>
      </c>
    </row>
    <row r="29" spans="1:17" ht="19.5" customHeight="1">
      <c r="D29" s="14"/>
      <c r="E29" s="327" t="s">
        <v>33</v>
      </c>
      <c r="F29" s="2000" t="s">
        <v>34</v>
      </c>
      <c r="G29" s="12"/>
      <c r="Q29" s="13">
        <v>0</v>
      </c>
    </row>
    <row r="30" spans="1:17" s="1538" customFormat="1" ht="6.4" customHeight="1">
      <c r="A30" s="715"/>
      <c r="B30" s="168"/>
      <c r="C30" s="169"/>
      <c r="D30" s="175"/>
      <c r="E30" s="173"/>
      <c r="F30" s="176"/>
      <c r="G30" s="16"/>
      <c r="H30" s="345"/>
      <c r="I30" s="347"/>
      <c r="J30" s="804"/>
      <c r="Q30" s="172">
        <v>6</v>
      </c>
    </row>
    <row r="31" spans="1:17" ht="21" customHeight="1">
      <c r="C31" s="17"/>
      <c r="D31" s="18"/>
      <c r="E31" s="327" t="str">
        <f>"Наименование "&amp;IF(TEMPLATE_GROUP="ROIV","органа тарифного регулирования","ЮЛ / ИП")</f>
        <v>Наименование ЮЛ / ИП</v>
      </c>
      <c r="F31" s="154" t="s">
        <v>40</v>
      </c>
      <c r="G31" s="707"/>
      <c r="Q31" s="13">
        <v>20</v>
      </c>
    </row>
    <row r="32" spans="1:17" ht="21" hidden="1" customHeight="1">
      <c r="C32" s="17"/>
      <c r="D32" s="18"/>
      <c r="E32" s="328" t="s">
        <v>41</v>
      </c>
      <c r="F32" s="154"/>
      <c r="G32" s="707"/>
      <c r="Q32" s="13">
        <v>20</v>
      </c>
    </row>
    <row r="33" spans="1:17" ht="21" customHeight="1">
      <c r="C33" s="17"/>
      <c r="D33" s="18"/>
      <c r="E33" s="327" t="s">
        <v>42</v>
      </c>
      <c r="F33" s="154" t="s">
        <v>43</v>
      </c>
      <c r="G33" s="707"/>
      <c r="Q33" s="13">
        <v>20</v>
      </c>
    </row>
    <row r="34" spans="1:17" ht="21" customHeight="1">
      <c r="C34" s="17"/>
      <c r="D34" s="18"/>
      <c r="E34" s="327" t="s">
        <v>44</v>
      </c>
      <c r="F34" s="154" t="s">
        <v>45</v>
      </c>
      <c r="G34" s="707"/>
      <c r="H34" s="19"/>
      <c r="Q34" s="13">
        <v>20</v>
      </c>
    </row>
    <row r="35" spans="1:17" s="1538" customFormat="1" ht="11.45" customHeight="1">
      <c r="A35" s="715"/>
      <c r="B35" s="168"/>
      <c r="C35" s="169"/>
      <c r="D35" s="175"/>
      <c r="E35" s="173"/>
      <c r="F35" s="176"/>
      <c r="G35" s="16"/>
      <c r="H35" s="345"/>
      <c r="I35" s="347"/>
      <c r="J35" s="804"/>
      <c r="Q35" s="172">
        <v>11</v>
      </c>
    </row>
    <row r="36" spans="1:17" ht="19.5" hidden="1" customHeight="1">
      <c r="A36" s="809"/>
      <c r="D36" s="18"/>
      <c r="E36" s="327" t="s">
        <v>46</v>
      </c>
      <c r="F36" s="284"/>
      <c r="G36" s="16"/>
      <c r="Q36" s="13">
        <v>0</v>
      </c>
    </row>
    <row r="37" spans="1:17" ht="21" customHeight="1">
      <c r="A37" s="809"/>
      <c r="D37" s="18"/>
      <c r="E37" s="327" t="s">
        <v>47</v>
      </c>
      <c r="F37" s="1136" t="s">
        <v>48</v>
      </c>
      <c r="G37" s="16"/>
      <c r="Q37" s="13">
        <v>20</v>
      </c>
    </row>
    <row r="38" spans="1:17" s="1538" customFormat="1" ht="6.4" customHeight="1">
      <c r="A38" s="715"/>
      <c r="B38" s="168"/>
      <c r="C38" s="169"/>
      <c r="D38" s="170"/>
      <c r="E38" s="171"/>
      <c r="F38" s="982"/>
      <c r="G38" s="12"/>
      <c r="H38" s="345"/>
      <c r="I38" s="347"/>
      <c r="J38" s="806"/>
      <c r="Q38" s="172">
        <v>6</v>
      </c>
    </row>
    <row r="39" spans="1:17" ht="36.75" customHeight="1">
      <c r="A39" s="715"/>
      <c r="D39" s="14"/>
      <c r="E39" s="327" t="s">
        <v>49</v>
      </c>
      <c r="F39" s="646" t="s">
        <v>6</v>
      </c>
      <c r="G39" s="12"/>
      <c r="H39" s="704" t="s">
        <v>10</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15</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6" t="s">
        <v>6</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50</v>
      </c>
      <c r="F43" s="646" t="s">
        <v>6</v>
      </c>
      <c r="G43" s="12"/>
      <c r="I43" s="347"/>
      <c r="J43" s="806"/>
      <c r="Q43" s="345">
        <v>0</v>
      </c>
    </row>
    <row r="44" spans="1:17" s="1561" customFormat="1" ht="27" hidden="1" customHeight="1">
      <c r="A44" s="714"/>
      <c r="B44" s="349"/>
      <c r="C44" s="344"/>
      <c r="D44" s="346"/>
      <c r="E44" s="1091" t="s">
        <v>51</v>
      </c>
      <c r="F44" s="1785"/>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52</v>
      </c>
      <c r="F46" s="646" t="s">
        <v>6</v>
      </c>
      <c r="G46" s="12"/>
      <c r="H46" s="345"/>
      <c r="I46" s="347"/>
      <c r="J46" s="806"/>
      <c r="Q46" s="366">
        <v>0</v>
      </c>
    </row>
    <row r="47" spans="1:17" s="1561" customFormat="1" ht="24.75" hidden="1" customHeight="1">
      <c r="A47" s="714"/>
      <c r="B47" s="349"/>
      <c r="C47" s="344"/>
      <c r="D47" s="346"/>
      <c r="E47" s="1091" t="s">
        <v>53</v>
      </c>
      <c r="F47" s="646" t="s">
        <v>6</v>
      </c>
      <c r="G47" s="12"/>
      <c r="I47" s="347"/>
      <c r="J47" s="806"/>
      <c r="Q47" s="345">
        <v>0</v>
      </c>
    </row>
    <row r="48" spans="1:17" s="1538" customFormat="1" ht="6" customHeight="1">
      <c r="A48" s="714"/>
      <c r="B48" s="168"/>
      <c r="C48" s="169"/>
      <c r="D48" s="170"/>
      <c r="E48" s="171"/>
      <c r="F48" s="982"/>
      <c r="G48" s="12"/>
      <c r="H48" s="345"/>
      <c r="I48" s="347"/>
      <c r="J48" s="806"/>
      <c r="Q48" s="172">
        <v>0</v>
      </c>
    </row>
    <row r="49" spans="1:17" ht="29.25"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6" t="s">
        <v>6</v>
      </c>
      <c r="G49" s="12"/>
      <c r="Q49" s="13">
        <v>0</v>
      </c>
    </row>
    <row r="50" spans="1:17" s="1538" customFormat="1" ht="6" hidden="1" customHeight="1">
      <c r="A50" s="715"/>
      <c r="B50" s="362"/>
      <c r="C50" s="363"/>
      <c r="D50" s="175"/>
      <c r="E50" s="173"/>
      <c r="F50" s="176"/>
      <c r="G50" s="16"/>
      <c r="H50" s="345"/>
      <c r="I50" s="347"/>
      <c r="J50" s="806"/>
      <c r="Q50" s="366">
        <v>0</v>
      </c>
    </row>
    <row r="51" spans="1:17" s="1561" customFormat="1" ht="28.5" hidden="1" customHeight="1">
      <c r="A51" s="716"/>
      <c r="B51" s="349"/>
      <c r="C51" s="466"/>
      <c r="D51" s="467"/>
      <c r="E51" s="327" t="s">
        <v>54</v>
      </c>
      <c r="F51" s="646" t="s">
        <v>6</v>
      </c>
      <c r="G51" s="468"/>
      <c r="I51" s="470"/>
      <c r="J51" s="808"/>
      <c r="P51" s="471"/>
      <c r="Q51" s="469">
        <v>0</v>
      </c>
    </row>
    <row r="52" spans="1:17" s="1538" customFormat="1" ht="6" hidden="1" customHeight="1">
      <c r="A52" s="715"/>
      <c r="B52" s="362"/>
      <c r="C52" s="363"/>
      <c r="D52" s="175"/>
      <c r="E52" s="173"/>
      <c r="F52" s="176"/>
      <c r="G52" s="16"/>
      <c r="H52" s="345"/>
      <c r="I52" s="347"/>
      <c r="J52" s="804"/>
      <c r="Q52" s="366">
        <v>0</v>
      </c>
    </row>
    <row r="53" spans="1:17" s="1561" customFormat="1" ht="27" hidden="1" customHeight="1">
      <c r="A53" s="716"/>
      <c r="B53" s="349"/>
      <c r="C53" s="466"/>
      <c r="D53" s="467"/>
      <c r="E53" s="327" t="s">
        <v>55</v>
      </c>
      <c r="F53" s="977" t="s">
        <v>6</v>
      </c>
      <c r="G53" s="468"/>
      <c r="I53" s="470"/>
      <c r="J53" s="808"/>
      <c r="P53" s="471"/>
      <c r="Q53" s="469">
        <v>0</v>
      </c>
    </row>
    <row r="54" spans="1:17" s="1561" customFormat="1" ht="27" hidden="1" customHeight="1">
      <c r="A54" s="716"/>
      <c r="B54" s="349"/>
      <c r="C54" s="466"/>
      <c r="D54" s="467"/>
      <c r="E54" s="327" t="s">
        <v>56</v>
      </c>
      <c r="F54" s="1672"/>
      <c r="G54" s="468"/>
      <c r="I54" s="470"/>
      <c r="J54" s="808"/>
      <c r="P54" s="471"/>
      <c r="Q54" s="469">
        <v>0</v>
      </c>
    </row>
    <row r="55" spans="1:17" s="1538" customFormat="1" ht="6" hidden="1" customHeight="1">
      <c r="A55" s="715"/>
      <c r="B55" s="362"/>
      <c r="C55" s="363"/>
      <c r="D55" s="175"/>
      <c r="E55" s="173"/>
      <c r="F55" s="176"/>
      <c r="G55" s="16"/>
      <c r="H55" s="345"/>
      <c r="I55" s="347"/>
      <c r="J55" s="804"/>
      <c r="Q55" s="366">
        <v>0</v>
      </c>
    </row>
    <row r="56" spans="1:17" s="1561" customFormat="1" ht="25.5" hidden="1" customHeight="1">
      <c r="A56" s="716"/>
      <c r="B56" s="349"/>
      <c r="C56" s="466"/>
      <c r="D56" s="467"/>
      <c r="E56" s="327" t="s">
        <v>57</v>
      </c>
      <c r="F56" s="977" t="s">
        <v>6</v>
      </c>
      <c r="G56" s="468"/>
      <c r="I56" s="470"/>
      <c r="J56" s="808"/>
      <c r="P56" s="471"/>
      <c r="Q56" s="469">
        <v>0</v>
      </c>
    </row>
    <row r="57" spans="1:17" s="1538" customFormat="1" ht="6" hidden="1" customHeight="1">
      <c r="A57" s="715"/>
      <c r="B57" s="362"/>
      <c r="C57" s="363"/>
      <c r="D57" s="175"/>
      <c r="E57" s="173"/>
      <c r="F57" s="176"/>
      <c r="G57" s="16"/>
      <c r="H57" s="345"/>
      <c r="I57" s="347"/>
      <c r="J57" s="804"/>
      <c r="Q57" s="366">
        <v>0</v>
      </c>
    </row>
    <row r="58" spans="1:17" s="1561" customFormat="1" ht="15" hidden="1" customHeight="1">
      <c r="A58" s="716"/>
      <c r="B58" s="349"/>
      <c r="C58" s="466"/>
      <c r="D58" s="467"/>
      <c r="E58" s="327" t="s">
        <v>58</v>
      </c>
      <c r="F58" s="977" t="s">
        <v>59</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5"/>
      <c r="G59" s="468"/>
      <c r="I59" s="470"/>
      <c r="J59" s="808"/>
      <c r="P59" s="471"/>
      <c r="Q59" s="469">
        <v>0</v>
      </c>
    </row>
    <row r="60" spans="1:17" s="1561" customFormat="1" ht="15" hidden="1" customHeight="1">
      <c r="A60" s="716"/>
      <c r="B60" s="349"/>
      <c r="C60" s="466"/>
      <c r="D60" s="467"/>
      <c r="E60" s="1091" t="s">
        <v>60</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61</v>
      </c>
      <c r="F62" s="1597" t="s">
        <v>59</v>
      </c>
      <c r="G62" s="12"/>
      <c r="H62" s="704" t="s">
        <v>10</v>
      </c>
      <c r="I62" s="347"/>
      <c r="J62" s="806"/>
      <c r="Q62" s="345">
        <v>0</v>
      </c>
    </row>
    <row r="63" spans="1:17" s="1538" customFormat="1" ht="6.4" customHeight="1">
      <c r="A63" s="715"/>
      <c r="B63" s="168"/>
      <c r="C63" s="169"/>
      <c r="D63" s="175"/>
      <c r="E63" s="173"/>
      <c r="F63" s="176"/>
      <c r="G63" s="16"/>
      <c r="H63" s="345"/>
      <c r="I63" s="347"/>
      <c r="J63" s="804"/>
      <c r="Q63" s="172">
        <v>6</v>
      </c>
    </row>
    <row r="64" spans="1:17" ht="21" customHeight="1">
      <c r="B64" s="38"/>
      <c r="D64" s="21"/>
      <c r="E64" s="327" t="s">
        <v>62</v>
      </c>
      <c r="F64" s="1984" t="s">
        <v>63</v>
      </c>
      <c r="G64" s="16"/>
      <c r="Q64" s="13">
        <v>20</v>
      </c>
    </row>
    <row r="65" spans="1:17" ht="21" customHeight="1">
      <c r="B65" s="38"/>
      <c r="D65" s="21"/>
      <c r="E65" s="327" t="s">
        <v>64</v>
      </c>
      <c r="F65" s="153" t="s">
        <v>65</v>
      </c>
      <c r="G65" s="16"/>
      <c r="Q65" s="13">
        <v>20</v>
      </c>
    </row>
    <row r="66" spans="1:17" ht="36.75" customHeight="1">
      <c r="D66" s="14"/>
      <c r="E66" s="329" t="s">
        <v>66</v>
      </c>
      <c r="F66" s="983"/>
      <c r="G66" s="12"/>
      <c r="Q66" s="13">
        <v>35</v>
      </c>
    </row>
    <row r="67" spans="1:17" ht="21" customHeight="1">
      <c r="D67" s="346"/>
      <c r="E67" s="327" t="s">
        <v>67</v>
      </c>
      <c r="F67" s="1984" t="s">
        <v>68</v>
      </c>
      <c r="G67" s="16"/>
      <c r="Q67" s="13">
        <v>20</v>
      </c>
    </row>
    <row r="68" spans="1:17" ht="21" customHeight="1">
      <c r="B68" s="38"/>
      <c r="D68" s="21"/>
      <c r="E68" s="327" t="s">
        <v>69</v>
      </c>
      <c r="F68" s="207" t="s">
        <v>70</v>
      </c>
      <c r="G68" s="16"/>
      <c r="Q68" s="13">
        <v>20</v>
      </c>
    </row>
    <row r="69" spans="1:17" ht="21" customHeight="1">
      <c r="B69" s="38"/>
      <c r="D69" s="21"/>
      <c r="E69" s="327" t="s">
        <v>71</v>
      </c>
      <c r="F69" s="207"/>
      <c r="G69" s="16"/>
      <c r="Q69" s="13">
        <v>20</v>
      </c>
    </row>
    <row r="70" spans="1:17" ht="21" customHeight="1">
      <c r="D70" s="346"/>
      <c r="E70" s="327" t="s">
        <v>72</v>
      </c>
      <c r="F70" s="207"/>
      <c r="G70" s="12"/>
      <c r="Q70" s="13">
        <v>20</v>
      </c>
    </row>
    <row r="71" spans="1:17" ht="21" customHeight="1">
      <c r="D71" s="12"/>
      <c r="F71" s="71"/>
      <c r="G71" s="16"/>
      <c r="Q71" s="13">
        <v>20</v>
      </c>
    </row>
    <row r="72" spans="1:17" ht="21" customHeight="1">
      <c r="B72" s="38"/>
      <c r="D72" s="21"/>
      <c r="E72" s="20"/>
      <c r="F72" s="962" t="s">
        <v>0</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73</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v>
      </c>
    </row>
    <row r="2" spans="1:45" ht="21" hidden="1" customHeight="1">
      <c r="A2" s="1289"/>
      <c r="B2" s="1289"/>
      <c r="C2" s="1289"/>
      <c r="D2" s="1289"/>
      <c r="E2" s="24088">
        <v>1</v>
      </c>
      <c r="F2" s="1289"/>
      <c r="G2" s="1289"/>
      <c r="H2" s="1289"/>
      <c r="I2" s="1289"/>
      <c r="J2" s="1289"/>
      <c r="K2" s="1289"/>
      <c r="L2" s="1290"/>
      <c r="M2" s="1291"/>
      <c r="N2" s="1291"/>
      <c r="O2" s="1291"/>
      <c r="P2" s="297"/>
      <c r="Q2" s="296"/>
      <c r="R2" s="291"/>
      <c r="S2" s="1235" t="e">
        <f>INDEX(PT_DIFFERENTIATION_NUM_NTAR,MATCH(A2,PT_DIFFERENTIATION_NTAR_ID,0))</f>
        <v>#N/A</v>
      </c>
      <c r="T2" s="234"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436"/>
      <c r="AP2" s="436" t="str">
        <f t="shared" ref="AP2:AP15" si="0">IF(T2="","",T2)</f>
        <v>Наименование тарифа</v>
      </c>
      <c r="AQ2" s="436"/>
      <c r="AR2" s="436"/>
      <c r="AS2" s="1081">
        <v>0</v>
      </c>
    </row>
    <row r="3" spans="1:45" ht="21" hidden="1" customHeight="1">
      <c r="A3" s="1289"/>
      <c r="B3" s="1289"/>
      <c r="C3" s="1289"/>
      <c r="D3" s="1289"/>
      <c r="E3" s="24089"/>
      <c r="F3" s="24088">
        <v>1</v>
      </c>
      <c r="G3" s="1289"/>
      <c r="H3" s="1289"/>
      <c r="I3" s="1289"/>
      <c r="J3" s="1289"/>
      <c r="K3" s="1289"/>
      <c r="L3" s="1290"/>
      <c r="M3" s="1291"/>
      <c r="N3" s="1291"/>
      <c r="O3" s="1291"/>
      <c r="P3" s="1230"/>
      <c r="Q3" s="288"/>
      <c r="R3" s="289"/>
      <c r="S3" s="1235" t="e">
        <f>INDEX(PT_DIFFERENTIATION_NUM_TER,MATCH(B3,PT_DIFFERENTIATION_TER_ID,0))</f>
        <v>#N/A</v>
      </c>
      <c r="T3" s="244"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436"/>
      <c r="AP3" s="436" t="str">
        <f t="shared" si="0"/>
        <v>Территория действия тарифа</v>
      </c>
      <c r="AQ3" s="436"/>
      <c r="AR3" s="436"/>
      <c r="AS3" s="1081">
        <v>0</v>
      </c>
    </row>
    <row r="4" spans="1:45" ht="23.25" hidden="1" customHeight="1">
      <c r="A4" s="1289"/>
      <c r="B4" s="1289"/>
      <c r="C4" s="1289"/>
      <c r="D4" s="1289"/>
      <c r="E4" s="24089"/>
      <c r="F4" s="24089"/>
      <c r="G4" s="24088">
        <v>1</v>
      </c>
      <c r="H4" s="1289"/>
      <c r="I4" s="1289"/>
      <c r="J4" s="1289"/>
      <c r="K4" s="1289"/>
      <c r="L4" s="1290"/>
      <c r="M4" s="1291"/>
      <c r="N4" s="1291"/>
      <c r="O4" s="1291"/>
      <c r="P4" s="290"/>
      <c r="Q4" s="288"/>
      <c r="R4" s="289"/>
      <c r="S4" s="1235"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089"/>
      <c r="F5" s="24089"/>
      <c r="G5" s="24089"/>
      <c r="H5" s="24088">
        <v>1</v>
      </c>
      <c r="I5" s="1289"/>
      <c r="J5" s="1289"/>
      <c r="K5" s="1289"/>
      <c r="L5" s="1290"/>
      <c r="M5" s="1291"/>
      <c r="N5" s="1291"/>
      <c r="O5" s="1291"/>
      <c r="P5" s="290"/>
      <c r="Q5" s="288"/>
      <c r="R5" s="289"/>
      <c r="S5" s="1235"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436"/>
      <c r="AP5" s="436" t="str">
        <f t="shared" si="0"/>
        <v xml:space="preserve">Источник тепловой энергии  </v>
      </c>
      <c r="AQ5" s="436"/>
      <c r="AR5" s="436"/>
      <c r="AS5" s="1081">
        <v>0</v>
      </c>
    </row>
    <row r="6" spans="1:45" ht="47.25" hidden="1" customHeight="1">
      <c r="A6" s="1289"/>
      <c r="B6" s="1289"/>
      <c r="C6" s="1289"/>
      <c r="D6" s="1289"/>
      <c r="E6" s="24089"/>
      <c r="F6" s="24089"/>
      <c r="G6" s="24089"/>
      <c r="H6" s="24089"/>
      <c r="I6" s="24090" t="e">
        <f>S5&amp;".1"</f>
        <v>#N/A</v>
      </c>
      <c r="J6" s="1289"/>
      <c r="K6" s="1289"/>
      <c r="L6" s="1290" t="s">
        <v>632</v>
      </c>
      <c r="M6" s="473"/>
      <c r="P6" s="24092">
        <v>1</v>
      </c>
      <c r="Q6" s="1231"/>
      <c r="R6" s="292"/>
      <c r="S6" s="1235" t="e">
        <f>$I6</f>
        <v>#N/A</v>
      </c>
      <c r="T6" s="221" t="s">
        <v>633</v>
      </c>
      <c r="U6" s="236"/>
      <c r="V6" s="24076"/>
      <c r="W6" s="24077"/>
      <c r="X6" s="24077"/>
      <c r="Y6" s="24077"/>
      <c r="Z6" s="24077"/>
      <c r="AA6" s="24077"/>
      <c r="AB6" s="24077"/>
      <c r="AC6" s="24078"/>
      <c r="AD6" s="24076"/>
      <c r="AE6" s="24077"/>
      <c r="AF6" s="24077"/>
      <c r="AG6" s="24077"/>
      <c r="AH6" s="24077"/>
      <c r="AI6" s="24077"/>
      <c r="AJ6" s="24077"/>
      <c r="AK6" s="24077"/>
      <c r="AL6" s="24078"/>
      <c r="AM6" s="1184" t="s">
        <v>634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089"/>
      <c r="F7" s="24089"/>
      <c r="G7" s="24089"/>
      <c r="H7" s="24089"/>
      <c r="I7" s="24091"/>
      <c r="J7" s="24090" t="e">
        <f>I6&amp;".1"</f>
        <v>#N/A</v>
      </c>
      <c r="K7" s="1289"/>
      <c r="L7" s="1290" t="s">
        <v>635</v>
      </c>
      <c r="M7" s="473"/>
      <c r="N7" s="1292"/>
      <c r="P7" s="24092"/>
      <c r="Q7" s="24092">
        <v>1</v>
      </c>
      <c r="R7" s="293"/>
      <c r="S7" s="1235"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436"/>
      <c r="AP7" s="436" t="str">
        <f t="shared" si="0"/>
        <v>Группа потребителей</v>
      </c>
      <c r="AQ7" s="436"/>
      <c r="AR7" s="436"/>
      <c r="AS7" s="1081">
        <v>0</v>
      </c>
    </row>
    <row r="8" spans="1:45" ht="21" hidden="1" customHeight="1">
      <c r="A8" s="1289"/>
      <c r="B8" s="1289"/>
      <c r="C8" s="1289"/>
      <c r="D8" s="1289"/>
      <c r="E8" s="24089"/>
      <c r="F8" s="24089"/>
      <c r="G8" s="24089"/>
      <c r="H8" s="24089"/>
      <c r="I8" s="24091"/>
      <c r="J8" s="24091"/>
      <c r="K8" s="24090" t="e">
        <f>J7&amp;".1"</f>
        <v>#N/A</v>
      </c>
      <c r="L8" s="1290" t="s">
        <v>638</v>
      </c>
      <c r="M8" s="473"/>
      <c r="N8" s="1292"/>
      <c r="O8" s="1292"/>
      <c r="P8" s="24092"/>
      <c r="Q8" s="24092"/>
      <c r="R8" s="293">
        <v>1</v>
      </c>
      <c r="S8" s="1235" t="e">
        <f>$K8</f>
        <v>#N/A</v>
      </c>
      <c r="T8" s="1273"/>
      <c r="U8" s="236"/>
      <c r="V8" s="687"/>
      <c r="W8" s="261"/>
      <c r="X8" s="687"/>
      <c r="Y8" s="1183"/>
      <c r="Z8" s="24093"/>
      <c r="AA8" s="23957" t="s">
        <v>59</v>
      </c>
      <c r="AB8" s="24093"/>
      <c r="AC8" s="23957" t="s">
        <v>59</v>
      </c>
      <c r="AD8" s="687"/>
      <c r="AE8" s="261"/>
      <c r="AF8" s="687"/>
      <c r="AG8" s="1183"/>
      <c r="AH8" s="24093"/>
      <c r="AI8" s="23957" t="s">
        <v>59</v>
      </c>
      <c r="AJ8" s="24093"/>
      <c r="AK8" s="23957" t="s">
        <v>59</v>
      </c>
      <c r="AL8" s="261"/>
      <c r="AM8" s="24111" t="s">
        <v>639</v>
      </c>
      <c r="AN8" s="447" t="e">
        <f ca="1">STRCHECKDATE(V9:AL9)</f>
        <v>#NAME?</v>
      </c>
      <c r="AO8" s="436"/>
      <c r="AP8" s="436" t="str">
        <f t="shared" si="0"/>
        <v/>
      </c>
      <c r="AQ8" s="436"/>
      <c r="AR8" s="436"/>
      <c r="AS8" s="1081">
        <v>0</v>
      </c>
    </row>
    <row r="9" spans="1:45" ht="0.75" hidden="1" customHeight="1">
      <c r="A9" s="1289"/>
      <c r="B9" s="1289"/>
      <c r="C9" s="1289"/>
      <c r="D9" s="1289"/>
      <c r="E9" s="24089"/>
      <c r="F9" s="24089"/>
      <c r="G9" s="24089"/>
      <c r="H9" s="24089"/>
      <c r="I9" s="24091"/>
      <c r="J9" s="24091"/>
      <c r="K9" s="24090"/>
      <c r="L9" s="1290"/>
      <c r="M9" s="473"/>
      <c r="N9" s="1292"/>
      <c r="O9" s="1292"/>
      <c r="P9" s="24092"/>
      <c r="Q9" s="24092"/>
      <c r="R9" s="293"/>
      <c r="S9" s="1232"/>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436"/>
      <c r="AP9" s="436" t="str">
        <f t="shared" si="0"/>
        <v/>
      </c>
      <c r="AQ9" s="436"/>
      <c r="AR9" s="436"/>
      <c r="AS9" s="1081">
        <v>0</v>
      </c>
    </row>
    <row r="10" spans="1:45" ht="15" hidden="1" customHeight="1">
      <c r="A10" s="1289"/>
      <c r="B10" s="1289"/>
      <c r="C10" s="1289"/>
      <c r="D10" s="1289"/>
      <c r="E10" s="24089"/>
      <c r="F10" s="24089"/>
      <c r="G10" s="24089"/>
      <c r="H10" s="24089"/>
      <c r="I10" s="24091"/>
      <c r="J10" s="24090"/>
      <c r="K10" s="1289"/>
      <c r="L10" s="1290"/>
      <c r="M10" s="473"/>
      <c r="N10" s="1292"/>
      <c r="P10" s="24092"/>
      <c r="Q10" s="24092"/>
      <c r="R10" s="292"/>
      <c r="S10" s="1204"/>
      <c r="T10" s="224" t="s">
        <v>640</v>
      </c>
      <c r="U10" s="303"/>
      <c r="V10" s="303"/>
      <c r="W10" s="303"/>
      <c r="X10" s="303"/>
      <c r="Y10" s="303"/>
      <c r="Z10" s="303"/>
      <c r="AA10" s="303"/>
      <c r="AB10" s="303"/>
      <c r="AC10" s="303"/>
      <c r="AD10" s="303"/>
      <c r="AE10" s="303"/>
      <c r="AF10" s="303"/>
      <c r="AG10" s="303"/>
      <c r="AH10" s="303"/>
      <c r="AI10" s="303"/>
      <c r="AJ10" s="303"/>
      <c r="AK10" s="303"/>
      <c r="AL10" s="260"/>
      <c r="AM10" s="241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089"/>
      <c r="F11" s="24089"/>
      <c r="G11" s="24089"/>
      <c r="H11" s="24089"/>
      <c r="I11" s="24090"/>
      <c r="J11" s="1289"/>
      <c r="K11" s="1289"/>
      <c r="L11" s="1290"/>
      <c r="M11" s="473"/>
      <c r="P11" s="24092"/>
      <c r="Q11" s="1231"/>
      <c r="R11" s="292"/>
      <c r="S11" s="1204"/>
      <c r="T11" s="223" t="s">
        <v>641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4089"/>
      <c r="F12" s="24089"/>
      <c r="G12" s="24089"/>
      <c r="H12" s="24088"/>
      <c r="I12" s="1289"/>
      <c r="J12" s="1289"/>
      <c r="K12" s="1289"/>
      <c r="L12" s="1290"/>
      <c r="M12" s="1291"/>
      <c r="N12" s="1291"/>
      <c r="O12" s="473"/>
      <c r="P12" s="296"/>
      <c r="Q12" s="311"/>
      <c r="R12" s="291"/>
      <c r="S12" s="1204"/>
      <c r="T12" s="301" t="s">
        <v>642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4089"/>
      <c r="F13" s="24089"/>
      <c r="G13" s="24088"/>
      <c r="H13" s="1240"/>
      <c r="I13" s="1240"/>
      <c r="J13" s="1240"/>
      <c r="K13" s="1240"/>
      <c r="L13" s="1265"/>
      <c r="M13" s="1241"/>
      <c r="N13" s="124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089"/>
      <c r="F14" s="24088"/>
      <c r="G14" s="1240"/>
      <c r="H14" s="1240"/>
      <c r="I14" s="1240"/>
      <c r="J14" s="1240"/>
      <c r="K14" s="1240"/>
      <c r="L14" s="1265"/>
      <c r="M14" s="1247"/>
      <c r="N14" s="124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088"/>
      <c r="F15" s="1240"/>
      <c r="G15" s="1240"/>
      <c r="H15" s="1240"/>
      <c r="I15" s="1240"/>
      <c r="J15" s="1240"/>
      <c r="K15" s="1240"/>
      <c r="L15" s="1265"/>
      <c r="M15" s="1247"/>
      <c r="N15" s="124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P17" s="1237"/>
      <c r="AD17" s="1286"/>
      <c r="AE17" s="1286"/>
      <c r="AF17" s="1286"/>
      <c r="AG17" s="1287"/>
      <c r="AH17" s="24086"/>
      <c r="AI17" s="24085" t="s">
        <v>59</v>
      </c>
      <c r="AJ17" s="24086"/>
      <c r="AK17" s="24085" t="s">
        <v>59</v>
      </c>
      <c r="AS17" s="1081">
        <v>0</v>
      </c>
    </row>
    <row r="18" spans="1:45" ht="14.25" hidden="1" customHeight="1">
      <c r="P18" s="1237"/>
      <c r="AD18" s="1286"/>
      <c r="AE18" s="1286"/>
      <c r="AF18" s="1286"/>
      <c r="AG18" s="264" t="str">
        <f>AH17&amp;"-"&amp;AJ17</f>
        <v>-</v>
      </c>
      <c r="AH18" s="24085"/>
      <c r="AI18" s="24085"/>
      <c r="AJ18" s="24085"/>
      <c r="AK18" s="24085"/>
      <c r="AS18" s="1081">
        <v>0</v>
      </c>
    </row>
    <row r="19" spans="1:45" ht="14.25" hidden="1" customHeight="1">
      <c r="P19" s="1237"/>
      <c r="AK19" s="263"/>
      <c r="AS19" s="1081">
        <v>0</v>
      </c>
    </row>
    <row r="20" spans="1:45" s="1292" customFormat="1" ht="22.5" hidden="1" customHeight="1">
      <c r="L20" s="1255"/>
      <c r="M20" s="1288"/>
      <c r="N20" s="1288"/>
      <c r="O20" s="1293" t="s">
        <v>644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645</v>
      </c>
      <c r="P22" s="1288"/>
      <c r="Q22" s="1297"/>
      <c r="R22" s="1297"/>
      <c r="S22" s="665"/>
      <c r="T22" s="1086" t="s">
        <v>646</v>
      </c>
      <c r="AA22" s="123" t="s">
        <v>647</v>
      </c>
      <c r="AC22" s="123" t="s">
        <v>648</v>
      </c>
      <c r="AD22" s="1086" t="s">
        <v>646</v>
      </c>
      <c r="AI22" s="123" t="s">
        <v>649</v>
      </c>
      <c r="AK22" s="123" t="s">
        <v>648</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081">
        <v>14</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50" customFormat="1" ht="25.5" customHeight="1">
      <c r="A29" s="1294"/>
      <c r="B29" s="1294"/>
      <c r="C29" s="1294"/>
      <c r="D29" s="1294"/>
      <c r="E29" s="1294"/>
      <c r="F29" s="1294"/>
      <c r="G29" s="1294"/>
      <c r="H29" s="1294"/>
      <c r="I29" s="1294"/>
      <c r="J29" s="1294"/>
      <c r="K29" s="1294"/>
      <c r="L29" s="1295"/>
      <c r="M29" s="1294"/>
      <c r="N29" s="1294"/>
      <c r="O29" s="129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262"/>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262"/>
      <c r="AL29" s="262"/>
      <c r="AM29" s="216"/>
      <c r="AN29" s="304"/>
      <c r="AO29" s="304"/>
      <c r="AP29" s="304"/>
      <c r="AQ29" s="304"/>
      <c r="AR29" s="304"/>
      <c r="AS29" s="354">
        <v>0</v>
      </c>
    </row>
    <row r="30" spans="1:45" s="1750" customFormat="1" ht="18.75" customHeight="1">
      <c r="A30" s="1294"/>
      <c r="B30" s="1294"/>
      <c r="C30" s="1294"/>
      <c r="D30" s="1294"/>
      <c r="E30" s="1294"/>
      <c r="F30" s="1294"/>
      <c r="G30" s="1294"/>
      <c r="H30" s="1294"/>
      <c r="I30" s="1294"/>
      <c r="J30" s="1294"/>
      <c r="K30" s="1294"/>
      <c r="L30" s="1295"/>
      <c r="M30" s="1294"/>
      <c r="N30" s="1294"/>
      <c r="O30" s="1294"/>
      <c r="S30" s="24079" t="s">
        <v>650</v>
      </c>
      <c r="T30" s="24079"/>
      <c r="U30" s="1298"/>
      <c r="V30" s="24080" t="str">
        <f>IF(TITLE_DATE_PR_CHANGE="",IF(TITLE_DATE_PR="","",TITLE_DATE_PR),TITLE_DATE_PR_CHANGE)</f>
        <v>20.12.2024</v>
      </c>
      <c r="W30" s="24080"/>
      <c r="X30" s="24080"/>
      <c r="Y30" s="24080"/>
      <c r="Z30" s="24080"/>
      <c r="AA30" s="24080"/>
      <c r="AB30" s="24080"/>
      <c r="AC30" s="262"/>
      <c r="AD30" s="24080" t="str">
        <f>IF(TITLE_DATE_PR_CHANGE="",IF(TITLE_DATE_PR="","",TITLE_DATE_PR),TITLE_DATE_PR_CHANGE)</f>
        <v>20.12.2024</v>
      </c>
      <c r="AE30" s="24080"/>
      <c r="AF30" s="24080"/>
      <c r="AG30" s="24080"/>
      <c r="AH30" s="24080"/>
      <c r="AI30" s="24080"/>
      <c r="AJ30" s="24080"/>
      <c r="AK30" s="262"/>
      <c r="AL30" s="262"/>
      <c r="AM30" s="216"/>
      <c r="AN30" s="304"/>
      <c r="AO30" s="304"/>
      <c r="AP30" s="304"/>
      <c r="AQ30" s="304"/>
      <c r="AR30" s="304"/>
      <c r="AS30" s="354">
        <v>0</v>
      </c>
    </row>
    <row r="31" spans="1:45" s="1750" customFormat="1" ht="18.75" customHeight="1">
      <c r="A31" s="1294"/>
      <c r="B31" s="1294"/>
      <c r="C31" s="1294"/>
      <c r="D31" s="1294"/>
      <c r="E31" s="1294"/>
      <c r="F31" s="1294"/>
      <c r="G31" s="1294"/>
      <c r="H31" s="1294"/>
      <c r="I31" s="1294"/>
      <c r="J31" s="1294"/>
      <c r="K31" s="1294"/>
      <c r="L31" s="1295"/>
      <c r="M31" s="1294"/>
      <c r="N31" s="1294"/>
      <c r="O31" s="1294"/>
      <c r="S31" s="24079" t="s">
        <v>651</v>
      </c>
      <c r="T31" s="24079"/>
      <c r="U31" s="1298"/>
      <c r="V31" s="24081" t="str">
        <f>IF(TITLE_NUMBER_PR_CHANGE="",IF(TITLE_NUMBER_PR="","",TITLE_NUMBER_PR),TITLE_NUMBER_PR_CHANGE)</f>
        <v>403, 404</v>
      </c>
      <c r="W31" s="24081"/>
      <c r="X31" s="24081"/>
      <c r="Y31" s="24081"/>
      <c r="Z31" s="24081"/>
      <c r="AA31" s="24081"/>
      <c r="AB31" s="24081"/>
      <c r="AC31" s="262"/>
      <c r="AD31" s="24081" t="str">
        <f>IF(TITLE_NUMBER_PR_CHANGE="",IF(TITLE_NUMBER_PR="","",TITLE_NUMBER_PR),TITLE_NUMBER_PR_CHANGE)</f>
        <v>403, 404</v>
      </c>
      <c r="AE31" s="24081"/>
      <c r="AF31" s="24081"/>
      <c r="AG31" s="24081"/>
      <c r="AH31" s="24081"/>
      <c r="AI31" s="24081"/>
      <c r="AJ31" s="24081"/>
      <c r="AK31" s="262"/>
      <c r="AL31" s="262"/>
      <c r="AM31" s="216"/>
      <c r="AN31" s="304"/>
      <c r="AO31" s="304"/>
      <c r="AP31" s="304"/>
      <c r="AQ31" s="304"/>
      <c r="AR31" s="304"/>
      <c r="AS31" s="354">
        <v>0</v>
      </c>
    </row>
    <row r="32" spans="1:45" s="1750" customFormat="1" ht="18.75" customHeight="1">
      <c r="A32" s="1294"/>
      <c r="B32" s="1294"/>
      <c r="C32" s="1294"/>
      <c r="D32" s="1294"/>
      <c r="E32" s="1294"/>
      <c r="F32" s="1294"/>
      <c r="G32" s="1294"/>
      <c r="H32" s="1294"/>
      <c r="I32" s="1294"/>
      <c r="J32" s="1294"/>
      <c r="K32" s="1294"/>
      <c r="L32" s="1295"/>
      <c r="M32" s="1294"/>
      <c r="N32" s="1294"/>
      <c r="O32" s="1294"/>
      <c r="S32" s="24079" t="s">
        <v>33</v>
      </c>
      <c r="T32" s="24079"/>
      <c r="U32" s="1298"/>
      <c r="V32" s="24081" t="str">
        <f>IF(TITLE_IST_PUB_CHANGE="",IF(TITLE_IST_PUB="","",TITLE_IST_PUB),TITLE_IST_PUB_CHANGE)</f>
        <v>Смоленская газета</v>
      </c>
      <c r="W32" s="24081"/>
      <c r="X32" s="24081"/>
      <c r="Y32" s="24081"/>
      <c r="Z32" s="24081"/>
      <c r="AA32" s="24081"/>
      <c r="AB32" s="24081"/>
      <c r="AC32" s="262"/>
      <c r="AD32" s="24081" t="str">
        <f>IF(TITLE_IST_PUB_CHANGE="",IF(TITLE_IST_PUB="","",TITLE_IST_PUB),TITLE_IST_PUB_CHANGE)</f>
        <v>Смоленская газета</v>
      </c>
      <c r="AE32" s="24081"/>
      <c r="AF32" s="24081"/>
      <c r="AG32" s="24081"/>
      <c r="AH32" s="24081"/>
      <c r="AI32" s="24081"/>
      <c r="AJ32" s="24081"/>
      <c r="AK32" s="262"/>
      <c r="AL32" s="262"/>
      <c r="AM32" s="216"/>
      <c r="AN32" s="304"/>
      <c r="AO32" s="304"/>
      <c r="AP32" s="304"/>
      <c r="AQ32" s="304"/>
      <c r="AR32" s="304"/>
      <c r="AS32" s="354">
        <v>0</v>
      </c>
    </row>
    <row r="33" spans="1:45" ht="14.25" hidden="1" customHeight="1">
      <c r="P33" s="1254"/>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4079" t="s">
        <v>652</v>
      </c>
      <c r="T34" s="24079"/>
      <c r="U34" s="1298"/>
      <c r="V34" s="24080" t="str">
        <f>IF(TITLE_DATE_PR_CHANGE="",IF(TITLE_DATE_PR="","",TITLE_DATE_PR),TITLE_DATE_PR_CHANGE)</f>
        <v>20.12.2024</v>
      </c>
      <c r="W34" s="24080"/>
      <c r="X34" s="24080"/>
      <c r="Y34" s="24080"/>
      <c r="Z34" s="24080"/>
      <c r="AA34" s="24080"/>
      <c r="AB34" s="24080"/>
      <c r="AC34" s="262"/>
      <c r="AD34" s="24080" t="str">
        <f>IF(TITLE_DATE_PR_CHANGE="",IF(TITLE_DATE_PR="","",TITLE_DATE_PR),TITLE_DATE_PR_CHANGE)</f>
        <v>20.12.2024</v>
      </c>
      <c r="AE34" s="24080"/>
      <c r="AF34" s="24080"/>
      <c r="AG34" s="24080"/>
      <c r="AH34" s="24080"/>
      <c r="AI34" s="24080"/>
      <c r="AJ34" s="24080"/>
      <c r="AK34" s="262"/>
      <c r="AL34" s="262"/>
      <c r="AM34" s="216"/>
      <c r="AN34" s="304"/>
      <c r="AO34" s="304"/>
      <c r="AP34" s="304"/>
      <c r="AQ34" s="304"/>
      <c r="AR34" s="304"/>
      <c r="AS34" s="354">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4079" t="s">
        <v>653</v>
      </c>
      <c r="T35" s="24079"/>
      <c r="U35" s="1298"/>
      <c r="V35" s="24081" t="str">
        <f>IF(TITLE_NUMBER_PR_CHANGE="",IF(TITLE_NUMBER_PR="","",TITLE_NUMBER_PR),TITLE_NUMBER_PR_CHANGE)</f>
        <v>403, 404</v>
      </c>
      <c r="W35" s="24081"/>
      <c r="X35" s="24081"/>
      <c r="Y35" s="24081"/>
      <c r="Z35" s="24081"/>
      <c r="AA35" s="24081"/>
      <c r="AB35" s="24081"/>
      <c r="AC35" s="262"/>
      <c r="AD35" s="24081" t="str">
        <f>IF(TITLE_NUMBER_PR_CHANGE="",IF(TITLE_NUMBER_PR="","",TITLE_NUMBER_PR),TITLE_NUMBER_PR_CHANGE)</f>
        <v>403, 404</v>
      </c>
      <c r="AE35" s="24081"/>
      <c r="AF35" s="24081"/>
      <c r="AG35" s="24081"/>
      <c r="AH35" s="24081"/>
      <c r="AI35" s="24081"/>
      <c r="AJ35" s="24081"/>
      <c r="AK35" s="262"/>
      <c r="AL35" s="262"/>
      <c r="AM35" s="216"/>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59"/>
      <c r="T36" s="259"/>
      <c r="U36" s="1145"/>
      <c r="V36" s="262"/>
      <c r="W36" s="262"/>
      <c r="X36" s="262"/>
      <c r="Y36" s="262"/>
      <c r="Z36" s="262"/>
      <c r="AA36" s="262"/>
      <c r="AB36" s="262"/>
      <c r="AC36" s="214" t="s">
        <v>654</v>
      </c>
      <c r="AD36" s="262"/>
      <c r="AE36" s="262"/>
      <c r="AF36" s="262"/>
      <c r="AG36" s="262"/>
      <c r="AH36" s="262"/>
      <c r="AI36" s="262"/>
      <c r="AJ36" s="262"/>
      <c r="AK36" s="214" t="s">
        <v>654</v>
      </c>
      <c r="AN36" s="304"/>
      <c r="AO36" s="304"/>
      <c r="AP36" s="304"/>
      <c r="AQ36" s="304"/>
      <c r="AR36" s="304"/>
      <c r="AS36" s="354">
        <v>0</v>
      </c>
    </row>
    <row r="37" spans="1:45" ht="14.65" customHeight="1">
      <c r="Q37" s="312"/>
      <c r="R37" s="312"/>
      <c r="S37" s="1201"/>
      <c r="T37" s="299"/>
      <c r="U37" s="1170"/>
      <c r="V37" s="24100"/>
      <c r="W37" s="24100"/>
      <c r="X37" s="24100"/>
      <c r="Y37" s="24100"/>
      <c r="Z37" s="24100"/>
      <c r="AA37" s="24100"/>
      <c r="AB37" s="24100"/>
      <c r="AC37" s="24100"/>
      <c r="AD37" s="24100"/>
      <c r="AE37" s="24100"/>
      <c r="AF37" s="24100"/>
      <c r="AG37" s="24100"/>
      <c r="AH37" s="24100"/>
      <c r="AI37" s="24100"/>
      <c r="AJ37" s="24100"/>
      <c r="AK37" s="24100"/>
      <c r="AS37" s="1081">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081">
        <v>14</v>
      </c>
    </row>
    <row r="39" spans="1:45" ht="14.65" customHeight="1">
      <c r="Q39" s="312"/>
      <c r="R39" s="312"/>
      <c r="S39" s="24101" t="s">
        <v>79</v>
      </c>
      <c r="T39" s="24050" t="s">
        <v>655</v>
      </c>
      <c r="U39" s="237"/>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081">
        <v>14</v>
      </c>
    </row>
    <row r="40" spans="1:45" ht="35.65" customHeight="1">
      <c r="Q40" s="312"/>
      <c r="R40" s="312"/>
      <c r="S40" s="24101"/>
      <c r="T40" s="24050"/>
      <c r="U40" s="960"/>
      <c r="V40" s="24022" t="s">
        <v>660</v>
      </c>
      <c r="W40" s="24097" t="s">
        <v>661</v>
      </c>
      <c r="X40" s="23928" t="s">
        <v>662</v>
      </c>
      <c r="Y40" s="23927"/>
      <c r="Z40" s="23928" t="s">
        <v>663</v>
      </c>
      <c r="AA40" s="23933"/>
      <c r="AB40" s="23927"/>
      <c r="AC40" s="24106"/>
      <c r="AD40" s="24022" t="s">
        <v>660</v>
      </c>
      <c r="AE40" s="24097" t="s">
        <v>661</v>
      </c>
      <c r="AF40" s="23928" t="s">
        <v>662</v>
      </c>
      <c r="AG40" s="23927"/>
      <c r="AH40" s="23928" t="s">
        <v>663</v>
      </c>
      <c r="AI40" s="23933"/>
      <c r="AJ40" s="23927"/>
      <c r="AK40" s="24106"/>
      <c r="AL40" s="24109"/>
      <c r="AM40" s="23947"/>
      <c r="AS40" s="1081">
        <v>34</v>
      </c>
    </row>
    <row r="41" spans="1:45" ht="35.65" customHeight="1">
      <c r="A41" s="1296"/>
      <c r="B41" s="1296" t="s">
        <v>241</v>
      </c>
      <c r="C41" s="1296" t="s">
        <v>242</v>
      </c>
      <c r="D41" s="1296" t="s">
        <v>243</v>
      </c>
      <c r="E41" s="1290" t="s">
        <v>664</v>
      </c>
      <c r="F41" s="1290" t="s">
        <v>665</v>
      </c>
      <c r="G41" s="1290" t="s">
        <v>666</v>
      </c>
      <c r="H41" s="1290" t="s">
        <v>667</v>
      </c>
      <c r="I41" s="1290" t="s">
        <v>668</v>
      </c>
      <c r="J41" s="1290" t="s">
        <v>669</v>
      </c>
      <c r="K41" s="1290" t="s">
        <v>670</v>
      </c>
      <c r="L41" s="1290" t="s">
        <v>645</v>
      </c>
      <c r="Q41" s="312"/>
      <c r="R41" s="312"/>
      <c r="S41" s="24101"/>
      <c r="T41" s="24050"/>
      <c r="U41" s="238"/>
      <c r="V41" s="24074"/>
      <c r="W41" s="24098"/>
      <c r="X41" s="1148" t="s">
        <v>671</v>
      </c>
      <c r="Y41" s="1148" t="s">
        <v>672</v>
      </c>
      <c r="Z41" s="1147" t="s">
        <v>673</v>
      </c>
      <c r="AA41" s="24055" t="s">
        <v>674</v>
      </c>
      <c r="AB41" s="24068"/>
      <c r="AC41" s="24107"/>
      <c r="AD41" s="24074"/>
      <c r="AE41" s="24098"/>
      <c r="AF41" s="1148" t="s">
        <v>671</v>
      </c>
      <c r="AG41" s="1148" t="s">
        <v>672</v>
      </c>
      <c r="AH41" s="1239" t="s">
        <v>673</v>
      </c>
      <c r="AI41" s="24055" t="s">
        <v>674</v>
      </c>
      <c r="AJ41" s="24068"/>
      <c r="AK41" s="24107"/>
      <c r="AL41" s="24110"/>
      <c r="AM41" s="2394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218</v>
      </c>
      <c r="T42" s="1181" t="s">
        <v>95</v>
      </c>
      <c r="U42" s="1171" t="str">
        <f ca="1">OFFSET(U42,0,-1)</f>
        <v>2</v>
      </c>
      <c r="V42" s="1182">
        <f ca="1">OFFSET(V42,0,-1)+1</f>
        <v>3</v>
      </c>
      <c r="W42" s="1182"/>
      <c r="X42" s="1182">
        <f ca="1">OFFSET(X42,0,-1)+1</f>
        <v>1</v>
      </c>
      <c r="Y42" s="1182">
        <f ca="1">OFFSET(Y42,0,-1)+1</f>
        <v>2</v>
      </c>
      <c r="Z42" s="1182">
        <f ca="1">OFFSET(Z42,0,-1)+1</f>
        <v>3</v>
      </c>
      <c r="AA42" s="24099">
        <f ca="1">OFFSET(AA42,0,-1)+1</f>
        <v>4</v>
      </c>
      <c r="AB42" s="24099"/>
      <c r="AC42" s="1182">
        <f ca="1">OFFSET(AC42,0,-2)+1</f>
        <v>5</v>
      </c>
      <c r="AD42" s="1238">
        <f ca="1">OFFSET(AD42,0,-1)+1</f>
        <v>6</v>
      </c>
      <c r="AE42" s="1238"/>
      <c r="AF42" s="1238">
        <f ca="1">OFFSET(AF42,0,-1)+1</f>
        <v>1</v>
      </c>
      <c r="AG42" s="1238">
        <f ca="1">OFFSET(AG42,0,-1)+1</f>
        <v>2</v>
      </c>
      <c r="AH42" s="1238">
        <f ca="1">OFFSET(AH42,0,-1)+1</f>
        <v>3</v>
      </c>
      <c r="AI42" s="24099">
        <f ca="1">OFFSET(AI42,0,-1)+1</f>
        <v>4</v>
      </c>
      <c r="AJ42" s="24099"/>
      <c r="AK42" s="1238">
        <f ca="1">OFFSET(AK42,0,-2)+1</f>
        <v>5</v>
      </c>
      <c r="AL42" s="1171">
        <f ca="1">OFFSET(AL42,0,-1)</f>
        <v>5</v>
      </c>
      <c r="AM42" s="1182">
        <f ca="1">OFFSET(AM42,0,-1)+1</f>
        <v>6</v>
      </c>
      <c r="AN42" s="447"/>
      <c r="AO42" s="447"/>
      <c r="AP42" s="447"/>
      <c r="AQ42" s="447"/>
      <c r="AR42" s="447"/>
      <c r="AS42" s="432">
        <v>0</v>
      </c>
    </row>
    <row r="43" spans="1:45" ht="24" customHeight="1">
      <c r="A43" s="1289" t="s">
        <v>256</v>
      </c>
      <c r="B43" s="1289"/>
      <c r="C43" s="1289"/>
      <c r="D43" s="1289"/>
      <c r="E43" s="24088">
        <v>1</v>
      </c>
      <c r="F43" s="1289"/>
      <c r="G43" s="1289"/>
      <c r="H43" s="1289"/>
      <c r="I43" s="1289"/>
      <c r="J43" s="1289"/>
      <c r="K43" s="1289"/>
      <c r="L43" s="1290"/>
      <c r="M43" s="1291"/>
      <c r="N43" s="1291"/>
      <c r="O43" s="1291"/>
      <c r="P43" s="297"/>
      <c r="Q43" s="296"/>
      <c r="R43" s="291"/>
      <c r="S43" s="1150">
        <f>INDEX(PT_DIFFERENTIATION_NUM_NTAR,MATCH(A43,PT_DIFFERENTIATION_NTAR_ID,0))</f>
        <v>0</v>
      </c>
      <c r="T43" s="234"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23</v>
      </c>
    </row>
    <row r="44" spans="1:45" ht="24" customHeight="1">
      <c r="A44" s="1289" t="s">
        <v>256</v>
      </c>
      <c r="B44" s="1289" t="s">
        <v>257</v>
      </c>
      <c r="C44" s="1289"/>
      <c r="D44" s="1289"/>
      <c r="E44" s="24089"/>
      <c r="F44" s="24088">
        <v>1</v>
      </c>
      <c r="G44" s="1289"/>
      <c r="H44" s="1289"/>
      <c r="I44" s="1289"/>
      <c r="J44" s="1289"/>
      <c r="K44" s="1289"/>
      <c r="L44" s="1290"/>
      <c r="M44" s="1291"/>
      <c r="N44" s="1291"/>
      <c r="O44" s="1291"/>
      <c r="P44" s="458"/>
      <c r="Q44" s="288"/>
      <c r="R44" s="289"/>
      <c r="S44" s="1150" t="str">
        <f>INDEX(PT_DIFFERENTIATION_NUM_TER,MATCH(B44,PT_DIFFERENTIATION_TER_ID,0))</f>
        <v>.</v>
      </c>
      <c r="T44" s="244"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436"/>
      <c r="AP44" s="436" t="str">
        <f t="shared" si="1"/>
        <v>Территория действия тарифа</v>
      </c>
      <c r="AQ44" s="436"/>
      <c r="AR44" s="436"/>
      <c r="AS44" s="1081">
        <v>23</v>
      </c>
    </row>
    <row r="45" spans="1:45" ht="24" customHeight="1">
      <c r="A45" s="1289" t="s">
        <v>256</v>
      </c>
      <c r="B45" s="1289" t="s">
        <v>257</v>
      </c>
      <c r="C45" s="1289" t="s">
        <v>258</v>
      </c>
      <c r="D45" s="1289"/>
      <c r="E45" s="24089"/>
      <c r="F45" s="24089"/>
      <c r="G45" s="24088">
        <v>1</v>
      </c>
      <c r="H45" s="1289"/>
      <c r="I45" s="1289"/>
      <c r="J45" s="1289"/>
      <c r="K45" s="1289"/>
      <c r="L45" s="1290"/>
      <c r="M45" s="1291"/>
      <c r="N45" s="1291"/>
      <c r="O45" s="1291"/>
      <c r="P45" s="290"/>
      <c r="Q45" s="288"/>
      <c r="R45" s="289"/>
      <c r="S45" s="1150"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436"/>
      <c r="AP45" s="436" t="str">
        <f t="shared" si="1"/>
        <v xml:space="preserve">Наименование системы теплоснабжения </v>
      </c>
      <c r="AQ45" s="436"/>
      <c r="AR45" s="436"/>
      <c r="AS45" s="1081">
        <v>23</v>
      </c>
    </row>
    <row r="46" spans="1:45" ht="24" customHeight="1">
      <c r="A46" s="1289" t="s">
        <v>256</v>
      </c>
      <c r="B46" s="1289" t="s">
        <v>257</v>
      </c>
      <c r="C46" s="1289" t="s">
        <v>258</v>
      </c>
      <c r="D46" s="1289" t="s">
        <v>259</v>
      </c>
      <c r="E46" s="24089"/>
      <c r="F46" s="24089"/>
      <c r="G46" s="24089"/>
      <c r="H46" s="24088">
        <v>1</v>
      </c>
      <c r="I46" s="1289"/>
      <c r="J46" s="1289"/>
      <c r="K46" s="1289"/>
      <c r="L46" s="1290"/>
      <c r="M46" s="1291"/>
      <c r="N46" s="1291"/>
      <c r="O46" s="1291"/>
      <c r="P46" s="290"/>
      <c r="Q46" s="288"/>
      <c r="R46" s="289"/>
      <c r="S46" s="1150"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436"/>
      <c r="AP46" s="436" t="str">
        <f t="shared" si="1"/>
        <v xml:space="preserve">Источник тепловой энергии  </v>
      </c>
      <c r="AQ46" s="436"/>
      <c r="AR46" s="436"/>
      <c r="AS46" s="1081">
        <v>23</v>
      </c>
    </row>
    <row r="47" spans="1:45" ht="49.5" customHeight="1">
      <c r="A47" s="1289" t="s">
        <v>256</v>
      </c>
      <c r="B47" s="1289" t="s">
        <v>257</v>
      </c>
      <c r="C47" s="1289" t="s">
        <v>258</v>
      </c>
      <c r="D47" s="1289" t="s">
        <v>259</v>
      </c>
      <c r="E47" s="24089"/>
      <c r="F47" s="24089"/>
      <c r="G47" s="24089"/>
      <c r="H47" s="24089"/>
      <c r="I47" s="24090" t="str">
        <f>S46&amp;".1"</f>
        <v>....1</v>
      </c>
      <c r="J47" s="1289"/>
      <c r="K47" s="1289"/>
      <c r="L47" s="1290" t="s">
        <v>632</v>
      </c>
      <c r="P47" s="24092">
        <v>1</v>
      </c>
      <c r="Q47" s="1146"/>
      <c r="R47" s="292"/>
      <c r="S47" s="1150" t="str">
        <f>$I47</f>
        <v>....1</v>
      </c>
      <c r="T47" s="221" t="s">
        <v>633</v>
      </c>
      <c r="U47" s="236"/>
      <c r="V47" s="24076"/>
      <c r="W47" s="24077"/>
      <c r="X47" s="24077"/>
      <c r="Y47" s="24077"/>
      <c r="Z47" s="24077"/>
      <c r="AA47" s="24077"/>
      <c r="AB47" s="24077"/>
      <c r="AC47" s="24078"/>
      <c r="AD47" s="24076"/>
      <c r="AE47" s="24077"/>
      <c r="AF47" s="24077"/>
      <c r="AG47" s="24077"/>
      <c r="AH47" s="24077"/>
      <c r="AI47" s="24077"/>
      <c r="AJ47" s="24077"/>
      <c r="AK47" s="24077"/>
      <c r="AL47" s="24078"/>
      <c r="AM47" s="1184" t="s">
        <v>634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256</v>
      </c>
      <c r="B48" s="1289" t="s">
        <v>257</v>
      </c>
      <c r="C48" s="1289" t="s">
        <v>258</v>
      </c>
      <c r="D48" s="1289" t="s">
        <v>259</v>
      </c>
      <c r="E48" s="24089"/>
      <c r="F48" s="24089"/>
      <c r="G48" s="24089"/>
      <c r="H48" s="24089"/>
      <c r="I48" s="24091"/>
      <c r="J48" s="24090" t="str">
        <f>I47&amp;".1"</f>
        <v>....1.1</v>
      </c>
      <c r="K48" s="1289"/>
      <c r="L48" s="1290" t="s">
        <v>635</v>
      </c>
      <c r="P48" s="24092"/>
      <c r="Q48" s="24092">
        <v>1</v>
      </c>
      <c r="R48" s="293"/>
      <c r="S48" s="1150" t="str">
        <f>$J48</f>
        <v>....1.1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436"/>
      <c r="AP48" s="436" t="str">
        <f t="shared" si="1"/>
        <v>Группа потребителей</v>
      </c>
      <c r="AQ48" s="436"/>
      <c r="AR48" s="436"/>
      <c r="AS48" s="1081">
        <v>23</v>
      </c>
    </row>
    <row r="49" spans="1:45" ht="24" customHeight="1">
      <c r="A49" s="1289" t="s">
        <v>256</v>
      </c>
      <c r="B49" s="1289" t="s">
        <v>257</v>
      </c>
      <c r="C49" s="1289" t="s">
        <v>258</v>
      </c>
      <c r="D49" s="1289" t="s">
        <v>259</v>
      </c>
      <c r="E49" s="24089"/>
      <c r="F49" s="24089"/>
      <c r="G49" s="24089"/>
      <c r="H49" s="24089"/>
      <c r="I49" s="24091"/>
      <c r="J49" s="24091"/>
      <c r="K49" s="24090" t="str">
        <f>J48&amp;".1"</f>
        <v>....1.1.1</v>
      </c>
      <c r="L49" s="1290" t="s">
        <v>638</v>
      </c>
      <c r="P49" s="24092"/>
      <c r="Q49" s="24092"/>
      <c r="R49" s="293">
        <v>1</v>
      </c>
      <c r="S49" s="1150" t="str">
        <f>$K49</f>
        <v>....1.1.1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639</v>
      </c>
      <c r="AN49" s="447" t="e">
        <f ca="1">STRCHECKDATE(V50:AL50)</f>
        <v>#NAME?</v>
      </c>
      <c r="AO49" s="436"/>
      <c r="AP49" s="436" t="str">
        <f t="shared" si="1"/>
        <v/>
      </c>
      <c r="AQ49" s="436"/>
      <c r="AR49" s="436"/>
      <c r="AS49" s="1081">
        <v>23</v>
      </c>
    </row>
    <row r="50" spans="1:45" ht="1.1499999999999999" customHeight="1">
      <c r="A50" s="1289" t="s">
        <v>256</v>
      </c>
      <c r="B50" s="1289" t="s">
        <v>257</v>
      </c>
      <c r="C50" s="1289" t="s">
        <v>258</v>
      </c>
      <c r="D50" s="1289" t="s">
        <v>259</v>
      </c>
      <c r="E50" s="24089"/>
      <c r="F50" s="24089"/>
      <c r="G50" s="24089"/>
      <c r="H50" s="24089"/>
      <c r="I50" s="24091"/>
      <c r="J50" s="24091"/>
      <c r="K50" s="24090"/>
      <c r="L50" s="1290"/>
      <c r="P50" s="24092"/>
      <c r="Q50" s="24092"/>
      <c r="R50" s="293"/>
      <c r="S50" s="1149"/>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436"/>
      <c r="AP50" s="436" t="str">
        <f t="shared" si="1"/>
        <v/>
      </c>
      <c r="AQ50" s="436"/>
      <c r="AR50" s="436"/>
      <c r="AS50" s="1081">
        <v>1</v>
      </c>
    </row>
    <row r="51" spans="1:45" ht="11.45" customHeight="1">
      <c r="A51" s="1289" t="s">
        <v>256</v>
      </c>
      <c r="B51" s="1289" t="s">
        <v>257</v>
      </c>
      <c r="C51" s="1289" t="s">
        <v>258</v>
      </c>
      <c r="D51" s="1289" t="s">
        <v>259</v>
      </c>
      <c r="E51" s="24089"/>
      <c r="F51" s="24089"/>
      <c r="G51" s="24089"/>
      <c r="H51" s="24089"/>
      <c r="I51" s="24091"/>
      <c r="J51" s="24090"/>
      <c r="K51" s="1289"/>
      <c r="L51" s="1290"/>
      <c r="P51" s="24092"/>
      <c r="Q51" s="24092"/>
      <c r="R51" s="292"/>
      <c r="S51" s="1204"/>
      <c r="T51" s="224" t="s">
        <v>640</v>
      </c>
      <c r="U51" s="303"/>
      <c r="V51" s="303"/>
      <c r="W51" s="303"/>
      <c r="X51" s="303"/>
      <c r="Y51" s="303"/>
      <c r="Z51" s="303"/>
      <c r="AA51" s="303"/>
      <c r="AB51" s="303"/>
      <c r="AC51" s="303"/>
      <c r="AD51" s="303"/>
      <c r="AE51" s="303"/>
      <c r="AF51" s="303"/>
      <c r="AG51" s="303"/>
      <c r="AH51" s="303"/>
      <c r="AI51" s="303"/>
      <c r="AJ51" s="303"/>
      <c r="AK51" s="303"/>
      <c r="AL51" s="260"/>
      <c r="AM51" s="24113"/>
      <c r="AO51" s="436"/>
      <c r="AP51" s="436" t="str">
        <f t="shared" si="1"/>
        <v>Добавить вид теплоносителя (параметры теплоносителя)</v>
      </c>
      <c r="AQ51" s="436"/>
      <c r="AR51" s="436"/>
      <c r="AS51" s="1081">
        <v>11</v>
      </c>
    </row>
    <row r="52" spans="1:45" ht="11.45" customHeight="1">
      <c r="A52" s="1289" t="s">
        <v>256</v>
      </c>
      <c r="B52" s="1289" t="s">
        <v>257</v>
      </c>
      <c r="C52" s="1289" t="s">
        <v>258</v>
      </c>
      <c r="D52" s="1289" t="s">
        <v>259</v>
      </c>
      <c r="E52" s="24089"/>
      <c r="F52" s="24089"/>
      <c r="G52" s="24089"/>
      <c r="H52" s="24089"/>
      <c r="I52" s="24090"/>
      <c r="J52" s="1289"/>
      <c r="K52" s="1289"/>
      <c r="L52" s="1290"/>
      <c r="P52" s="24092"/>
      <c r="Q52" s="1146"/>
      <c r="R52" s="292"/>
      <c r="S52" s="1204"/>
      <c r="T52" s="223" t="s">
        <v>641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256</v>
      </c>
      <c r="B53" s="1289" t="s">
        <v>257</v>
      </c>
      <c r="C53" s="1289" t="s">
        <v>258</v>
      </c>
      <c r="D53" s="1289" t="s">
        <v>259</v>
      </c>
      <c r="E53" s="24089"/>
      <c r="F53" s="24089"/>
      <c r="G53" s="24089"/>
      <c r="H53" s="24088"/>
      <c r="I53" s="1289"/>
      <c r="J53" s="1289"/>
      <c r="K53" s="1289"/>
      <c r="L53" s="1290"/>
      <c r="M53" s="1291"/>
      <c r="N53" s="1291"/>
      <c r="O53" s="473"/>
      <c r="P53" s="296"/>
      <c r="Q53" s="311"/>
      <c r="R53" s="291"/>
      <c r="S53" s="1204"/>
      <c r="T53" s="301" t="s">
        <v>642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256</v>
      </c>
      <c r="B54" s="1269" t="s">
        <v>257</v>
      </c>
      <c r="C54" s="1269" t="s">
        <v>258</v>
      </c>
      <c r="D54" s="1240"/>
      <c r="E54" s="24089"/>
      <c r="F54" s="24089"/>
      <c r="G54" s="24088"/>
      <c r="H54" s="1240"/>
      <c r="I54" s="1240"/>
      <c r="J54" s="1240"/>
      <c r="K54" s="1240"/>
      <c r="L54" s="1265"/>
      <c r="M54" s="1241"/>
      <c r="N54" s="124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256</v>
      </c>
      <c r="B55" s="1269" t="s">
        <v>257</v>
      </c>
      <c r="C55" s="1240"/>
      <c r="D55" s="1240"/>
      <c r="E55" s="24089"/>
      <c r="F55" s="24088"/>
      <c r="G55" s="1240"/>
      <c r="H55" s="1240"/>
      <c r="I55" s="1240"/>
      <c r="J55" s="1240"/>
      <c r="K55" s="1240"/>
      <c r="L55" s="1265"/>
      <c r="M55" s="1247"/>
      <c r="N55" s="124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256</v>
      </c>
      <c r="B56" s="1269"/>
      <c r="C56" s="1269"/>
      <c r="D56" s="1269"/>
      <c r="E56" s="24088"/>
      <c r="F56" s="1269"/>
      <c r="G56" s="1269"/>
      <c r="H56" s="1269"/>
      <c r="I56" s="1269"/>
      <c r="J56" s="1269"/>
      <c r="K56" s="1269"/>
      <c r="L56" s="1272"/>
      <c r="M56" s="1247"/>
      <c r="N56" s="1247"/>
      <c r="O56" s="454"/>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081">
        <v>27</v>
      </c>
    </row>
    <row r="60" spans="1:45" ht="67.150000000000006" customHeight="1">
      <c r="O60" s="473"/>
      <c r="P60" s="1229"/>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081">
        <v>64</v>
      </c>
    </row>
    <row r="61" spans="1:45" ht="14.65" customHeight="1">
      <c r="O61" s="473"/>
      <c r="AS61" s="1081">
        <v>14</v>
      </c>
    </row>
    <row r="62" spans="1:45" ht="18.75" customHeight="1">
      <c r="O62" s="473"/>
      <c r="P62" s="1254"/>
      <c r="S62" s="1179"/>
      <c r="T62" s="24087"/>
      <c r="U62" s="24087"/>
      <c r="V62" s="24087"/>
      <c r="W62" s="24087"/>
      <c r="X62" s="24087"/>
      <c r="Y62" s="24087"/>
      <c r="Z62" s="24087"/>
      <c r="AA62" s="24087"/>
      <c r="AB62" s="24087"/>
      <c r="AC62" s="24087"/>
      <c r="AD62" s="24087"/>
      <c r="AE62" s="24087"/>
      <c r="AF62" s="24087"/>
      <c r="AG62" s="24087"/>
      <c r="AH62" s="24087"/>
      <c r="AI62" s="24087"/>
      <c r="AJ62" s="24087"/>
      <c r="AK62" s="24087"/>
      <c r="AL62" s="24087"/>
      <c r="AM62" s="24087"/>
      <c r="AS62" s="1081">
        <v>18</v>
      </c>
    </row>
    <row r="63" spans="1:45" ht="18.75" customHeight="1">
      <c r="O63" s="473"/>
      <c r="P63" s="1254"/>
      <c r="T63" s="24087"/>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081">
        <v>18</v>
      </c>
    </row>
    <row r="64" spans="1:45" ht="29.25" customHeight="1">
      <c r="O64" s="473"/>
      <c r="P64" s="1254"/>
      <c r="S64" s="1179"/>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081">
        <v>28</v>
      </c>
    </row>
    <row r="65" spans="1:45" ht="22.5" hidden="1" customHeight="1">
      <c r="A65" s="1086" t="s">
        <v>73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0">
        <v>3</v>
      </c>
      <c r="R65" s="280">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v>
      </c>
    </row>
    <row r="2" spans="1:45" ht="21" hidden="1" customHeight="1">
      <c r="A2" s="1289"/>
      <c r="B2" s="1289"/>
      <c r="C2" s="1289"/>
      <c r="D2" s="1289"/>
      <c r="E2" s="24088">
        <v>1</v>
      </c>
      <c r="F2" s="1289"/>
      <c r="G2" s="1289"/>
      <c r="H2" s="1289"/>
      <c r="I2" s="1289"/>
      <c r="J2" s="1289"/>
      <c r="K2" s="1289"/>
      <c r="L2" s="1290"/>
      <c r="M2" s="1291"/>
      <c r="N2" s="1291"/>
      <c r="O2" s="1291"/>
      <c r="P2" s="297"/>
      <c r="Q2" s="296"/>
      <c r="R2" s="291"/>
      <c r="S2" s="1262" t="e">
        <f>INDEX(PT_DIFFERENTIATION_NUM_NTAR,MATCH(A2,PT_DIFFERENTIATION_NTAR_ID,0))</f>
        <v>#N/A</v>
      </c>
      <c r="T2" s="234"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436"/>
      <c r="AP2" s="436" t="str">
        <f t="shared" ref="AP2:AP15" si="0">IF(T2="","",T2)</f>
        <v>Наименование тарифа</v>
      </c>
      <c r="AQ2" s="436"/>
      <c r="AR2" s="436"/>
      <c r="AS2" s="1081">
        <v>0</v>
      </c>
    </row>
    <row r="3" spans="1:45" ht="21" hidden="1" customHeight="1">
      <c r="A3" s="1289"/>
      <c r="B3" s="1289"/>
      <c r="C3" s="1289"/>
      <c r="D3" s="1289"/>
      <c r="E3" s="24089"/>
      <c r="F3" s="24088">
        <v>1</v>
      </c>
      <c r="G3" s="1289"/>
      <c r="H3" s="1289"/>
      <c r="I3" s="1289"/>
      <c r="J3" s="1289"/>
      <c r="K3" s="1289"/>
      <c r="L3" s="1290"/>
      <c r="M3" s="1291"/>
      <c r="N3" s="1291"/>
      <c r="O3" s="1291"/>
      <c r="P3" s="1258"/>
      <c r="Q3" s="288"/>
      <c r="R3" s="289"/>
      <c r="S3" s="1262" t="e">
        <f>INDEX(PT_DIFFERENTIATION_NUM_TER,MATCH(B3,PT_DIFFERENTIATION_TER_ID,0))</f>
        <v>#N/A</v>
      </c>
      <c r="T3" s="244"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436"/>
      <c r="AP3" s="436" t="str">
        <f t="shared" si="0"/>
        <v>Территория действия тарифа</v>
      </c>
      <c r="AQ3" s="436"/>
      <c r="AR3" s="436"/>
      <c r="AS3" s="1081">
        <v>0</v>
      </c>
    </row>
    <row r="4" spans="1:45" ht="23.25" hidden="1" customHeight="1">
      <c r="A4" s="1289"/>
      <c r="B4" s="1289"/>
      <c r="C4" s="1289"/>
      <c r="D4" s="1289"/>
      <c r="E4" s="24089"/>
      <c r="F4" s="24089"/>
      <c r="G4" s="24088">
        <v>1</v>
      </c>
      <c r="H4" s="1289"/>
      <c r="I4" s="1289"/>
      <c r="J4" s="1289"/>
      <c r="K4" s="1289"/>
      <c r="L4" s="1290"/>
      <c r="M4" s="1291"/>
      <c r="N4" s="1291"/>
      <c r="O4" s="1291"/>
      <c r="P4" s="290"/>
      <c r="Q4" s="288"/>
      <c r="R4" s="289"/>
      <c r="S4" s="1262"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089"/>
      <c r="F5" s="24089"/>
      <c r="G5" s="24089"/>
      <c r="H5" s="24088">
        <v>1</v>
      </c>
      <c r="I5" s="1289"/>
      <c r="J5" s="1289"/>
      <c r="K5" s="1289"/>
      <c r="L5" s="1290"/>
      <c r="M5" s="1291"/>
      <c r="N5" s="1291"/>
      <c r="O5" s="1291"/>
      <c r="P5" s="290"/>
      <c r="Q5" s="288"/>
      <c r="R5" s="289"/>
      <c r="S5" s="1262"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436"/>
      <c r="AP5" s="436" t="str">
        <f t="shared" si="0"/>
        <v xml:space="preserve">Источник тепловой энергии  </v>
      </c>
      <c r="AQ5" s="436"/>
      <c r="AR5" s="436"/>
      <c r="AS5" s="1081">
        <v>0</v>
      </c>
    </row>
    <row r="6" spans="1:45" ht="47.25" hidden="1" customHeight="1">
      <c r="A6" s="1289"/>
      <c r="B6" s="1289"/>
      <c r="C6" s="1289"/>
      <c r="D6" s="1289"/>
      <c r="E6" s="24089"/>
      <c r="F6" s="24089"/>
      <c r="G6" s="24089"/>
      <c r="H6" s="24089"/>
      <c r="I6" s="24090" t="e">
        <f>S5&amp;".1"</f>
        <v>#N/A</v>
      </c>
      <c r="J6" s="1289"/>
      <c r="K6" s="1289"/>
      <c r="L6" s="1290" t="s">
        <v>632</v>
      </c>
      <c r="M6" s="473"/>
      <c r="P6" s="24092">
        <v>1</v>
      </c>
      <c r="Q6" s="1257"/>
      <c r="R6" s="292"/>
      <c r="S6" s="1262" t="e">
        <f>$I6</f>
        <v>#N/A</v>
      </c>
      <c r="T6" s="221" t="s">
        <v>633</v>
      </c>
      <c r="U6" s="236"/>
      <c r="V6" s="24076"/>
      <c r="W6" s="24077"/>
      <c r="X6" s="24077"/>
      <c r="Y6" s="24077"/>
      <c r="Z6" s="24077"/>
      <c r="AA6" s="24077"/>
      <c r="AB6" s="24077"/>
      <c r="AC6" s="24078"/>
      <c r="AD6" s="24076"/>
      <c r="AE6" s="24077"/>
      <c r="AF6" s="24077"/>
      <c r="AG6" s="24077"/>
      <c r="AH6" s="24077"/>
      <c r="AI6" s="24077"/>
      <c r="AJ6" s="24077"/>
      <c r="AK6" s="24077"/>
      <c r="AL6" s="24078"/>
      <c r="AM6" s="1184" t="s">
        <v>634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089"/>
      <c r="F7" s="24089"/>
      <c r="G7" s="24089"/>
      <c r="H7" s="24089"/>
      <c r="I7" s="24091"/>
      <c r="J7" s="24090" t="e">
        <f>I6&amp;".1"</f>
        <v>#N/A</v>
      </c>
      <c r="K7" s="1289"/>
      <c r="L7" s="1290" t="s">
        <v>635</v>
      </c>
      <c r="M7" s="473"/>
      <c r="N7" s="1292"/>
      <c r="P7" s="24092"/>
      <c r="Q7" s="24092">
        <v>1</v>
      </c>
      <c r="R7" s="293"/>
      <c r="S7" s="1262"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436"/>
      <c r="AP7" s="436" t="str">
        <f t="shared" si="0"/>
        <v>Группа потребителей</v>
      </c>
      <c r="AQ7" s="436"/>
      <c r="AR7" s="436"/>
      <c r="AS7" s="1081">
        <v>0</v>
      </c>
    </row>
    <row r="8" spans="1:45" ht="21" hidden="1" customHeight="1">
      <c r="A8" s="1289"/>
      <c r="B8" s="1289"/>
      <c r="C8" s="1289"/>
      <c r="D8" s="1289"/>
      <c r="E8" s="24089"/>
      <c r="F8" s="24089"/>
      <c r="G8" s="24089"/>
      <c r="H8" s="24089"/>
      <c r="I8" s="24091"/>
      <c r="J8" s="24091"/>
      <c r="K8" s="24090" t="e">
        <f>J7&amp;".1"</f>
        <v>#N/A</v>
      </c>
      <c r="L8" s="1290" t="s">
        <v>638</v>
      </c>
      <c r="M8" s="473"/>
      <c r="N8" s="1292"/>
      <c r="O8" s="1292"/>
      <c r="P8" s="24092"/>
      <c r="Q8" s="24092"/>
      <c r="R8" s="293">
        <v>1</v>
      </c>
      <c r="S8" s="1262" t="e">
        <f>$K8</f>
        <v>#N/A</v>
      </c>
      <c r="T8" s="1273"/>
      <c r="U8" s="236"/>
      <c r="V8" s="687"/>
      <c r="W8" s="261"/>
      <c r="X8" s="687"/>
      <c r="Y8" s="1183"/>
      <c r="Z8" s="24093"/>
      <c r="AA8" s="23957" t="s">
        <v>59</v>
      </c>
      <c r="AB8" s="24093"/>
      <c r="AC8" s="23957" t="s">
        <v>59</v>
      </c>
      <c r="AD8" s="687"/>
      <c r="AE8" s="261"/>
      <c r="AF8" s="687"/>
      <c r="AG8" s="1183"/>
      <c r="AH8" s="24093"/>
      <c r="AI8" s="23957" t="s">
        <v>59</v>
      </c>
      <c r="AJ8" s="24093"/>
      <c r="AK8" s="23957" t="s">
        <v>59</v>
      </c>
      <c r="AL8" s="261"/>
      <c r="AM8" s="24111" t="s">
        <v>639</v>
      </c>
      <c r="AN8" s="447" t="e">
        <f ca="1">STRCHECKDATE(V9:AL9)</f>
        <v>#NAME?</v>
      </c>
      <c r="AO8" s="436"/>
      <c r="AP8" s="436" t="str">
        <f t="shared" si="0"/>
        <v/>
      </c>
      <c r="AQ8" s="436"/>
      <c r="AR8" s="436"/>
      <c r="AS8" s="1081">
        <v>0</v>
      </c>
    </row>
    <row r="9" spans="1:45" ht="0.75" hidden="1" customHeight="1">
      <c r="A9" s="1289"/>
      <c r="B9" s="1289"/>
      <c r="C9" s="1289"/>
      <c r="D9" s="1289"/>
      <c r="E9" s="24089"/>
      <c r="F9" s="24089"/>
      <c r="G9" s="24089"/>
      <c r="H9" s="24089"/>
      <c r="I9" s="24091"/>
      <c r="J9" s="24091"/>
      <c r="K9" s="24090"/>
      <c r="L9" s="1290"/>
      <c r="M9" s="473"/>
      <c r="N9" s="1292"/>
      <c r="O9" s="1292"/>
      <c r="P9" s="24092"/>
      <c r="Q9" s="24092"/>
      <c r="R9" s="293"/>
      <c r="S9" s="1268"/>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436"/>
      <c r="AP9" s="436" t="str">
        <f t="shared" si="0"/>
        <v/>
      </c>
      <c r="AQ9" s="436"/>
      <c r="AR9" s="436"/>
      <c r="AS9" s="1081">
        <v>0</v>
      </c>
    </row>
    <row r="10" spans="1:45" ht="15" hidden="1" customHeight="1">
      <c r="A10" s="1289"/>
      <c r="B10" s="1289"/>
      <c r="C10" s="1289"/>
      <c r="D10" s="1289"/>
      <c r="E10" s="24089"/>
      <c r="F10" s="24089"/>
      <c r="G10" s="24089"/>
      <c r="H10" s="24089"/>
      <c r="I10" s="24091"/>
      <c r="J10" s="24090"/>
      <c r="K10" s="1289"/>
      <c r="L10" s="1290"/>
      <c r="M10" s="473"/>
      <c r="N10" s="1292"/>
      <c r="P10" s="24092"/>
      <c r="Q10" s="24092"/>
      <c r="R10" s="292"/>
      <c r="S10" s="1204"/>
      <c r="T10" s="224" t="s">
        <v>640</v>
      </c>
      <c r="U10" s="303"/>
      <c r="V10" s="303"/>
      <c r="W10" s="303"/>
      <c r="X10" s="303"/>
      <c r="Y10" s="303"/>
      <c r="Z10" s="303"/>
      <c r="AA10" s="303"/>
      <c r="AB10" s="303"/>
      <c r="AC10" s="303"/>
      <c r="AD10" s="303"/>
      <c r="AE10" s="303"/>
      <c r="AF10" s="303"/>
      <c r="AG10" s="303"/>
      <c r="AH10" s="303"/>
      <c r="AI10" s="303"/>
      <c r="AJ10" s="303"/>
      <c r="AK10" s="303"/>
      <c r="AL10" s="260"/>
      <c r="AM10" s="241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089"/>
      <c r="F11" s="24089"/>
      <c r="G11" s="24089"/>
      <c r="H11" s="24089"/>
      <c r="I11" s="24090"/>
      <c r="J11" s="1289"/>
      <c r="K11" s="1289"/>
      <c r="L11" s="1290"/>
      <c r="M11" s="473"/>
      <c r="P11" s="24092"/>
      <c r="Q11" s="1257"/>
      <c r="R11" s="292"/>
      <c r="S11" s="1204"/>
      <c r="T11" s="223" t="s">
        <v>641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4089"/>
      <c r="F12" s="24089"/>
      <c r="G12" s="24089"/>
      <c r="H12" s="24088"/>
      <c r="I12" s="1289"/>
      <c r="J12" s="1289"/>
      <c r="K12" s="1289"/>
      <c r="L12" s="1290"/>
      <c r="M12" s="1291"/>
      <c r="N12" s="1291"/>
      <c r="O12" s="473"/>
      <c r="P12" s="296"/>
      <c r="Q12" s="311"/>
      <c r="R12" s="291"/>
      <c r="S12" s="1204"/>
      <c r="T12" s="301" t="s">
        <v>642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4089"/>
      <c r="F13" s="24089"/>
      <c r="G13" s="24088"/>
      <c r="H13" s="1240"/>
      <c r="I13" s="1240"/>
      <c r="J13" s="1240"/>
      <c r="K13" s="1240"/>
      <c r="L13" s="1265"/>
      <c r="M13" s="1241"/>
      <c r="N13" s="124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089"/>
      <c r="F14" s="24088"/>
      <c r="G14" s="1240"/>
      <c r="H14" s="1240"/>
      <c r="I14" s="1240"/>
      <c r="J14" s="1240"/>
      <c r="K14" s="1240"/>
      <c r="L14" s="1265"/>
      <c r="M14" s="1247"/>
      <c r="N14" s="124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088"/>
      <c r="F15" s="1240"/>
      <c r="G15" s="1240"/>
      <c r="H15" s="1240"/>
      <c r="I15" s="1240"/>
      <c r="J15" s="1240"/>
      <c r="K15" s="1240"/>
      <c r="L15" s="1265"/>
      <c r="M15" s="1247"/>
      <c r="N15" s="124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4086"/>
      <c r="AI17" s="24085" t="s">
        <v>59</v>
      </c>
      <c r="AJ17" s="24086"/>
      <c r="AK17" s="24085" t="s">
        <v>59</v>
      </c>
      <c r="AS17" s="1081">
        <v>0</v>
      </c>
    </row>
    <row r="18" spans="1:45" ht="14.25" hidden="1" customHeight="1">
      <c r="AD18" s="1286"/>
      <c r="AE18" s="1286"/>
      <c r="AF18" s="1286"/>
      <c r="AG18" s="264" t="str">
        <f>AH17&amp;"-"&amp;AJ17</f>
        <v>-</v>
      </c>
      <c r="AH18" s="24085"/>
      <c r="AI18" s="24085"/>
      <c r="AJ18" s="24085"/>
      <c r="AK18" s="24085"/>
      <c r="AS18" s="1081">
        <v>0</v>
      </c>
    </row>
    <row r="19" spans="1:45" ht="14.25" hidden="1" customHeight="1">
      <c r="AK19" s="263"/>
      <c r="AS19" s="1081">
        <v>0</v>
      </c>
    </row>
    <row r="20" spans="1:45" s="1292" customFormat="1" ht="22.5" hidden="1" customHeight="1">
      <c r="L20" s="1255"/>
      <c r="M20" s="1288"/>
      <c r="N20" s="1288"/>
      <c r="O20" s="1293" t="s">
        <v>644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645</v>
      </c>
      <c r="P22" s="1288"/>
      <c r="Q22" s="1297"/>
      <c r="R22" s="1297"/>
      <c r="S22" s="665"/>
      <c r="T22" s="1086" t="s">
        <v>646</v>
      </c>
      <c r="AA22" s="123" t="s">
        <v>647</v>
      </c>
      <c r="AC22" s="123" t="s">
        <v>648</v>
      </c>
      <c r="AD22" s="1086" t="s">
        <v>646</v>
      </c>
      <c r="AI22" s="123" t="s">
        <v>649</v>
      </c>
      <c r="AK22" s="123" t="s">
        <v>648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4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081">
        <v>14</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50" customFormat="1" ht="25.5" customHeight="1">
      <c r="A29" s="1294"/>
      <c r="B29" s="1294"/>
      <c r="C29" s="1294"/>
      <c r="D29" s="1294"/>
      <c r="E29" s="1294"/>
      <c r="F29" s="1294"/>
      <c r="G29" s="1294"/>
      <c r="H29" s="1294"/>
      <c r="I29" s="1294"/>
      <c r="J29" s="1294"/>
      <c r="K29" s="1294"/>
      <c r="L29" s="1295"/>
      <c r="M29" s="1294"/>
      <c r="N29" s="1294"/>
      <c r="O29" s="129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262"/>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262"/>
      <c r="AL29" s="262"/>
      <c r="AM29" s="216"/>
      <c r="AN29" s="304"/>
      <c r="AO29" s="304"/>
      <c r="AP29" s="304"/>
      <c r="AQ29" s="304"/>
      <c r="AR29" s="304"/>
      <c r="AS29" s="354">
        <v>0</v>
      </c>
    </row>
    <row r="30" spans="1:45" s="1750" customFormat="1" ht="18.75" customHeight="1">
      <c r="A30" s="1294"/>
      <c r="B30" s="1294"/>
      <c r="C30" s="1294"/>
      <c r="D30" s="1294"/>
      <c r="E30" s="1294"/>
      <c r="F30" s="1294"/>
      <c r="G30" s="1294"/>
      <c r="H30" s="1294"/>
      <c r="I30" s="1294"/>
      <c r="J30" s="1294"/>
      <c r="K30" s="1294"/>
      <c r="L30" s="1295"/>
      <c r="M30" s="1294"/>
      <c r="N30" s="1294"/>
      <c r="O30" s="1294"/>
      <c r="S30" s="24079" t="s">
        <v>650</v>
      </c>
      <c r="T30" s="24079"/>
      <c r="U30" s="1298"/>
      <c r="V30" s="24080" t="str">
        <f>IF(TITLE_DATE_PR_CHANGE="",IF(TITLE_DATE_PR="","",TITLE_DATE_PR),TITLE_DATE_PR_CHANGE)</f>
        <v>20.12.2024</v>
      </c>
      <c r="W30" s="24080"/>
      <c r="X30" s="24080"/>
      <c r="Y30" s="24080"/>
      <c r="Z30" s="24080"/>
      <c r="AA30" s="24080"/>
      <c r="AB30" s="24080"/>
      <c r="AC30" s="262"/>
      <c r="AD30" s="24080" t="str">
        <f>IF(TITLE_DATE_PR_CHANGE="",IF(TITLE_DATE_PR="","",TITLE_DATE_PR),TITLE_DATE_PR_CHANGE)</f>
        <v>20.12.2024</v>
      </c>
      <c r="AE30" s="24080"/>
      <c r="AF30" s="24080"/>
      <c r="AG30" s="24080"/>
      <c r="AH30" s="24080"/>
      <c r="AI30" s="24080"/>
      <c r="AJ30" s="24080"/>
      <c r="AK30" s="262"/>
      <c r="AL30" s="262"/>
      <c r="AM30" s="216"/>
      <c r="AN30" s="304"/>
      <c r="AO30" s="304"/>
      <c r="AP30" s="304"/>
      <c r="AQ30" s="304"/>
      <c r="AR30" s="304"/>
      <c r="AS30" s="354">
        <v>0</v>
      </c>
    </row>
    <row r="31" spans="1:45" s="1750" customFormat="1" ht="18.75" customHeight="1">
      <c r="A31" s="1294"/>
      <c r="B31" s="1294"/>
      <c r="C31" s="1294"/>
      <c r="D31" s="1294"/>
      <c r="E31" s="1294"/>
      <c r="F31" s="1294"/>
      <c r="G31" s="1294"/>
      <c r="H31" s="1294"/>
      <c r="I31" s="1294"/>
      <c r="J31" s="1294"/>
      <c r="K31" s="1294"/>
      <c r="L31" s="1295"/>
      <c r="M31" s="1294"/>
      <c r="N31" s="1294"/>
      <c r="O31" s="1294"/>
      <c r="S31" s="24079" t="s">
        <v>651</v>
      </c>
      <c r="T31" s="24079"/>
      <c r="U31" s="1298"/>
      <c r="V31" s="24081" t="str">
        <f>IF(TITLE_NUMBER_PR_CHANGE="",IF(TITLE_NUMBER_PR="","",TITLE_NUMBER_PR),TITLE_NUMBER_PR_CHANGE)</f>
        <v>403, 404</v>
      </c>
      <c r="W31" s="24081"/>
      <c r="X31" s="24081"/>
      <c r="Y31" s="24081"/>
      <c r="Z31" s="24081"/>
      <c r="AA31" s="24081"/>
      <c r="AB31" s="24081"/>
      <c r="AC31" s="262"/>
      <c r="AD31" s="24081" t="str">
        <f>IF(TITLE_NUMBER_PR_CHANGE="",IF(TITLE_NUMBER_PR="","",TITLE_NUMBER_PR),TITLE_NUMBER_PR_CHANGE)</f>
        <v>403, 404</v>
      </c>
      <c r="AE31" s="24081"/>
      <c r="AF31" s="24081"/>
      <c r="AG31" s="24081"/>
      <c r="AH31" s="24081"/>
      <c r="AI31" s="24081"/>
      <c r="AJ31" s="24081"/>
      <c r="AK31" s="262"/>
      <c r="AL31" s="262"/>
      <c r="AM31" s="216"/>
      <c r="AN31" s="304"/>
      <c r="AO31" s="304"/>
      <c r="AP31" s="304"/>
      <c r="AQ31" s="304"/>
      <c r="AR31" s="304"/>
      <c r="AS31" s="354">
        <v>0</v>
      </c>
    </row>
    <row r="32" spans="1:45" s="1750" customFormat="1" ht="18.75" customHeight="1">
      <c r="A32" s="1294"/>
      <c r="B32" s="1294"/>
      <c r="C32" s="1294"/>
      <c r="D32" s="1294"/>
      <c r="E32" s="1294"/>
      <c r="F32" s="1294"/>
      <c r="G32" s="1294"/>
      <c r="H32" s="1294"/>
      <c r="I32" s="1294"/>
      <c r="J32" s="1294"/>
      <c r="K32" s="1294"/>
      <c r="L32" s="1295"/>
      <c r="M32" s="1294"/>
      <c r="N32" s="1294"/>
      <c r="O32" s="1294"/>
      <c r="S32" s="24079" t="s">
        <v>33</v>
      </c>
      <c r="T32" s="24079"/>
      <c r="U32" s="1298"/>
      <c r="V32" s="24081" t="str">
        <f>IF(TITLE_IST_PUB_CHANGE="",IF(TITLE_IST_PUB="","",TITLE_IST_PUB),TITLE_IST_PUB_CHANGE)</f>
        <v>Смоленская газета</v>
      </c>
      <c r="W32" s="24081"/>
      <c r="X32" s="24081"/>
      <c r="Y32" s="24081"/>
      <c r="Z32" s="24081"/>
      <c r="AA32" s="24081"/>
      <c r="AB32" s="24081"/>
      <c r="AC32" s="262"/>
      <c r="AD32" s="24081" t="str">
        <f>IF(TITLE_IST_PUB_CHANGE="",IF(TITLE_IST_PUB="","",TITLE_IST_PUB),TITLE_IST_PUB_CHANGE)</f>
        <v>Смоленская газета</v>
      </c>
      <c r="AE32" s="24081"/>
      <c r="AF32" s="24081"/>
      <c r="AG32" s="24081"/>
      <c r="AH32" s="24081"/>
      <c r="AI32" s="24081"/>
      <c r="AJ32" s="2408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4079" t="s">
        <v>652</v>
      </c>
      <c r="T34" s="24079"/>
      <c r="U34" s="1298"/>
      <c r="V34" s="24080" t="str">
        <f>IF(TITLE_DATE_PR_CHANGE="",IF(TITLE_DATE_PR="","",TITLE_DATE_PR),TITLE_DATE_PR_CHANGE)</f>
        <v>20.12.2024</v>
      </c>
      <c r="W34" s="24080"/>
      <c r="X34" s="24080"/>
      <c r="Y34" s="24080"/>
      <c r="Z34" s="24080"/>
      <c r="AA34" s="24080"/>
      <c r="AB34" s="24080"/>
      <c r="AC34" s="262"/>
      <c r="AD34" s="24080" t="str">
        <f>IF(TITLE_DATE_PR_CHANGE="",IF(TITLE_DATE_PR="","",TITLE_DATE_PR),TITLE_DATE_PR_CHANGE)</f>
        <v>20.12.2024</v>
      </c>
      <c r="AE34" s="24080"/>
      <c r="AF34" s="24080"/>
      <c r="AG34" s="24080"/>
      <c r="AH34" s="24080"/>
      <c r="AI34" s="24080"/>
      <c r="AJ34" s="24080"/>
      <c r="AK34" s="262"/>
      <c r="AL34" s="262"/>
      <c r="AM34" s="216"/>
      <c r="AN34" s="304"/>
      <c r="AO34" s="304"/>
      <c r="AP34" s="304"/>
      <c r="AQ34" s="304"/>
      <c r="AR34" s="304"/>
      <c r="AS34" s="354">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4079" t="s">
        <v>653</v>
      </c>
      <c r="T35" s="24079"/>
      <c r="U35" s="1298"/>
      <c r="V35" s="24081" t="str">
        <f>IF(TITLE_NUMBER_PR_CHANGE="",IF(TITLE_NUMBER_PR="","",TITLE_NUMBER_PR),TITLE_NUMBER_PR_CHANGE)</f>
        <v>403, 404</v>
      </c>
      <c r="W35" s="24081"/>
      <c r="X35" s="24081"/>
      <c r="Y35" s="24081"/>
      <c r="Z35" s="24081"/>
      <c r="AA35" s="24081"/>
      <c r="AB35" s="24081"/>
      <c r="AC35" s="262"/>
      <c r="AD35" s="24081" t="str">
        <f>IF(TITLE_NUMBER_PR_CHANGE="",IF(TITLE_NUMBER_PR="","",TITLE_NUMBER_PR),TITLE_NUMBER_PR_CHANGE)</f>
        <v>403, 404</v>
      </c>
      <c r="AE35" s="24081"/>
      <c r="AF35" s="24081"/>
      <c r="AG35" s="24081"/>
      <c r="AH35" s="24081"/>
      <c r="AI35" s="24081"/>
      <c r="AJ35" s="24081"/>
      <c r="AK35" s="262"/>
      <c r="AL35" s="262"/>
      <c r="AM35" s="216"/>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654</v>
      </c>
      <c r="AD36" s="262"/>
      <c r="AE36" s="262"/>
      <c r="AF36" s="262"/>
      <c r="AG36" s="262"/>
      <c r="AH36" s="262"/>
      <c r="AI36" s="262"/>
      <c r="AJ36" s="262"/>
      <c r="AK36" s="214" t="s">
        <v>654</v>
      </c>
      <c r="AN36" s="304"/>
      <c r="AO36" s="304"/>
      <c r="AP36" s="304"/>
      <c r="AQ36" s="304"/>
      <c r="AR36" s="304"/>
      <c r="AS36" s="354">
        <v>0</v>
      </c>
    </row>
    <row r="37" spans="1:45" ht="14.65" customHeight="1">
      <c r="Q37" s="312"/>
      <c r="R37" s="312"/>
      <c r="S37" s="1201"/>
      <c r="T37" s="299"/>
      <c r="U37" s="1170"/>
      <c r="V37" s="24100"/>
      <c r="W37" s="24100"/>
      <c r="X37" s="24100"/>
      <c r="Y37" s="24100"/>
      <c r="Z37" s="24100"/>
      <c r="AA37" s="24100"/>
      <c r="AB37" s="24100"/>
      <c r="AC37" s="24100"/>
      <c r="AD37" s="24100"/>
      <c r="AE37" s="24100"/>
      <c r="AF37" s="24100"/>
      <c r="AG37" s="24100"/>
      <c r="AH37" s="24100"/>
      <c r="AI37" s="24100"/>
      <c r="AJ37" s="24100"/>
      <c r="AK37" s="24100"/>
      <c r="AS37" s="1081">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081">
        <v>14</v>
      </c>
    </row>
    <row r="39" spans="1:45" ht="14.65" customHeight="1">
      <c r="Q39" s="312"/>
      <c r="R39" s="312"/>
      <c r="S39" s="24101" t="s">
        <v>79</v>
      </c>
      <c r="T39" s="24050" t="s">
        <v>655</v>
      </c>
      <c r="U39" s="237"/>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081">
        <v>14</v>
      </c>
    </row>
    <row r="40" spans="1:45" ht="35.65" customHeight="1">
      <c r="Q40" s="312"/>
      <c r="R40" s="312"/>
      <c r="S40" s="24101"/>
      <c r="T40" s="24050"/>
      <c r="U40" s="960"/>
      <c r="V40" s="24022" t="s">
        <v>660</v>
      </c>
      <c r="W40" s="24097" t="s">
        <v>661</v>
      </c>
      <c r="X40" s="23928" t="s">
        <v>662</v>
      </c>
      <c r="Y40" s="23927"/>
      <c r="Z40" s="23928" t="s">
        <v>675</v>
      </c>
      <c r="AA40" s="23933"/>
      <c r="AB40" s="23927"/>
      <c r="AC40" s="24106"/>
      <c r="AD40" s="24022" t="s">
        <v>660</v>
      </c>
      <c r="AE40" s="24097" t="s">
        <v>661</v>
      </c>
      <c r="AF40" s="23928" t="s">
        <v>662</v>
      </c>
      <c r="AG40" s="23927"/>
      <c r="AH40" s="23928" t="s">
        <v>663</v>
      </c>
      <c r="AI40" s="23933"/>
      <c r="AJ40" s="23927"/>
      <c r="AK40" s="24106"/>
      <c r="AL40" s="24109"/>
      <c r="AM40" s="23947"/>
      <c r="AS40" s="1081">
        <v>34</v>
      </c>
    </row>
    <row r="41" spans="1:45" ht="35.65" customHeight="1">
      <c r="A41" s="1296"/>
      <c r="B41" s="1296" t="s">
        <v>241</v>
      </c>
      <c r="C41" s="1296" t="s">
        <v>242</v>
      </c>
      <c r="D41" s="1296" t="s">
        <v>243</v>
      </c>
      <c r="E41" s="1290" t="s">
        <v>664</v>
      </c>
      <c r="F41" s="1290" t="s">
        <v>665</v>
      </c>
      <c r="G41" s="1290" t="s">
        <v>666</v>
      </c>
      <c r="H41" s="1290" t="s">
        <v>667</v>
      </c>
      <c r="I41" s="1290" t="s">
        <v>668</v>
      </c>
      <c r="J41" s="1290" t="s">
        <v>669</v>
      </c>
      <c r="K41" s="1290" t="s">
        <v>670</v>
      </c>
      <c r="L41" s="1290" t="s">
        <v>645</v>
      </c>
      <c r="Q41" s="312"/>
      <c r="R41" s="312"/>
      <c r="S41" s="24101"/>
      <c r="T41" s="24050"/>
      <c r="U41" s="238"/>
      <c r="V41" s="24074"/>
      <c r="W41" s="24098"/>
      <c r="X41" s="1148" t="s">
        <v>671</v>
      </c>
      <c r="Y41" s="1148" t="s">
        <v>672</v>
      </c>
      <c r="Z41" s="1264" t="s">
        <v>673</v>
      </c>
      <c r="AA41" s="24055" t="s">
        <v>674</v>
      </c>
      <c r="AB41" s="24068"/>
      <c r="AC41" s="24107"/>
      <c r="AD41" s="24074"/>
      <c r="AE41" s="24098"/>
      <c r="AF41" s="1148" t="s">
        <v>671</v>
      </c>
      <c r="AG41" s="1148" t="s">
        <v>672</v>
      </c>
      <c r="AH41" s="1264" t="s">
        <v>673</v>
      </c>
      <c r="AI41" s="24055" t="s">
        <v>674</v>
      </c>
      <c r="AJ41" s="24068"/>
      <c r="AK41" s="24107"/>
      <c r="AL41" s="24110"/>
      <c r="AM41" s="2394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218</v>
      </c>
      <c r="T42" s="1181" t="s">
        <v>95</v>
      </c>
      <c r="U42" s="1171" t="str">
        <f ca="1">OFFSET(U42,0,-1)</f>
        <v>2</v>
      </c>
      <c r="V42" s="1261">
        <f ca="1">OFFSET(V42,0,-1)+1</f>
        <v>3</v>
      </c>
      <c r="W42" s="1261"/>
      <c r="X42" s="1261">
        <f ca="1">OFFSET(X42,0,-1)+1</f>
        <v>1</v>
      </c>
      <c r="Y42" s="1261">
        <f ca="1">OFFSET(Y42,0,-1)+1</f>
        <v>2</v>
      </c>
      <c r="Z42" s="1261">
        <f ca="1">OFFSET(Z42,0,-1)+1</f>
        <v>3</v>
      </c>
      <c r="AA42" s="24099">
        <f ca="1">OFFSET(AA42,0,-1)+1</f>
        <v>4</v>
      </c>
      <c r="AB42" s="24099"/>
      <c r="AC42" s="1261">
        <f ca="1">OFFSET(AC42,0,-2)+1</f>
        <v>5</v>
      </c>
      <c r="AD42" s="1261">
        <f ca="1">OFFSET(AD42,0,-1)+1</f>
        <v>6</v>
      </c>
      <c r="AE42" s="1261"/>
      <c r="AF42" s="1261">
        <f ca="1">OFFSET(AF42,0,-1)+1</f>
        <v>1</v>
      </c>
      <c r="AG42" s="1261">
        <f ca="1">OFFSET(AG42,0,-1)+1</f>
        <v>2</v>
      </c>
      <c r="AH42" s="1261">
        <f ca="1">OFFSET(AH42,0,-1)+1</f>
        <v>3</v>
      </c>
      <c r="AI42" s="24099">
        <f ca="1">OFFSET(AI42,0,-1)+1</f>
        <v>4</v>
      </c>
      <c r="AJ42" s="24099"/>
      <c r="AK42" s="1261">
        <f ca="1">OFFSET(AK42,0,-2)+1</f>
        <v>5</v>
      </c>
      <c r="AL42" s="1171">
        <f ca="1">OFFSET(AL42,0,-1)</f>
        <v>5</v>
      </c>
      <c r="AM42" s="1261">
        <f ca="1">OFFSET(AM42,0,-1)+1</f>
        <v>6</v>
      </c>
      <c r="AN42" s="447"/>
      <c r="AO42" s="447"/>
      <c r="AP42" s="447"/>
      <c r="AQ42" s="447"/>
      <c r="AR42" s="447"/>
      <c r="AS42" s="432">
        <v>0</v>
      </c>
    </row>
    <row r="43" spans="1:45" ht="21.95" customHeight="1">
      <c r="A43" s="1289" t="s">
        <v>261</v>
      </c>
      <c r="B43" s="1289"/>
      <c r="C43" s="1289"/>
      <c r="D43" s="1289"/>
      <c r="E43" s="24088">
        <v>1</v>
      </c>
      <c r="F43" s="1289"/>
      <c r="G43" s="1289"/>
      <c r="H43" s="1289"/>
      <c r="I43" s="1289"/>
      <c r="J43" s="1289"/>
      <c r="K43" s="1289"/>
      <c r="L43" s="1290"/>
      <c r="M43" s="1291"/>
      <c r="N43" s="1291"/>
      <c r="O43" s="1291"/>
      <c r="P43" s="297"/>
      <c r="Q43" s="296"/>
      <c r="R43" s="291"/>
      <c r="S43" s="1262">
        <f>INDEX(PT_DIFFERENTIATION_NUM_NTAR,MATCH(A43,PT_DIFFERENTIATION_NTAR_ID,0))</f>
        <v>0</v>
      </c>
      <c r="T43" s="234"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261</v>
      </c>
      <c r="B44" s="1289" t="s">
        <v>262</v>
      </c>
      <c r="C44" s="1289"/>
      <c r="D44" s="1289"/>
      <c r="E44" s="24089"/>
      <c r="F44" s="24088">
        <v>1</v>
      </c>
      <c r="G44" s="1289"/>
      <c r="H44" s="1289"/>
      <c r="I44" s="1289"/>
      <c r="J44" s="1289"/>
      <c r="K44" s="1289"/>
      <c r="L44" s="1290"/>
      <c r="M44" s="1291"/>
      <c r="N44" s="1291"/>
      <c r="O44" s="1291"/>
      <c r="P44" s="1258"/>
      <c r="Q44" s="288"/>
      <c r="R44" s="289"/>
      <c r="S44" s="1262" t="str">
        <f>INDEX(PT_DIFFERENTIATION_NUM_TER,MATCH(B44,PT_DIFFERENTIATION_TER_ID,0))</f>
        <v>.</v>
      </c>
      <c r="T44" s="244"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436"/>
      <c r="AP44" s="436" t="str">
        <f t="shared" si="1"/>
        <v>Территория действия тарифа</v>
      </c>
      <c r="AQ44" s="436"/>
      <c r="AR44" s="436"/>
      <c r="AS44" s="1081">
        <v>21</v>
      </c>
    </row>
    <row r="45" spans="1:45" ht="24" customHeight="1">
      <c r="A45" s="1289" t="s">
        <v>261</v>
      </c>
      <c r="B45" s="1289" t="s">
        <v>262</v>
      </c>
      <c r="C45" s="1289" t="s">
        <v>263</v>
      </c>
      <c r="D45" s="1289"/>
      <c r="E45" s="24089"/>
      <c r="F45" s="24089"/>
      <c r="G45" s="24088">
        <v>1</v>
      </c>
      <c r="H45" s="1289"/>
      <c r="I45" s="1289"/>
      <c r="J45" s="1289"/>
      <c r="K45" s="1289"/>
      <c r="L45" s="1290"/>
      <c r="M45" s="1291"/>
      <c r="N45" s="1291"/>
      <c r="O45" s="1291"/>
      <c r="P45" s="290"/>
      <c r="Q45" s="288"/>
      <c r="R45" s="289"/>
      <c r="S45" s="126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436"/>
      <c r="AP45" s="436" t="str">
        <f t="shared" si="1"/>
        <v xml:space="preserve">Наименование системы теплоснабжения </v>
      </c>
      <c r="AQ45" s="436"/>
      <c r="AR45" s="436"/>
      <c r="AS45" s="1081">
        <v>23</v>
      </c>
    </row>
    <row r="46" spans="1:45" ht="21.95" customHeight="1">
      <c r="A46" s="1289" t="s">
        <v>261</v>
      </c>
      <c r="B46" s="1289" t="s">
        <v>262</v>
      </c>
      <c r="C46" s="1289" t="s">
        <v>263</v>
      </c>
      <c r="D46" s="1289" t="s">
        <v>264</v>
      </c>
      <c r="E46" s="24089"/>
      <c r="F46" s="24089"/>
      <c r="G46" s="24089"/>
      <c r="H46" s="24088">
        <v>1</v>
      </c>
      <c r="I46" s="1289"/>
      <c r="J46" s="1289"/>
      <c r="K46" s="1289"/>
      <c r="L46" s="1290"/>
      <c r="M46" s="1291"/>
      <c r="N46" s="1291"/>
      <c r="O46" s="1291"/>
      <c r="P46" s="290"/>
      <c r="Q46" s="288"/>
      <c r="R46" s="289"/>
      <c r="S46" s="126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436"/>
      <c r="AP46" s="436" t="str">
        <f t="shared" si="1"/>
        <v xml:space="preserve">Источник тепловой энергии  </v>
      </c>
      <c r="AQ46" s="436"/>
      <c r="AR46" s="436"/>
      <c r="AS46" s="1081">
        <v>21</v>
      </c>
    </row>
    <row r="47" spans="1:45" ht="49.5" customHeight="1">
      <c r="A47" s="1289" t="s">
        <v>261</v>
      </c>
      <c r="B47" s="1289" t="s">
        <v>262</v>
      </c>
      <c r="C47" s="1289" t="s">
        <v>263</v>
      </c>
      <c r="D47" s="1289" t="s">
        <v>264</v>
      </c>
      <c r="E47" s="24089"/>
      <c r="F47" s="24089"/>
      <c r="G47" s="24089"/>
      <c r="H47" s="24089"/>
      <c r="I47" s="24090" t="str">
        <f>S46&amp;".1"</f>
        <v>....1</v>
      </c>
      <c r="J47" s="1289"/>
      <c r="K47" s="1289"/>
      <c r="L47" s="1290" t="s">
        <v>632</v>
      </c>
      <c r="P47" s="24092">
        <v>1</v>
      </c>
      <c r="Q47" s="1257"/>
      <c r="R47" s="292"/>
      <c r="S47" s="1262" t="str">
        <f>$I47</f>
        <v>....1</v>
      </c>
      <c r="T47" s="221" t="s">
        <v>633</v>
      </c>
      <c r="U47" s="236"/>
      <c r="V47" s="24076"/>
      <c r="W47" s="24077"/>
      <c r="X47" s="24077"/>
      <c r="Y47" s="24077"/>
      <c r="Z47" s="24077"/>
      <c r="AA47" s="24077"/>
      <c r="AB47" s="24077"/>
      <c r="AC47" s="24078"/>
      <c r="AD47" s="24076"/>
      <c r="AE47" s="24077"/>
      <c r="AF47" s="24077"/>
      <c r="AG47" s="24077"/>
      <c r="AH47" s="24077"/>
      <c r="AI47" s="24077"/>
      <c r="AJ47" s="24077"/>
      <c r="AK47" s="24077"/>
      <c r="AL47" s="24078"/>
      <c r="AM47" s="1184" t="s">
        <v>634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261</v>
      </c>
      <c r="B48" s="1289" t="s">
        <v>262</v>
      </c>
      <c r="C48" s="1289" t="s">
        <v>263</v>
      </c>
      <c r="D48" s="1289" t="s">
        <v>264</v>
      </c>
      <c r="E48" s="24089"/>
      <c r="F48" s="24089"/>
      <c r="G48" s="24089"/>
      <c r="H48" s="24089"/>
      <c r="I48" s="24091"/>
      <c r="J48" s="24090" t="str">
        <f>I47&amp;".1"</f>
        <v>....1.1</v>
      </c>
      <c r="K48" s="1289"/>
      <c r="L48" s="1290" t="s">
        <v>635</v>
      </c>
      <c r="P48" s="24092"/>
      <c r="Q48" s="24092">
        <v>1</v>
      </c>
      <c r="R48" s="293"/>
      <c r="S48" s="1262" t="str">
        <f>$J48</f>
        <v>....1.1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436"/>
      <c r="AP48" s="436" t="str">
        <f t="shared" si="1"/>
        <v>Группа потребителей</v>
      </c>
      <c r="AQ48" s="436"/>
      <c r="AR48" s="436"/>
      <c r="AS48" s="1081">
        <v>21</v>
      </c>
    </row>
    <row r="49" spans="1:45" ht="21.95" customHeight="1">
      <c r="A49" s="1289" t="s">
        <v>261</v>
      </c>
      <c r="B49" s="1289" t="s">
        <v>262</v>
      </c>
      <c r="C49" s="1289" t="s">
        <v>263</v>
      </c>
      <c r="D49" s="1289" t="s">
        <v>264</v>
      </c>
      <c r="E49" s="24089"/>
      <c r="F49" s="24089"/>
      <c r="G49" s="24089"/>
      <c r="H49" s="24089"/>
      <c r="I49" s="24091"/>
      <c r="J49" s="24091"/>
      <c r="K49" s="24090" t="str">
        <f>J48&amp;".1"</f>
        <v>....1.1.1</v>
      </c>
      <c r="L49" s="1290" t="s">
        <v>638</v>
      </c>
      <c r="P49" s="24092"/>
      <c r="Q49" s="24092"/>
      <c r="R49" s="293">
        <v>1</v>
      </c>
      <c r="S49" s="1262" t="str">
        <f>$K49</f>
        <v>....1.1.1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639</v>
      </c>
      <c r="AN49" s="447" t="e">
        <f ca="1">STRCHECKDATE(V50:AL50)</f>
        <v>#NAME?</v>
      </c>
      <c r="AO49" s="436"/>
      <c r="AP49" s="436" t="str">
        <f t="shared" si="1"/>
        <v/>
      </c>
      <c r="AQ49" s="436"/>
      <c r="AR49" s="436"/>
      <c r="AS49" s="1081">
        <v>21</v>
      </c>
    </row>
    <row r="50" spans="1:45" ht="1.1499999999999999" customHeight="1">
      <c r="A50" s="1289" t="s">
        <v>261</v>
      </c>
      <c r="B50" s="1289" t="s">
        <v>262</v>
      </c>
      <c r="C50" s="1289" t="s">
        <v>263</v>
      </c>
      <c r="D50" s="1289" t="s">
        <v>264</v>
      </c>
      <c r="E50" s="24089"/>
      <c r="F50" s="24089"/>
      <c r="G50" s="24089"/>
      <c r="H50" s="24089"/>
      <c r="I50" s="24091"/>
      <c r="J50" s="24091"/>
      <c r="K50" s="24090"/>
      <c r="L50" s="1290"/>
      <c r="P50" s="24092"/>
      <c r="Q50" s="24092"/>
      <c r="R50" s="293"/>
      <c r="S50" s="1268"/>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436"/>
      <c r="AP50" s="436" t="str">
        <f t="shared" si="1"/>
        <v/>
      </c>
      <c r="AQ50" s="436"/>
      <c r="AR50" s="436"/>
      <c r="AS50" s="1081">
        <v>1</v>
      </c>
    </row>
    <row r="51" spans="1:45" ht="11.45" customHeight="1">
      <c r="A51" s="1289" t="s">
        <v>261</v>
      </c>
      <c r="B51" s="1289" t="s">
        <v>262</v>
      </c>
      <c r="C51" s="1289" t="s">
        <v>263</v>
      </c>
      <c r="D51" s="1289" t="s">
        <v>264</v>
      </c>
      <c r="E51" s="24089"/>
      <c r="F51" s="24089"/>
      <c r="G51" s="24089"/>
      <c r="H51" s="24089"/>
      <c r="I51" s="24091"/>
      <c r="J51" s="24090"/>
      <c r="K51" s="1289"/>
      <c r="L51" s="1290"/>
      <c r="P51" s="24092"/>
      <c r="Q51" s="24092"/>
      <c r="R51" s="292"/>
      <c r="S51" s="1204"/>
      <c r="T51" s="224" t="s">
        <v>640</v>
      </c>
      <c r="U51" s="303"/>
      <c r="V51" s="303"/>
      <c r="W51" s="303"/>
      <c r="X51" s="303"/>
      <c r="Y51" s="303"/>
      <c r="Z51" s="303"/>
      <c r="AA51" s="303"/>
      <c r="AB51" s="303"/>
      <c r="AC51" s="303"/>
      <c r="AD51" s="303"/>
      <c r="AE51" s="303"/>
      <c r="AF51" s="303"/>
      <c r="AG51" s="303"/>
      <c r="AH51" s="303"/>
      <c r="AI51" s="303"/>
      <c r="AJ51" s="303"/>
      <c r="AK51" s="303"/>
      <c r="AL51" s="260"/>
      <c r="AM51" s="24113"/>
      <c r="AO51" s="436"/>
      <c r="AP51" s="436" t="str">
        <f t="shared" si="1"/>
        <v>Добавить вид теплоносителя (параметры теплоносителя)</v>
      </c>
      <c r="AQ51" s="436"/>
      <c r="AR51" s="436"/>
      <c r="AS51" s="1081">
        <v>11</v>
      </c>
    </row>
    <row r="52" spans="1:45" ht="11.45" customHeight="1">
      <c r="A52" s="1289" t="s">
        <v>261</v>
      </c>
      <c r="B52" s="1289" t="s">
        <v>262</v>
      </c>
      <c r="C52" s="1289" t="s">
        <v>263</v>
      </c>
      <c r="D52" s="1289" t="s">
        <v>264</v>
      </c>
      <c r="E52" s="24089"/>
      <c r="F52" s="24089"/>
      <c r="G52" s="24089"/>
      <c r="H52" s="24089"/>
      <c r="I52" s="24090"/>
      <c r="J52" s="1289"/>
      <c r="K52" s="1289"/>
      <c r="L52" s="1290"/>
      <c r="P52" s="24092"/>
      <c r="Q52" s="1257"/>
      <c r="R52" s="292"/>
      <c r="S52" s="1204"/>
      <c r="T52" s="223" t="s">
        <v>641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261</v>
      </c>
      <c r="B53" s="1289" t="s">
        <v>262</v>
      </c>
      <c r="C53" s="1289" t="s">
        <v>263</v>
      </c>
      <c r="D53" s="1289" t="s">
        <v>264</v>
      </c>
      <c r="E53" s="24089"/>
      <c r="F53" s="24089"/>
      <c r="G53" s="24089"/>
      <c r="H53" s="24088"/>
      <c r="I53" s="1289"/>
      <c r="J53" s="1289"/>
      <c r="K53" s="1289"/>
      <c r="L53" s="1290"/>
      <c r="M53" s="1291"/>
      <c r="N53" s="1291"/>
      <c r="O53" s="473"/>
      <c r="P53" s="296"/>
      <c r="Q53" s="311"/>
      <c r="R53" s="291"/>
      <c r="S53" s="1204"/>
      <c r="T53" s="301" t="s">
        <v>642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261</v>
      </c>
      <c r="B54" s="1269" t="s">
        <v>262</v>
      </c>
      <c r="C54" s="1269" t="s">
        <v>263</v>
      </c>
      <c r="D54" s="1240"/>
      <c r="E54" s="24089"/>
      <c r="F54" s="24089"/>
      <c r="G54" s="24088"/>
      <c r="H54" s="1240"/>
      <c r="I54" s="1240"/>
      <c r="J54" s="1240"/>
      <c r="K54" s="1240"/>
      <c r="L54" s="1265"/>
      <c r="M54" s="1241"/>
      <c r="N54" s="124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261</v>
      </c>
      <c r="B55" s="1269" t="s">
        <v>262</v>
      </c>
      <c r="C55" s="1240"/>
      <c r="D55" s="1240"/>
      <c r="E55" s="24089"/>
      <c r="F55" s="24088"/>
      <c r="G55" s="1240"/>
      <c r="H55" s="1240"/>
      <c r="I55" s="1240"/>
      <c r="J55" s="1240"/>
      <c r="K55" s="1240"/>
      <c r="L55" s="1265"/>
      <c r="M55" s="1247"/>
      <c r="N55" s="124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261</v>
      </c>
      <c r="B56" s="1269"/>
      <c r="C56" s="1269"/>
      <c r="D56" s="1269"/>
      <c r="E56" s="24088"/>
      <c r="F56" s="1269"/>
      <c r="G56" s="1269"/>
      <c r="H56" s="1269"/>
      <c r="I56" s="1269"/>
      <c r="J56" s="1269"/>
      <c r="K56" s="1269"/>
      <c r="L56" s="1272"/>
      <c r="M56" s="1247"/>
      <c r="N56" s="1247"/>
      <c r="O56" s="454"/>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081">
        <v>27</v>
      </c>
    </row>
    <row r="60" spans="1:45" ht="65.25" customHeight="1">
      <c r="O60" s="473"/>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081">
        <v>62</v>
      </c>
    </row>
    <row r="61" spans="1:45" ht="14.65" customHeight="1">
      <c r="O61" s="473"/>
      <c r="AS61" s="1081">
        <v>14</v>
      </c>
    </row>
    <row r="62" spans="1:45" ht="18.75" customHeight="1">
      <c r="O62" s="473"/>
      <c r="S62" s="1179"/>
      <c r="T62" s="24087"/>
      <c r="U62" s="24087"/>
      <c r="V62" s="24087"/>
      <c r="W62" s="24087"/>
      <c r="X62" s="24087"/>
      <c r="Y62" s="24087"/>
      <c r="Z62" s="24087"/>
      <c r="AA62" s="24087"/>
      <c r="AB62" s="24087"/>
      <c r="AC62" s="24087"/>
      <c r="AD62" s="24087"/>
      <c r="AE62" s="24087"/>
      <c r="AF62" s="24087"/>
      <c r="AG62" s="24087"/>
      <c r="AH62" s="24087"/>
      <c r="AI62" s="24087"/>
      <c r="AJ62" s="24087"/>
      <c r="AK62" s="24087"/>
      <c r="AL62" s="24087"/>
      <c r="AM62" s="24087"/>
      <c r="AS62" s="1081">
        <v>18</v>
      </c>
    </row>
    <row r="63" spans="1:45" ht="18.75" customHeight="1">
      <c r="O63" s="473"/>
      <c r="T63" s="24087"/>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081">
        <v>18</v>
      </c>
    </row>
    <row r="64" spans="1:45" ht="29.25" customHeight="1">
      <c r="O64" s="473"/>
      <c r="S64" s="1179"/>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081">
        <v>28</v>
      </c>
    </row>
    <row r="65" spans="1:45" ht="22.5" hidden="1" customHeight="1">
      <c r="A65" s="1086" t="s">
        <v>73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1" hidden="1" customWidth="1"/>
    <col min="13" max="14" width="12.28515625" style="1979" hidden="1" customWidth="1"/>
    <col min="15" max="15" width="23.42578125" style="1979" hidden="1" customWidth="1"/>
    <col min="16" max="16" width="3" style="1979" customWidth="1"/>
    <col min="17" max="18" width="3" style="280"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24114">
        <v>1</v>
      </c>
      <c r="F2" s="1193"/>
      <c r="G2" s="1193"/>
      <c r="H2" s="1193"/>
      <c r="I2" s="1193"/>
      <c r="J2" s="1193"/>
      <c r="K2" s="1193"/>
      <c r="L2" s="1236"/>
      <c r="M2" s="1536"/>
      <c r="N2" s="1536"/>
      <c r="O2" s="1536"/>
      <c r="P2" s="1516"/>
      <c r="Q2" s="296"/>
      <c r="R2" s="291"/>
      <c r="S2" s="1852" t="e">
        <f>INDEX(PT_DIFFERENTIATION_NUM_NTAR,MATCH(A2,PT_DIFFERENTIATION_NTAR_ID,0))</f>
        <v>#N/A</v>
      </c>
      <c r="T2" s="1451"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1550"/>
      <c r="AP2" s="1550" t="str">
        <f t="shared" ref="AP2:AP15" si="0">IF(T2="","",T2)</f>
        <v>Наименование тарифа</v>
      </c>
      <c r="AQ2" s="1550"/>
      <c r="AR2" s="1550"/>
      <c r="AS2" s="1557">
        <v>0</v>
      </c>
    </row>
    <row r="3" spans="1:45" ht="21" hidden="1" customHeight="1">
      <c r="A3" s="1193"/>
      <c r="B3" s="1193"/>
      <c r="C3" s="1193"/>
      <c r="D3" s="1193"/>
      <c r="E3" s="24115"/>
      <c r="F3" s="24114">
        <v>1</v>
      </c>
      <c r="G3" s="1193"/>
      <c r="H3" s="1193"/>
      <c r="I3" s="1193"/>
      <c r="J3" s="1193"/>
      <c r="K3" s="1193"/>
      <c r="L3" s="1236"/>
      <c r="M3" s="1536"/>
      <c r="N3" s="1536"/>
      <c r="O3" s="1536"/>
      <c r="P3" s="1834"/>
      <c r="Q3" s="288"/>
      <c r="R3" s="289"/>
      <c r="S3" s="1852" t="e">
        <f>INDEX(PT_DIFFERENTIATION_NUM_TER,MATCH(B3,PT_DIFFERENTIATION_TER_ID,0))</f>
        <v>#N/A</v>
      </c>
      <c r="T3" s="1448"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1550"/>
      <c r="AP3" s="1550" t="str">
        <f t="shared" si="0"/>
        <v>Территория действия тарифа</v>
      </c>
      <c r="AQ3" s="1550"/>
      <c r="AR3" s="1550"/>
      <c r="AS3" s="1557">
        <v>0</v>
      </c>
    </row>
    <row r="4" spans="1:45" ht="23.25" hidden="1" customHeight="1">
      <c r="A4" s="1193"/>
      <c r="B4" s="1193"/>
      <c r="C4" s="1193"/>
      <c r="D4" s="1193"/>
      <c r="E4" s="24115"/>
      <c r="F4" s="24115"/>
      <c r="G4" s="24114">
        <v>1</v>
      </c>
      <c r="H4" s="1193"/>
      <c r="I4" s="1193"/>
      <c r="J4" s="1193"/>
      <c r="K4" s="1193"/>
      <c r="L4" s="1236"/>
      <c r="M4" s="1536"/>
      <c r="N4" s="1536"/>
      <c r="O4" s="1536"/>
      <c r="P4" s="290"/>
      <c r="Q4" s="288"/>
      <c r="R4" s="289"/>
      <c r="S4" s="1852"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4115"/>
      <c r="F5" s="24115"/>
      <c r="G5" s="24115"/>
      <c r="H5" s="24114">
        <v>1</v>
      </c>
      <c r="I5" s="1193"/>
      <c r="J5" s="1193"/>
      <c r="K5" s="1193"/>
      <c r="L5" s="1236"/>
      <c r="M5" s="1536"/>
      <c r="N5" s="1536"/>
      <c r="O5" s="1536"/>
      <c r="P5" s="290"/>
      <c r="Q5" s="288"/>
      <c r="R5" s="289"/>
      <c r="S5" s="1852"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1550"/>
      <c r="AP5" s="1550" t="str">
        <f t="shared" si="0"/>
        <v xml:space="preserve">Источник тепловой энергии  </v>
      </c>
      <c r="AQ5" s="1550"/>
      <c r="AR5" s="1550"/>
      <c r="AS5" s="1557">
        <v>0</v>
      </c>
    </row>
    <row r="6" spans="1:45" ht="47.25" hidden="1" customHeight="1">
      <c r="A6" s="1193"/>
      <c r="B6" s="1193"/>
      <c r="C6" s="1193"/>
      <c r="D6" s="1193"/>
      <c r="E6" s="24115"/>
      <c r="F6" s="24115"/>
      <c r="G6" s="24115"/>
      <c r="H6" s="24115"/>
      <c r="I6" s="23947" t="e">
        <f>S5&amp;".1"</f>
        <v>#N/A</v>
      </c>
      <c r="J6" s="1193"/>
      <c r="K6" s="1193"/>
      <c r="L6" s="1236" t="s">
        <v>632</v>
      </c>
      <c r="M6" s="1561"/>
      <c r="P6" s="24092">
        <v>1</v>
      </c>
      <c r="Q6" s="1848"/>
      <c r="R6" s="292"/>
      <c r="S6" s="1852" t="e">
        <f>$I6</f>
        <v>#N/A</v>
      </c>
      <c r="T6" s="221" t="s">
        <v>633</v>
      </c>
      <c r="U6" s="236"/>
      <c r="V6" s="24076"/>
      <c r="W6" s="24077"/>
      <c r="X6" s="24077"/>
      <c r="Y6" s="24077"/>
      <c r="Z6" s="24077"/>
      <c r="AA6" s="24077"/>
      <c r="AB6" s="24077"/>
      <c r="AC6" s="24078"/>
      <c r="AD6" s="24076"/>
      <c r="AE6" s="24077"/>
      <c r="AF6" s="24077"/>
      <c r="AG6" s="24077"/>
      <c r="AH6" s="24077"/>
      <c r="AI6" s="24077"/>
      <c r="AJ6" s="24077"/>
      <c r="AK6" s="24077"/>
      <c r="AL6" s="24078"/>
      <c r="AM6" s="1184" t="s">
        <v>634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4115"/>
      <c r="F7" s="24115"/>
      <c r="G7" s="24115"/>
      <c r="H7" s="24115"/>
      <c r="I7" s="23928"/>
      <c r="J7" s="23947" t="e">
        <f>I6&amp;".1"</f>
        <v>#N/A</v>
      </c>
      <c r="K7" s="1193"/>
      <c r="L7" s="1236" t="s">
        <v>635</v>
      </c>
      <c r="M7" s="1561"/>
      <c r="N7" s="1557"/>
      <c r="P7" s="24092"/>
      <c r="Q7" s="24092">
        <v>1</v>
      </c>
      <c r="R7" s="293"/>
      <c r="S7" s="1852"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1550"/>
      <c r="AP7" s="1550" t="str">
        <f t="shared" si="0"/>
        <v>Группа потребителей</v>
      </c>
      <c r="AQ7" s="1550"/>
      <c r="AR7" s="1550"/>
      <c r="AS7" s="1557">
        <v>0</v>
      </c>
    </row>
    <row r="8" spans="1:45" ht="21" hidden="1" customHeight="1">
      <c r="A8" s="1193"/>
      <c r="B8" s="1193"/>
      <c r="C8" s="1193"/>
      <c r="D8" s="1193"/>
      <c r="E8" s="24115"/>
      <c r="F8" s="24115"/>
      <c r="G8" s="24115"/>
      <c r="H8" s="24115"/>
      <c r="I8" s="23928"/>
      <c r="J8" s="23928"/>
      <c r="K8" s="23947" t="e">
        <f>J7&amp;".1"</f>
        <v>#N/A</v>
      </c>
      <c r="L8" s="1236" t="s">
        <v>638</v>
      </c>
      <c r="M8" s="1561"/>
      <c r="N8" s="1557"/>
      <c r="O8" s="1557"/>
      <c r="P8" s="24092"/>
      <c r="Q8" s="24092"/>
      <c r="R8" s="293">
        <v>1</v>
      </c>
      <c r="S8" s="1852" t="e">
        <f>$K8</f>
        <v>#N/A</v>
      </c>
      <c r="T8" s="1273"/>
      <c r="U8" s="236"/>
      <c r="V8" s="687"/>
      <c r="W8" s="261"/>
      <c r="X8" s="687"/>
      <c r="Y8" s="1183"/>
      <c r="Z8" s="24093"/>
      <c r="AA8" s="23957" t="s">
        <v>59</v>
      </c>
      <c r="AB8" s="24093"/>
      <c r="AC8" s="23957" t="s">
        <v>59</v>
      </c>
      <c r="AD8" s="687"/>
      <c r="AE8" s="261"/>
      <c r="AF8" s="687"/>
      <c r="AG8" s="1183"/>
      <c r="AH8" s="24093"/>
      <c r="AI8" s="23957" t="s">
        <v>59</v>
      </c>
      <c r="AJ8" s="24093"/>
      <c r="AK8" s="23957" t="s">
        <v>59</v>
      </c>
      <c r="AL8" s="261"/>
      <c r="AM8" s="24111" t="s">
        <v>639</v>
      </c>
      <c r="AN8" s="1562" t="e">
        <f ca="1">STRCHECKDATE(V9:AL9)</f>
        <v>#NAME?</v>
      </c>
      <c r="AO8" s="1550"/>
      <c r="AP8" s="1550" t="str">
        <f t="shared" si="0"/>
        <v/>
      </c>
      <c r="AQ8" s="1550"/>
      <c r="AR8" s="1550"/>
      <c r="AS8" s="1557">
        <v>0</v>
      </c>
    </row>
    <row r="9" spans="1:45" ht="0.75" hidden="1" customHeight="1">
      <c r="A9" s="1193"/>
      <c r="B9" s="1193"/>
      <c r="C9" s="1193"/>
      <c r="D9" s="1193"/>
      <c r="E9" s="24115"/>
      <c r="F9" s="24115"/>
      <c r="G9" s="24115"/>
      <c r="H9" s="24115"/>
      <c r="I9" s="23928"/>
      <c r="J9" s="23928"/>
      <c r="K9" s="23947"/>
      <c r="L9" s="1236"/>
      <c r="M9" s="1561"/>
      <c r="N9" s="1557"/>
      <c r="O9" s="1557"/>
      <c r="P9" s="24092"/>
      <c r="Q9" s="24092"/>
      <c r="R9" s="293"/>
      <c r="S9" s="1861"/>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1550"/>
      <c r="AP9" s="1550" t="str">
        <f t="shared" si="0"/>
        <v/>
      </c>
      <c r="AQ9" s="1550"/>
      <c r="AR9" s="1550"/>
      <c r="AS9" s="1557">
        <v>0</v>
      </c>
    </row>
    <row r="10" spans="1:45" ht="15" hidden="1" customHeight="1">
      <c r="A10" s="1193"/>
      <c r="B10" s="1193"/>
      <c r="C10" s="1193"/>
      <c r="D10" s="1193"/>
      <c r="E10" s="24115"/>
      <c r="F10" s="24115"/>
      <c r="G10" s="24115"/>
      <c r="H10" s="24115"/>
      <c r="I10" s="23928"/>
      <c r="J10" s="23947"/>
      <c r="K10" s="1193"/>
      <c r="L10" s="1236"/>
      <c r="M10" s="1561"/>
      <c r="N10" s="1557"/>
      <c r="P10" s="24092"/>
      <c r="Q10" s="24092"/>
      <c r="R10" s="292"/>
      <c r="S10" s="1204"/>
      <c r="T10" s="224" t="s">
        <v>640</v>
      </c>
      <c r="U10" s="536"/>
      <c r="V10" s="536"/>
      <c r="W10" s="536"/>
      <c r="X10" s="536"/>
      <c r="Y10" s="536"/>
      <c r="Z10" s="536"/>
      <c r="AA10" s="536"/>
      <c r="AB10" s="536"/>
      <c r="AC10" s="536"/>
      <c r="AD10" s="536"/>
      <c r="AE10" s="536"/>
      <c r="AF10" s="536"/>
      <c r="AG10" s="536"/>
      <c r="AH10" s="536"/>
      <c r="AI10" s="536"/>
      <c r="AJ10" s="536"/>
      <c r="AK10" s="536"/>
      <c r="AL10" s="260"/>
      <c r="AM10" s="2411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4115"/>
      <c r="F11" s="24115"/>
      <c r="G11" s="24115"/>
      <c r="H11" s="24115"/>
      <c r="I11" s="23947"/>
      <c r="J11" s="1193"/>
      <c r="K11" s="1193"/>
      <c r="L11" s="1236"/>
      <c r="M11" s="1561"/>
      <c r="P11" s="24092"/>
      <c r="Q11" s="1848"/>
      <c r="R11" s="292"/>
      <c r="S11" s="1204"/>
      <c r="T11" s="223" t="s">
        <v>641</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4115"/>
      <c r="F12" s="24115"/>
      <c r="G12" s="24115"/>
      <c r="H12" s="24114"/>
      <c r="I12" s="1193"/>
      <c r="J12" s="1193"/>
      <c r="K12" s="1193"/>
      <c r="L12" s="1236"/>
      <c r="M12" s="1536"/>
      <c r="N12" s="1536"/>
      <c r="O12" s="1561"/>
      <c r="P12" s="296"/>
      <c r="Q12" s="311"/>
      <c r="R12" s="291"/>
      <c r="S12" s="1204"/>
      <c r="T12" s="301" t="s">
        <v>642</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4115"/>
      <c r="F13" s="24115"/>
      <c r="G13" s="24114"/>
      <c r="H13" s="1300"/>
      <c r="I13" s="1300"/>
      <c r="J13" s="1300"/>
      <c r="K13" s="1300"/>
      <c r="L13" s="1303"/>
      <c r="M13" s="1304"/>
      <c r="N13" s="1304"/>
      <c r="O13" s="287"/>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4115"/>
      <c r="F14" s="24114"/>
      <c r="G14" s="1300"/>
      <c r="H14" s="1300"/>
      <c r="I14" s="1300"/>
      <c r="J14" s="1300"/>
      <c r="K14" s="1300"/>
      <c r="L14" s="1303"/>
      <c r="M14" s="1305"/>
      <c r="N14" s="1305"/>
      <c r="O14" s="28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4114"/>
      <c r="F15" s="1300"/>
      <c r="G15" s="1300"/>
      <c r="H15" s="1300"/>
      <c r="I15" s="1300"/>
      <c r="J15" s="1300"/>
      <c r="K15" s="1300"/>
      <c r="L15" s="1303"/>
      <c r="M15" s="1305"/>
      <c r="N15" s="1305"/>
      <c r="O15" s="28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086"/>
      <c r="AI17" s="24085" t="s">
        <v>59</v>
      </c>
      <c r="AJ17" s="24086"/>
      <c r="AK17" s="24085" t="s">
        <v>59</v>
      </c>
      <c r="AS17" s="1557">
        <v>0</v>
      </c>
    </row>
    <row r="18" spans="1:45" ht="14.25" hidden="1" customHeight="1">
      <c r="AD18" s="1286"/>
      <c r="AE18" s="1286"/>
      <c r="AF18" s="1286"/>
      <c r="AG18" s="264" t="str">
        <f>AH17&amp;"-"&amp;AJ17</f>
        <v>-</v>
      </c>
      <c r="AH18" s="24085"/>
      <c r="AI18" s="24085"/>
      <c r="AJ18" s="24085"/>
      <c r="AK18" s="2408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644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645</v>
      </c>
      <c r="P22" s="1288"/>
      <c r="Q22" s="1297"/>
      <c r="R22" s="1297"/>
      <c r="S22" s="665"/>
      <c r="T22" s="1292" t="s">
        <v>646</v>
      </c>
      <c r="AA22" s="531" t="s">
        <v>647</v>
      </c>
      <c r="AC22" s="531" t="s">
        <v>648</v>
      </c>
      <c r="AD22" s="1292" t="s">
        <v>646</v>
      </c>
      <c r="AI22" s="531" t="s">
        <v>649</v>
      </c>
      <c r="AK22" s="531" t="s">
        <v>648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557">
        <v>14</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1561"/>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1561"/>
      <c r="AL29" s="1561"/>
      <c r="AM29" s="216"/>
      <c r="AN29" s="304"/>
      <c r="AO29" s="304"/>
      <c r="AP29" s="304"/>
      <c r="AQ29" s="304"/>
      <c r="AR29" s="304"/>
      <c r="AS29" s="354">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24079" t="s">
        <v>650</v>
      </c>
      <c r="T30" s="24079"/>
      <c r="U30" s="1298"/>
      <c r="V30" s="24080" t="str">
        <f>IF(TITLE_DATE_PR_CHANGE="",IF(TITLE_DATE_PR="","",TITLE_DATE_PR),TITLE_DATE_PR_CHANGE)</f>
        <v>20.12.2024</v>
      </c>
      <c r="W30" s="24080"/>
      <c r="X30" s="24080"/>
      <c r="Y30" s="24080"/>
      <c r="Z30" s="24080"/>
      <c r="AA30" s="24080"/>
      <c r="AB30" s="24080"/>
      <c r="AC30" s="1561"/>
      <c r="AD30" s="24080" t="str">
        <f>IF(TITLE_DATE_PR_CHANGE="",IF(TITLE_DATE_PR="","",TITLE_DATE_PR),TITLE_DATE_PR_CHANGE)</f>
        <v>20.12.2024</v>
      </c>
      <c r="AE30" s="24080"/>
      <c r="AF30" s="24080"/>
      <c r="AG30" s="24080"/>
      <c r="AH30" s="24080"/>
      <c r="AI30" s="24080"/>
      <c r="AJ30" s="24080"/>
      <c r="AK30" s="1561"/>
      <c r="AL30" s="1561"/>
      <c r="AM30" s="216"/>
      <c r="AN30" s="304"/>
      <c r="AO30" s="304"/>
      <c r="AP30" s="304"/>
      <c r="AQ30" s="304"/>
      <c r="AR30" s="304"/>
      <c r="AS30" s="354">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24079" t="s">
        <v>651</v>
      </c>
      <c r="T31" s="24079"/>
      <c r="U31" s="1298"/>
      <c r="V31" s="24081" t="str">
        <f>IF(TITLE_NUMBER_PR_CHANGE="",IF(TITLE_NUMBER_PR="","",TITLE_NUMBER_PR),TITLE_NUMBER_PR_CHANGE)</f>
        <v>403, 404</v>
      </c>
      <c r="W31" s="24081"/>
      <c r="X31" s="24081"/>
      <c r="Y31" s="24081"/>
      <c r="Z31" s="24081"/>
      <c r="AA31" s="24081"/>
      <c r="AB31" s="24081"/>
      <c r="AC31" s="1561"/>
      <c r="AD31" s="24081" t="str">
        <f>IF(TITLE_NUMBER_PR_CHANGE="",IF(TITLE_NUMBER_PR="","",TITLE_NUMBER_PR),TITLE_NUMBER_PR_CHANGE)</f>
        <v>403, 404</v>
      </c>
      <c r="AE31" s="24081"/>
      <c r="AF31" s="24081"/>
      <c r="AG31" s="24081"/>
      <c r="AH31" s="24081"/>
      <c r="AI31" s="24081"/>
      <c r="AJ31" s="24081"/>
      <c r="AK31" s="1561"/>
      <c r="AL31" s="1561"/>
      <c r="AM31" s="216"/>
      <c r="AN31" s="304"/>
      <c r="AO31" s="304"/>
      <c r="AP31" s="304"/>
      <c r="AQ31" s="304"/>
      <c r="AR31" s="304"/>
      <c r="AS31" s="354">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24079" t="s">
        <v>33</v>
      </c>
      <c r="T32" s="24079"/>
      <c r="U32" s="1298"/>
      <c r="V32" s="24081" t="str">
        <f>IF(TITLE_IST_PUB_CHANGE="",IF(TITLE_IST_PUB="","",TITLE_IST_PUB),TITLE_IST_PUB_CHANGE)</f>
        <v>Смоленская газета</v>
      </c>
      <c r="W32" s="24081"/>
      <c r="X32" s="24081"/>
      <c r="Y32" s="24081"/>
      <c r="Z32" s="24081"/>
      <c r="AA32" s="24081"/>
      <c r="AB32" s="24081"/>
      <c r="AC32" s="1561"/>
      <c r="AD32" s="24081" t="str">
        <f>IF(TITLE_IST_PUB_CHANGE="",IF(TITLE_IST_PUB="","",TITLE_IST_PUB),TITLE_IST_PUB_CHANGE)</f>
        <v>Смоленская газета</v>
      </c>
      <c r="AE32" s="24081"/>
      <c r="AF32" s="24081"/>
      <c r="AG32" s="24081"/>
      <c r="AH32" s="24081"/>
      <c r="AI32" s="24081"/>
      <c r="AJ32" s="24081"/>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24079" t="s">
        <v>652</v>
      </c>
      <c r="T34" s="24079"/>
      <c r="U34" s="1298"/>
      <c r="V34" s="24080" t="str">
        <f>IF(TITLE_DATE_PR_CHANGE="",IF(TITLE_DATE_PR="","",TITLE_DATE_PR),TITLE_DATE_PR_CHANGE)</f>
        <v>20.12.2024</v>
      </c>
      <c r="W34" s="24080"/>
      <c r="X34" s="24080"/>
      <c r="Y34" s="24080"/>
      <c r="Z34" s="24080"/>
      <c r="AA34" s="24080"/>
      <c r="AB34" s="24080"/>
      <c r="AC34" s="1561"/>
      <c r="AD34" s="24080" t="str">
        <f>IF(TITLE_DATE_PR_CHANGE="",IF(TITLE_DATE_PR="","",TITLE_DATE_PR),TITLE_DATE_PR_CHANGE)</f>
        <v>20.12.2024</v>
      </c>
      <c r="AE34" s="24080"/>
      <c r="AF34" s="24080"/>
      <c r="AG34" s="24080"/>
      <c r="AH34" s="24080"/>
      <c r="AI34" s="24080"/>
      <c r="AJ34" s="24080"/>
      <c r="AK34" s="1561"/>
      <c r="AL34" s="1561"/>
      <c r="AM34" s="216"/>
      <c r="AN34" s="304"/>
      <c r="AO34" s="304"/>
      <c r="AP34" s="304"/>
      <c r="AQ34" s="304"/>
      <c r="AR34" s="304"/>
      <c r="AS34" s="354">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24079" t="s">
        <v>653</v>
      </c>
      <c r="T35" s="24079"/>
      <c r="U35" s="1298"/>
      <c r="V35" s="24081" t="str">
        <f>IF(TITLE_NUMBER_PR_CHANGE="",IF(TITLE_NUMBER_PR="","",TITLE_NUMBER_PR),TITLE_NUMBER_PR_CHANGE)</f>
        <v>403, 404</v>
      </c>
      <c r="W35" s="24081"/>
      <c r="X35" s="24081"/>
      <c r="Y35" s="24081"/>
      <c r="Z35" s="24081"/>
      <c r="AA35" s="24081"/>
      <c r="AB35" s="24081"/>
      <c r="AC35" s="1561"/>
      <c r="AD35" s="24081" t="str">
        <f>IF(TITLE_NUMBER_PR_CHANGE="",IF(TITLE_NUMBER_PR="","",TITLE_NUMBER_PR),TITLE_NUMBER_PR_CHANGE)</f>
        <v>403, 404</v>
      </c>
      <c r="AE35" s="24081"/>
      <c r="AF35" s="24081"/>
      <c r="AG35" s="24081"/>
      <c r="AH35" s="24081"/>
      <c r="AI35" s="24081"/>
      <c r="AJ35" s="24081"/>
      <c r="AK35" s="1561"/>
      <c r="AL35" s="1561"/>
      <c r="AM35" s="216"/>
      <c r="AN35" s="304"/>
      <c r="AO35" s="304"/>
      <c r="AP35" s="304"/>
      <c r="AQ35" s="304"/>
      <c r="AR35" s="304"/>
      <c r="AS35" s="354">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654</v>
      </c>
      <c r="AD36" s="1561"/>
      <c r="AE36" s="1561"/>
      <c r="AF36" s="1561"/>
      <c r="AG36" s="1561"/>
      <c r="AH36" s="1561"/>
      <c r="AI36" s="1561"/>
      <c r="AJ36" s="1561"/>
      <c r="AK36" s="1568" t="s">
        <v>654</v>
      </c>
      <c r="AN36" s="304"/>
      <c r="AO36" s="304"/>
      <c r="AP36" s="304"/>
      <c r="AQ36" s="304"/>
      <c r="AR36" s="304"/>
      <c r="AS36" s="354">
        <v>0</v>
      </c>
    </row>
    <row r="37" spans="1:45" ht="14.65" customHeight="1">
      <c r="Q37" s="312"/>
      <c r="R37" s="312"/>
      <c r="S37" s="1201"/>
      <c r="T37" s="393"/>
      <c r="U37" s="1170"/>
      <c r="V37" s="24100"/>
      <c r="W37" s="24100"/>
      <c r="X37" s="24100"/>
      <c r="Y37" s="24100"/>
      <c r="Z37" s="24100"/>
      <c r="AA37" s="24100"/>
      <c r="AB37" s="24100"/>
      <c r="AC37" s="24100"/>
      <c r="AD37" s="24100"/>
      <c r="AE37" s="24100"/>
      <c r="AF37" s="24100"/>
      <c r="AG37" s="24100"/>
      <c r="AH37" s="24100"/>
      <c r="AI37" s="24100"/>
      <c r="AJ37" s="24100"/>
      <c r="AK37" s="24100"/>
      <c r="AS37" s="1557">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557">
        <v>14</v>
      </c>
    </row>
    <row r="39" spans="1:45" ht="14.65" customHeight="1">
      <c r="Q39" s="312"/>
      <c r="R39" s="312"/>
      <c r="S39" s="24101" t="s">
        <v>79</v>
      </c>
      <c r="T39" s="24050" t="s">
        <v>655</v>
      </c>
      <c r="U39" s="273"/>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557">
        <v>14</v>
      </c>
    </row>
    <row r="40" spans="1:45" ht="35.65" customHeight="1">
      <c r="Q40" s="312"/>
      <c r="R40" s="312"/>
      <c r="S40" s="24101"/>
      <c r="T40" s="24050"/>
      <c r="U40" s="960"/>
      <c r="V40" s="24022" t="s">
        <v>660</v>
      </c>
      <c r="W40" s="24097" t="s">
        <v>661</v>
      </c>
      <c r="X40" s="23928" t="s">
        <v>662</v>
      </c>
      <c r="Y40" s="23927"/>
      <c r="Z40" s="23928" t="s">
        <v>675</v>
      </c>
      <c r="AA40" s="23933"/>
      <c r="AB40" s="23927"/>
      <c r="AC40" s="24106"/>
      <c r="AD40" s="24022" t="s">
        <v>660</v>
      </c>
      <c r="AE40" s="24097" t="s">
        <v>661</v>
      </c>
      <c r="AF40" s="23928" t="s">
        <v>662</v>
      </c>
      <c r="AG40" s="23927"/>
      <c r="AH40" s="23928" t="s">
        <v>663</v>
      </c>
      <c r="AI40" s="23933"/>
      <c r="AJ40" s="23927"/>
      <c r="AK40" s="24106"/>
      <c r="AL40" s="24109"/>
      <c r="AM40" s="23947"/>
      <c r="AS40" s="1557">
        <v>34</v>
      </c>
    </row>
    <row r="41" spans="1:45" ht="35.65" customHeight="1">
      <c r="A41" s="1192"/>
      <c r="B41" s="1192" t="s">
        <v>241</v>
      </c>
      <c r="C41" s="1192" t="s">
        <v>242</v>
      </c>
      <c r="D41" s="1192" t="s">
        <v>243</v>
      </c>
      <c r="E41" s="1236" t="s">
        <v>664</v>
      </c>
      <c r="F41" s="1236" t="s">
        <v>665</v>
      </c>
      <c r="G41" s="1236" t="s">
        <v>666</v>
      </c>
      <c r="H41" s="1236" t="s">
        <v>667</v>
      </c>
      <c r="I41" s="1236" t="s">
        <v>668</v>
      </c>
      <c r="J41" s="1236" t="s">
        <v>669</v>
      </c>
      <c r="K41" s="1236" t="s">
        <v>670</v>
      </c>
      <c r="L41" s="1236" t="s">
        <v>645</v>
      </c>
      <c r="Q41" s="312"/>
      <c r="R41" s="312"/>
      <c r="S41" s="24101"/>
      <c r="T41" s="24050"/>
      <c r="U41" s="238"/>
      <c r="V41" s="24074"/>
      <c r="W41" s="24098"/>
      <c r="X41" s="1832" t="s">
        <v>671</v>
      </c>
      <c r="Y41" s="1832" t="s">
        <v>672</v>
      </c>
      <c r="Z41" s="1832" t="s">
        <v>673</v>
      </c>
      <c r="AA41" s="24055" t="s">
        <v>674</v>
      </c>
      <c r="AB41" s="24068"/>
      <c r="AC41" s="24107"/>
      <c r="AD41" s="24074"/>
      <c r="AE41" s="24098"/>
      <c r="AF41" s="1832" t="s">
        <v>671</v>
      </c>
      <c r="AG41" s="1832" t="s">
        <v>672</v>
      </c>
      <c r="AH41" s="1832" t="s">
        <v>673</v>
      </c>
      <c r="AI41" s="24055" t="s">
        <v>674</v>
      </c>
      <c r="AJ41" s="24068"/>
      <c r="AK41" s="24107"/>
      <c r="AL41" s="24110"/>
      <c r="AM41" s="23947"/>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218</v>
      </c>
      <c r="T42" s="1181" t="s">
        <v>95</v>
      </c>
      <c r="U42" s="1171" t="str">
        <f ca="1">OFFSET(U42,0,-1)</f>
        <v>2</v>
      </c>
      <c r="V42" s="1850">
        <f ca="1">OFFSET(V42,0,-1)+1</f>
        <v>3</v>
      </c>
      <c r="W42" s="1850"/>
      <c r="X42" s="1850">
        <f ca="1">OFFSET(X42,0,-1)+1</f>
        <v>1</v>
      </c>
      <c r="Y42" s="1850">
        <f ca="1">OFFSET(Y42,0,-1)+1</f>
        <v>2</v>
      </c>
      <c r="Z42" s="1850">
        <f ca="1">OFFSET(Z42,0,-1)+1</f>
        <v>3</v>
      </c>
      <c r="AA42" s="24099">
        <f ca="1">OFFSET(AA42,0,-1)+1</f>
        <v>4</v>
      </c>
      <c r="AB42" s="24099"/>
      <c r="AC42" s="1850">
        <f ca="1">OFFSET(AC42,0,-2)+1</f>
        <v>5</v>
      </c>
      <c r="AD42" s="1850">
        <f ca="1">OFFSET(AD42,0,-1)+1</f>
        <v>6</v>
      </c>
      <c r="AE42" s="1850"/>
      <c r="AF42" s="1850">
        <f ca="1">OFFSET(AF42,0,-1)+1</f>
        <v>1</v>
      </c>
      <c r="AG42" s="1850">
        <f ca="1">OFFSET(AG42,0,-1)+1</f>
        <v>2</v>
      </c>
      <c r="AH42" s="1850">
        <f ca="1">OFFSET(AH42,0,-1)+1</f>
        <v>3</v>
      </c>
      <c r="AI42" s="24099">
        <f ca="1">OFFSET(AI42,0,-1)+1</f>
        <v>4</v>
      </c>
      <c r="AJ42" s="24099"/>
      <c r="AK42" s="1850">
        <f ca="1">OFFSET(AK42,0,-2)+1</f>
        <v>5</v>
      </c>
      <c r="AL42" s="1171">
        <f ca="1">OFFSET(AL42,0,-1)</f>
        <v>5</v>
      </c>
      <c r="AM42" s="1850">
        <f ca="1">OFFSET(AM42,0,-1)+1</f>
        <v>6</v>
      </c>
      <c r="AN42" s="1562"/>
      <c r="AO42" s="1562"/>
      <c r="AP42" s="1562"/>
      <c r="AQ42" s="1562"/>
      <c r="AR42" s="1562"/>
      <c r="AS42" s="1567">
        <v>0</v>
      </c>
    </row>
    <row r="43" spans="1:45" ht="21.95" customHeight="1">
      <c r="A43" s="1193" t="s">
        <v>310</v>
      </c>
      <c r="B43" s="1193"/>
      <c r="C43" s="1193"/>
      <c r="D43" s="1193"/>
      <c r="E43" s="24114">
        <v>1</v>
      </c>
      <c r="F43" s="1193"/>
      <c r="G43" s="1193"/>
      <c r="H43" s="1193"/>
      <c r="I43" s="1193"/>
      <c r="J43" s="1193"/>
      <c r="K43" s="1193"/>
      <c r="L43" s="1236"/>
      <c r="M43" s="1536"/>
      <c r="N43" s="1536"/>
      <c r="O43" s="1536"/>
      <c r="P43" s="1516"/>
      <c r="Q43" s="296"/>
      <c r="R43" s="291"/>
      <c r="S43" s="1852">
        <f>INDEX(PT_DIFFERENTIATION_NUM_NTAR,MATCH(A43,PT_DIFFERENTIATION_NTAR_ID,0))</f>
        <v>0</v>
      </c>
      <c r="T43" s="1451"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310</v>
      </c>
      <c r="B44" s="1193" t="s">
        <v>311</v>
      </c>
      <c r="C44" s="1193"/>
      <c r="D44" s="1193"/>
      <c r="E44" s="24115"/>
      <c r="F44" s="24114">
        <v>1</v>
      </c>
      <c r="G44" s="1193"/>
      <c r="H44" s="1193"/>
      <c r="I44" s="1193"/>
      <c r="J44" s="1193"/>
      <c r="K44" s="1193"/>
      <c r="L44" s="1236"/>
      <c r="M44" s="1536"/>
      <c r="N44" s="1536"/>
      <c r="O44" s="1536"/>
      <c r="P44" s="1834"/>
      <c r="Q44" s="288"/>
      <c r="R44" s="289"/>
      <c r="S44" s="1852" t="str">
        <f>INDEX(PT_DIFFERENTIATION_NUM_TER,MATCH(B44,PT_DIFFERENTIATION_TER_ID,0))</f>
        <v>.</v>
      </c>
      <c r="T44" s="1448"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1550"/>
      <c r="AP44" s="1550" t="str">
        <f t="shared" si="1"/>
        <v>Территория действия тарифа</v>
      </c>
      <c r="AQ44" s="1550"/>
      <c r="AR44" s="1550"/>
      <c r="AS44" s="1557">
        <v>21</v>
      </c>
    </row>
    <row r="45" spans="1:45" ht="24" customHeight="1">
      <c r="A45" s="1193" t="s">
        <v>310</v>
      </c>
      <c r="B45" s="1193" t="s">
        <v>311</v>
      </c>
      <c r="C45" s="1193" t="s">
        <v>312</v>
      </c>
      <c r="D45" s="1193"/>
      <c r="E45" s="24115"/>
      <c r="F45" s="24115"/>
      <c r="G45" s="24114">
        <v>1</v>
      </c>
      <c r="H45" s="1193"/>
      <c r="I45" s="1193"/>
      <c r="J45" s="1193"/>
      <c r="K45" s="1193"/>
      <c r="L45" s="1236"/>
      <c r="M45" s="1536"/>
      <c r="N45" s="1536"/>
      <c r="O45" s="1536"/>
      <c r="P45" s="290"/>
      <c r="Q45" s="288"/>
      <c r="R45" s="289"/>
      <c r="S45" s="185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1550"/>
      <c r="AP45" s="1550" t="str">
        <f t="shared" si="1"/>
        <v xml:space="preserve">Наименование системы теплоснабжения </v>
      </c>
      <c r="AQ45" s="1550"/>
      <c r="AR45" s="1550"/>
      <c r="AS45" s="1557">
        <v>23</v>
      </c>
    </row>
    <row r="46" spans="1:45" ht="21.95" customHeight="1">
      <c r="A46" s="1193" t="s">
        <v>310</v>
      </c>
      <c r="B46" s="1193" t="s">
        <v>311</v>
      </c>
      <c r="C46" s="1193" t="s">
        <v>312</v>
      </c>
      <c r="D46" s="1193" t="s">
        <v>313</v>
      </c>
      <c r="E46" s="24115"/>
      <c r="F46" s="24115"/>
      <c r="G46" s="24115"/>
      <c r="H46" s="24114">
        <v>1</v>
      </c>
      <c r="I46" s="1193"/>
      <c r="J46" s="1193"/>
      <c r="K46" s="1193"/>
      <c r="L46" s="1236"/>
      <c r="M46" s="1536"/>
      <c r="N46" s="1536"/>
      <c r="O46" s="1536"/>
      <c r="P46" s="290"/>
      <c r="Q46" s="288"/>
      <c r="R46" s="289"/>
      <c r="S46" s="185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1550"/>
      <c r="AP46" s="1550" t="str">
        <f t="shared" si="1"/>
        <v xml:space="preserve">Источник тепловой энергии  </v>
      </c>
      <c r="AQ46" s="1550"/>
      <c r="AR46" s="1550"/>
      <c r="AS46" s="1557">
        <v>21</v>
      </c>
    </row>
    <row r="47" spans="1:45" ht="49.5" customHeight="1">
      <c r="A47" s="1193" t="s">
        <v>310</v>
      </c>
      <c r="B47" s="1193" t="s">
        <v>311</v>
      </c>
      <c r="C47" s="1193" t="s">
        <v>312</v>
      </c>
      <c r="D47" s="1193" t="s">
        <v>313</v>
      </c>
      <c r="E47" s="24115"/>
      <c r="F47" s="24115"/>
      <c r="G47" s="24115"/>
      <c r="H47" s="24115"/>
      <c r="I47" s="23947" t="str">
        <f>S46&amp;".1"</f>
        <v>....1</v>
      </c>
      <c r="J47" s="1193"/>
      <c r="K47" s="1193"/>
      <c r="L47" s="1236" t="s">
        <v>632</v>
      </c>
      <c r="P47" s="24092">
        <v>1</v>
      </c>
      <c r="Q47" s="1848"/>
      <c r="R47" s="292"/>
      <c r="S47" s="1852" t="str">
        <f>$I47</f>
        <v>....1</v>
      </c>
      <c r="T47" s="221" t="s">
        <v>633</v>
      </c>
      <c r="U47" s="236"/>
      <c r="V47" s="24076"/>
      <c r="W47" s="24077"/>
      <c r="X47" s="24077"/>
      <c r="Y47" s="24077"/>
      <c r="Z47" s="24077"/>
      <c r="AA47" s="24077"/>
      <c r="AB47" s="24077"/>
      <c r="AC47" s="24078"/>
      <c r="AD47" s="24076"/>
      <c r="AE47" s="24077"/>
      <c r="AF47" s="24077"/>
      <c r="AG47" s="24077"/>
      <c r="AH47" s="24077"/>
      <c r="AI47" s="24077"/>
      <c r="AJ47" s="24077"/>
      <c r="AK47" s="24077"/>
      <c r="AL47" s="24078"/>
      <c r="AM47" s="1184" t="s">
        <v>634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310</v>
      </c>
      <c r="B48" s="1193" t="s">
        <v>311</v>
      </c>
      <c r="C48" s="1193" t="s">
        <v>312</v>
      </c>
      <c r="D48" s="1193" t="s">
        <v>313</v>
      </c>
      <c r="E48" s="24115"/>
      <c r="F48" s="24115"/>
      <c r="G48" s="24115"/>
      <c r="H48" s="24115"/>
      <c r="I48" s="23928"/>
      <c r="J48" s="23947" t="str">
        <f>I47&amp;".1"</f>
        <v>....1.1</v>
      </c>
      <c r="K48" s="1193"/>
      <c r="L48" s="1236" t="s">
        <v>635</v>
      </c>
      <c r="P48" s="24092"/>
      <c r="Q48" s="24092">
        <v>1</v>
      </c>
      <c r="R48" s="293"/>
      <c r="S48" s="1852" t="str">
        <f>$J48</f>
        <v>....1.1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1550"/>
      <c r="AP48" s="1550" t="str">
        <f t="shared" si="1"/>
        <v>Группа потребителей</v>
      </c>
      <c r="AQ48" s="1550"/>
      <c r="AR48" s="1550"/>
      <c r="AS48" s="1557">
        <v>21</v>
      </c>
    </row>
    <row r="49" spans="1:45" ht="21.95" customHeight="1">
      <c r="A49" s="1193" t="s">
        <v>310</v>
      </c>
      <c r="B49" s="1193" t="s">
        <v>311</v>
      </c>
      <c r="C49" s="1193" t="s">
        <v>312</v>
      </c>
      <c r="D49" s="1193" t="s">
        <v>313</v>
      </c>
      <c r="E49" s="24115"/>
      <c r="F49" s="24115"/>
      <c r="G49" s="24115"/>
      <c r="H49" s="24115"/>
      <c r="I49" s="23928"/>
      <c r="J49" s="23928"/>
      <c r="K49" s="23947" t="str">
        <f>J48&amp;".1"</f>
        <v>....1.1.1</v>
      </c>
      <c r="L49" s="1236" t="s">
        <v>638</v>
      </c>
      <c r="P49" s="24092"/>
      <c r="Q49" s="24092"/>
      <c r="R49" s="293">
        <v>1</v>
      </c>
      <c r="S49" s="1852" t="str">
        <f>$K49</f>
        <v>....1.1.1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639</v>
      </c>
      <c r="AN49" s="1562" t="e">
        <f ca="1">STRCHECKDATE(V50:AL50)</f>
        <v>#NAME?</v>
      </c>
      <c r="AO49" s="1550"/>
      <c r="AP49" s="1550" t="str">
        <f t="shared" si="1"/>
        <v/>
      </c>
      <c r="AQ49" s="1550"/>
      <c r="AR49" s="1550"/>
      <c r="AS49" s="1557">
        <v>21</v>
      </c>
    </row>
    <row r="50" spans="1:45" ht="1.1499999999999999" customHeight="1">
      <c r="A50" s="1193" t="s">
        <v>310</v>
      </c>
      <c r="B50" s="1193" t="s">
        <v>311</v>
      </c>
      <c r="C50" s="1193" t="s">
        <v>312</v>
      </c>
      <c r="D50" s="1193" t="s">
        <v>313</v>
      </c>
      <c r="E50" s="24115"/>
      <c r="F50" s="24115"/>
      <c r="G50" s="24115"/>
      <c r="H50" s="24115"/>
      <c r="I50" s="23928"/>
      <c r="J50" s="23928"/>
      <c r="K50" s="23947"/>
      <c r="L50" s="1236"/>
      <c r="P50" s="24092"/>
      <c r="Q50" s="24092"/>
      <c r="R50" s="293"/>
      <c r="S50" s="1861"/>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1550"/>
      <c r="AP50" s="1550" t="str">
        <f t="shared" si="1"/>
        <v/>
      </c>
      <c r="AQ50" s="1550"/>
      <c r="AR50" s="1550"/>
      <c r="AS50" s="1557">
        <v>1</v>
      </c>
    </row>
    <row r="51" spans="1:45" ht="11.45" customHeight="1">
      <c r="A51" s="1193" t="s">
        <v>310</v>
      </c>
      <c r="B51" s="1193" t="s">
        <v>311</v>
      </c>
      <c r="C51" s="1193" t="s">
        <v>312</v>
      </c>
      <c r="D51" s="1193" t="s">
        <v>313</v>
      </c>
      <c r="E51" s="24115"/>
      <c r="F51" s="24115"/>
      <c r="G51" s="24115"/>
      <c r="H51" s="24115"/>
      <c r="I51" s="23928"/>
      <c r="J51" s="23947"/>
      <c r="K51" s="1193"/>
      <c r="L51" s="1236"/>
      <c r="P51" s="24092"/>
      <c r="Q51" s="24092"/>
      <c r="R51" s="292"/>
      <c r="S51" s="1204"/>
      <c r="T51" s="224" t="s">
        <v>640</v>
      </c>
      <c r="U51" s="536"/>
      <c r="V51" s="536"/>
      <c r="W51" s="536"/>
      <c r="X51" s="536"/>
      <c r="Y51" s="536"/>
      <c r="Z51" s="536"/>
      <c r="AA51" s="536"/>
      <c r="AB51" s="536"/>
      <c r="AC51" s="536"/>
      <c r="AD51" s="536"/>
      <c r="AE51" s="536"/>
      <c r="AF51" s="536"/>
      <c r="AG51" s="536"/>
      <c r="AH51" s="536"/>
      <c r="AI51" s="536"/>
      <c r="AJ51" s="536"/>
      <c r="AK51" s="536"/>
      <c r="AL51" s="260"/>
      <c r="AM51" s="24113"/>
      <c r="AO51" s="1550"/>
      <c r="AP51" s="1550" t="str">
        <f t="shared" si="1"/>
        <v>Добавить вид теплоносителя (параметры теплоносителя)</v>
      </c>
      <c r="AQ51" s="1550"/>
      <c r="AR51" s="1550"/>
      <c r="AS51" s="1557">
        <v>11</v>
      </c>
    </row>
    <row r="52" spans="1:45" ht="11.45" customHeight="1">
      <c r="A52" s="1193" t="s">
        <v>310</v>
      </c>
      <c r="B52" s="1193" t="s">
        <v>311</v>
      </c>
      <c r="C52" s="1193" t="s">
        <v>312</v>
      </c>
      <c r="D52" s="1193" t="s">
        <v>313</v>
      </c>
      <c r="E52" s="24115"/>
      <c r="F52" s="24115"/>
      <c r="G52" s="24115"/>
      <c r="H52" s="24115"/>
      <c r="I52" s="23947"/>
      <c r="J52" s="1193"/>
      <c r="K52" s="1193"/>
      <c r="L52" s="1236"/>
      <c r="P52" s="24092"/>
      <c r="Q52" s="1848"/>
      <c r="R52" s="292"/>
      <c r="S52" s="1204"/>
      <c r="T52" s="223" t="s">
        <v>641</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310</v>
      </c>
      <c r="B53" s="1193" t="s">
        <v>311</v>
      </c>
      <c r="C53" s="1193" t="s">
        <v>312</v>
      </c>
      <c r="D53" s="1193" t="s">
        <v>313</v>
      </c>
      <c r="E53" s="24115"/>
      <c r="F53" s="24115"/>
      <c r="G53" s="24115"/>
      <c r="H53" s="24114"/>
      <c r="I53" s="1193"/>
      <c r="J53" s="1193"/>
      <c r="K53" s="1193"/>
      <c r="L53" s="1236"/>
      <c r="M53" s="1536"/>
      <c r="N53" s="1536"/>
      <c r="O53" s="1561"/>
      <c r="P53" s="296"/>
      <c r="Q53" s="311"/>
      <c r="R53" s="291"/>
      <c r="S53" s="1204"/>
      <c r="T53" s="301" t="s">
        <v>642</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4.1500000000000004" customHeight="1">
      <c r="A54" s="1301" t="s">
        <v>310</v>
      </c>
      <c r="B54" s="1301" t="s">
        <v>311</v>
      </c>
      <c r="C54" s="1301" t="s">
        <v>312</v>
      </c>
      <c r="D54" s="1300"/>
      <c r="E54" s="24115"/>
      <c r="F54" s="24115"/>
      <c r="G54" s="24114"/>
      <c r="H54" s="1300"/>
      <c r="I54" s="1300"/>
      <c r="J54" s="1300"/>
      <c r="K54" s="1300"/>
      <c r="L54" s="1303"/>
      <c r="M54" s="1304"/>
      <c r="N54" s="1304"/>
      <c r="O54" s="287"/>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310</v>
      </c>
      <c r="B55" s="1301" t="s">
        <v>311</v>
      </c>
      <c r="C55" s="1300"/>
      <c r="D55" s="1300"/>
      <c r="E55" s="24115"/>
      <c r="F55" s="24114"/>
      <c r="G55" s="1300"/>
      <c r="H55" s="1300"/>
      <c r="I55" s="1300"/>
      <c r="J55" s="1300"/>
      <c r="K55" s="1300"/>
      <c r="L55" s="1303"/>
      <c r="M55" s="1305"/>
      <c r="N55" s="1305"/>
      <c r="O55" s="28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310</v>
      </c>
      <c r="B56" s="1301"/>
      <c r="C56" s="1301"/>
      <c r="D56" s="1301"/>
      <c r="E56" s="24114"/>
      <c r="F56" s="1301"/>
      <c r="G56" s="1301"/>
      <c r="H56" s="1301"/>
      <c r="I56" s="1301"/>
      <c r="J56" s="1301"/>
      <c r="K56" s="1301"/>
      <c r="L56" s="1307"/>
      <c r="M56" s="1305"/>
      <c r="N56" s="1305"/>
      <c r="O56" s="287"/>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557">
        <v>27</v>
      </c>
    </row>
    <row r="60" spans="1:45" ht="65.25" customHeight="1">
      <c r="O60" s="1561"/>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557">
        <v>62</v>
      </c>
    </row>
    <row r="61" spans="1:45" ht="14.65" customHeight="1">
      <c r="O61" s="1561"/>
      <c r="AS61" s="1557">
        <v>14</v>
      </c>
    </row>
    <row r="62" spans="1:45" ht="18.75" customHeight="1">
      <c r="O62" s="1561"/>
      <c r="S62" s="1179"/>
      <c r="T62" s="24087"/>
      <c r="U62" s="24087"/>
      <c r="V62" s="24087"/>
      <c r="W62" s="24087"/>
      <c r="X62" s="24087"/>
      <c r="Y62" s="24087"/>
      <c r="Z62" s="24087"/>
      <c r="AA62" s="24087"/>
      <c r="AB62" s="24087"/>
      <c r="AC62" s="24087"/>
      <c r="AD62" s="24087"/>
      <c r="AE62" s="24087"/>
      <c r="AF62" s="24087"/>
      <c r="AG62" s="24087"/>
      <c r="AH62" s="24087"/>
      <c r="AI62" s="24087"/>
      <c r="AJ62" s="24087"/>
      <c r="AK62" s="24087"/>
      <c r="AL62" s="24087"/>
      <c r="AM62" s="24087"/>
      <c r="AS62" s="1557">
        <v>18</v>
      </c>
    </row>
    <row r="63" spans="1:45" ht="18.75" customHeight="1">
      <c r="O63" s="1561"/>
      <c r="T63" s="24087"/>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557">
        <v>18</v>
      </c>
    </row>
    <row r="64" spans="1:45" ht="29.25" customHeight="1">
      <c r="O64" s="1561"/>
      <c r="S64" s="1179"/>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557">
        <v>28</v>
      </c>
    </row>
    <row r="65" spans="1:45" ht="22.5" hidden="1" customHeight="1">
      <c r="A65" s="1557" t="s">
        <v>73</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1971" hidden="1" customWidth="1"/>
    <col min="13" max="14" width="12.28515625" style="1979" hidden="1" customWidth="1"/>
    <col min="15" max="15" width="23.42578125" style="1979" hidden="1" customWidth="1"/>
    <col min="16" max="16" width="3" style="1979" customWidth="1"/>
    <col min="17" max="18" width="3" style="280"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v>
      </c>
    </row>
    <row r="2" spans="1:45" ht="21" hidden="1" customHeight="1">
      <c r="A2" s="1193"/>
      <c r="B2" s="1193"/>
      <c r="C2" s="1193"/>
      <c r="D2" s="1193"/>
      <c r="E2" s="24114">
        <v>1</v>
      </c>
      <c r="F2" s="1193"/>
      <c r="G2" s="1193"/>
      <c r="H2" s="1193"/>
      <c r="I2" s="1193"/>
      <c r="J2" s="1193"/>
      <c r="K2" s="1193"/>
      <c r="L2" s="1236"/>
      <c r="M2" s="1536"/>
      <c r="N2" s="1536"/>
      <c r="O2" s="1536"/>
      <c r="P2" s="1516"/>
      <c r="Q2" s="296"/>
      <c r="R2" s="291"/>
      <c r="S2" s="1852" t="e">
        <f>INDEX(PT_DIFFERENTIATION_NUM_NTAR,MATCH(A2,PT_DIFFERENTIATION_NTAR_ID,0))</f>
        <v>#N/A</v>
      </c>
      <c r="T2" s="1451"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1550"/>
      <c r="AP2" s="1550" t="str">
        <f t="shared" ref="AP2:AP15" si="0">IF(T2="","",T2)</f>
        <v>Наименование тарифа</v>
      </c>
      <c r="AQ2" s="1550"/>
      <c r="AR2" s="1550"/>
      <c r="AS2" s="1557">
        <v>0</v>
      </c>
    </row>
    <row r="3" spans="1:45" ht="21" hidden="1" customHeight="1">
      <c r="A3" s="1193"/>
      <c r="B3" s="1193"/>
      <c r="C3" s="1193"/>
      <c r="D3" s="1193"/>
      <c r="E3" s="24115"/>
      <c r="F3" s="24114">
        <v>1</v>
      </c>
      <c r="G3" s="1193"/>
      <c r="H3" s="1193"/>
      <c r="I3" s="1193"/>
      <c r="J3" s="1193"/>
      <c r="K3" s="1193"/>
      <c r="L3" s="1236"/>
      <c r="M3" s="1536"/>
      <c r="N3" s="1536"/>
      <c r="O3" s="1536"/>
      <c r="P3" s="1834"/>
      <c r="Q3" s="288"/>
      <c r="R3" s="289"/>
      <c r="S3" s="1852" t="e">
        <f>INDEX(PT_DIFFERENTIATION_NUM_TER,MATCH(B3,PT_DIFFERENTIATION_TER_ID,0))</f>
        <v>#N/A</v>
      </c>
      <c r="T3" s="1448"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1550"/>
      <c r="AP3" s="1550" t="str">
        <f t="shared" si="0"/>
        <v>Территория действия тарифа</v>
      </c>
      <c r="AQ3" s="1550"/>
      <c r="AR3" s="1550"/>
      <c r="AS3" s="1557">
        <v>0</v>
      </c>
    </row>
    <row r="4" spans="1:45" ht="23.25" hidden="1" customHeight="1">
      <c r="A4" s="1193"/>
      <c r="B4" s="1193"/>
      <c r="C4" s="1193"/>
      <c r="D4" s="1193"/>
      <c r="E4" s="24115"/>
      <c r="F4" s="24115"/>
      <c r="G4" s="24114">
        <v>1</v>
      </c>
      <c r="H4" s="1193"/>
      <c r="I4" s="1193"/>
      <c r="J4" s="1193"/>
      <c r="K4" s="1193"/>
      <c r="L4" s="1236"/>
      <c r="M4" s="1536"/>
      <c r="N4" s="1536"/>
      <c r="O4" s="1536"/>
      <c r="P4" s="290"/>
      <c r="Q4" s="288"/>
      <c r="R4" s="289"/>
      <c r="S4" s="1852"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4115"/>
      <c r="F5" s="24115"/>
      <c r="G5" s="24115"/>
      <c r="H5" s="24114">
        <v>1</v>
      </c>
      <c r="I5" s="1193"/>
      <c r="J5" s="1193"/>
      <c r="K5" s="1193"/>
      <c r="L5" s="1236"/>
      <c r="M5" s="1536"/>
      <c r="N5" s="1536"/>
      <c r="O5" s="1536"/>
      <c r="P5" s="290"/>
      <c r="Q5" s="288"/>
      <c r="R5" s="289"/>
      <c r="S5" s="1852"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1550"/>
      <c r="AP5" s="1550" t="str">
        <f t="shared" si="0"/>
        <v xml:space="preserve">Источник тепловой энергии  </v>
      </c>
      <c r="AQ5" s="1550"/>
      <c r="AR5" s="1550"/>
      <c r="AS5" s="1557">
        <v>0</v>
      </c>
    </row>
    <row r="6" spans="1:45" ht="47.25" hidden="1" customHeight="1">
      <c r="A6" s="1193"/>
      <c r="B6" s="1193"/>
      <c r="C6" s="1193"/>
      <c r="D6" s="1193"/>
      <c r="E6" s="24115"/>
      <c r="F6" s="24115"/>
      <c r="G6" s="24115"/>
      <c r="H6" s="24115"/>
      <c r="I6" s="23947" t="e">
        <f>S5&amp;".1"</f>
        <v>#N/A</v>
      </c>
      <c r="J6" s="1193"/>
      <c r="K6" s="1193"/>
      <c r="L6" s="1236" t="s">
        <v>632</v>
      </c>
      <c r="M6" s="1561"/>
      <c r="P6" s="24092">
        <v>1</v>
      </c>
      <c r="Q6" s="1848"/>
      <c r="R6" s="292"/>
      <c r="S6" s="1852" t="e">
        <f>$I6</f>
        <v>#N/A</v>
      </c>
      <c r="T6" s="221" t="s">
        <v>633</v>
      </c>
      <c r="U6" s="236"/>
      <c r="V6" s="24076"/>
      <c r="W6" s="24077"/>
      <c r="X6" s="24077"/>
      <c r="Y6" s="24077"/>
      <c r="Z6" s="24077"/>
      <c r="AA6" s="24077"/>
      <c r="AB6" s="24077"/>
      <c r="AC6" s="24078"/>
      <c r="AD6" s="24076"/>
      <c r="AE6" s="24077"/>
      <c r="AF6" s="24077"/>
      <c r="AG6" s="24077"/>
      <c r="AH6" s="24077"/>
      <c r="AI6" s="24077"/>
      <c r="AJ6" s="24077"/>
      <c r="AK6" s="24077"/>
      <c r="AL6" s="24078"/>
      <c r="AM6" s="1184" t="s">
        <v>634</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4115"/>
      <c r="F7" s="24115"/>
      <c r="G7" s="24115"/>
      <c r="H7" s="24115"/>
      <c r="I7" s="23928"/>
      <c r="J7" s="23947" t="e">
        <f>I6&amp;".1"</f>
        <v>#N/A</v>
      </c>
      <c r="K7" s="1193"/>
      <c r="L7" s="1236" t="s">
        <v>635</v>
      </c>
      <c r="M7" s="1561"/>
      <c r="N7" s="1557"/>
      <c r="P7" s="24092"/>
      <c r="Q7" s="24092">
        <v>1</v>
      </c>
      <c r="R7" s="293"/>
      <c r="S7" s="1852"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1550"/>
      <c r="AP7" s="1550" t="str">
        <f t="shared" si="0"/>
        <v>Группа потребителей</v>
      </c>
      <c r="AQ7" s="1550"/>
      <c r="AR7" s="1550"/>
      <c r="AS7" s="1557">
        <v>0</v>
      </c>
    </row>
    <row r="8" spans="1:45" ht="21" hidden="1" customHeight="1">
      <c r="A8" s="1193"/>
      <c r="B8" s="1193"/>
      <c r="C8" s="1193"/>
      <c r="D8" s="1193"/>
      <c r="E8" s="24115"/>
      <c r="F8" s="24115"/>
      <c r="G8" s="24115"/>
      <c r="H8" s="24115"/>
      <c r="I8" s="23928"/>
      <c r="J8" s="23928"/>
      <c r="K8" s="23947" t="e">
        <f>J7&amp;".1"</f>
        <v>#N/A</v>
      </c>
      <c r="L8" s="1236" t="s">
        <v>638</v>
      </c>
      <c r="M8" s="1561"/>
      <c r="N8" s="1557"/>
      <c r="O8" s="1557"/>
      <c r="P8" s="24092"/>
      <c r="Q8" s="24092"/>
      <c r="R8" s="293">
        <v>1</v>
      </c>
      <c r="S8" s="1852" t="e">
        <f>$K8</f>
        <v>#N/A</v>
      </c>
      <c r="T8" s="1273"/>
      <c r="U8" s="236"/>
      <c r="V8" s="687"/>
      <c r="W8" s="261"/>
      <c r="X8" s="687"/>
      <c r="Y8" s="1183"/>
      <c r="Z8" s="24093"/>
      <c r="AA8" s="23957" t="s">
        <v>59</v>
      </c>
      <c r="AB8" s="24093"/>
      <c r="AC8" s="23957" t="s">
        <v>59</v>
      </c>
      <c r="AD8" s="687"/>
      <c r="AE8" s="261"/>
      <c r="AF8" s="687"/>
      <c r="AG8" s="1183"/>
      <c r="AH8" s="24093"/>
      <c r="AI8" s="23957" t="s">
        <v>59</v>
      </c>
      <c r="AJ8" s="24093"/>
      <c r="AK8" s="23957" t="s">
        <v>59</v>
      </c>
      <c r="AL8" s="261"/>
      <c r="AM8" s="24111" t="s">
        <v>639</v>
      </c>
      <c r="AN8" s="1562" t="e">
        <f ca="1">STRCHECKDATE(V9:AL9)</f>
        <v>#NAME?</v>
      </c>
      <c r="AO8" s="1550"/>
      <c r="AP8" s="1550" t="str">
        <f t="shared" si="0"/>
        <v/>
      </c>
      <c r="AQ8" s="1550"/>
      <c r="AR8" s="1550"/>
      <c r="AS8" s="1557">
        <v>0</v>
      </c>
    </row>
    <row r="9" spans="1:45" ht="0.75" hidden="1" customHeight="1">
      <c r="A9" s="1193"/>
      <c r="B9" s="1193"/>
      <c r="C9" s="1193"/>
      <c r="D9" s="1193"/>
      <c r="E9" s="24115"/>
      <c r="F9" s="24115"/>
      <c r="G9" s="24115"/>
      <c r="H9" s="24115"/>
      <c r="I9" s="23928"/>
      <c r="J9" s="23928"/>
      <c r="K9" s="23947"/>
      <c r="L9" s="1236"/>
      <c r="M9" s="1561"/>
      <c r="N9" s="1557"/>
      <c r="O9" s="1557"/>
      <c r="P9" s="24092"/>
      <c r="Q9" s="24092"/>
      <c r="R9" s="293"/>
      <c r="S9" s="1861"/>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1550"/>
      <c r="AP9" s="1550" t="str">
        <f t="shared" si="0"/>
        <v/>
      </c>
      <c r="AQ9" s="1550"/>
      <c r="AR9" s="1550"/>
      <c r="AS9" s="1557">
        <v>0</v>
      </c>
    </row>
    <row r="10" spans="1:45" ht="15" hidden="1" customHeight="1">
      <c r="A10" s="1193"/>
      <c r="B10" s="1193"/>
      <c r="C10" s="1193"/>
      <c r="D10" s="1193"/>
      <c r="E10" s="24115"/>
      <c r="F10" s="24115"/>
      <c r="G10" s="24115"/>
      <c r="H10" s="24115"/>
      <c r="I10" s="23928"/>
      <c r="J10" s="23947"/>
      <c r="K10" s="1193"/>
      <c r="L10" s="1236"/>
      <c r="M10" s="1561"/>
      <c r="N10" s="1557"/>
      <c r="P10" s="24092"/>
      <c r="Q10" s="24092"/>
      <c r="R10" s="292"/>
      <c r="S10" s="1204"/>
      <c r="T10" s="224" t="s">
        <v>640</v>
      </c>
      <c r="U10" s="536"/>
      <c r="V10" s="536"/>
      <c r="W10" s="536"/>
      <c r="X10" s="536"/>
      <c r="Y10" s="536"/>
      <c r="Z10" s="536"/>
      <c r="AA10" s="536"/>
      <c r="AB10" s="536"/>
      <c r="AC10" s="536"/>
      <c r="AD10" s="536"/>
      <c r="AE10" s="536"/>
      <c r="AF10" s="536"/>
      <c r="AG10" s="536"/>
      <c r="AH10" s="536"/>
      <c r="AI10" s="536"/>
      <c r="AJ10" s="536"/>
      <c r="AK10" s="536"/>
      <c r="AL10" s="260"/>
      <c r="AM10" s="2411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4115"/>
      <c r="F11" s="24115"/>
      <c r="G11" s="24115"/>
      <c r="H11" s="24115"/>
      <c r="I11" s="23947"/>
      <c r="J11" s="1193"/>
      <c r="K11" s="1193"/>
      <c r="L11" s="1236"/>
      <c r="M11" s="1561"/>
      <c r="P11" s="24092"/>
      <c r="Q11" s="1848"/>
      <c r="R11" s="292"/>
      <c r="S11" s="1204"/>
      <c r="T11" s="223" t="s">
        <v>641</v>
      </c>
      <c r="U11" s="536"/>
      <c r="V11" s="536"/>
      <c r="W11" s="536"/>
      <c r="X11" s="536"/>
      <c r="Y11" s="536"/>
      <c r="Z11" s="536"/>
      <c r="AA11" s="536"/>
      <c r="AB11" s="536"/>
      <c r="AC11" s="302"/>
      <c r="AD11" s="536"/>
      <c r="AE11" s="536"/>
      <c r="AF11" s="536"/>
      <c r="AG11" s="536"/>
      <c r="AH11" s="536"/>
      <c r="AI11" s="536"/>
      <c r="AJ11" s="536"/>
      <c r="AK11" s="302"/>
      <c r="AL11" s="536"/>
      <c r="AM11" s="239"/>
      <c r="AO11" s="1550"/>
      <c r="AP11" s="1550" t="str">
        <f t="shared" si="0"/>
        <v>Добавить группу потребителей</v>
      </c>
      <c r="AQ11" s="1550"/>
      <c r="AR11" s="1550"/>
      <c r="AS11" s="1557">
        <v>0</v>
      </c>
    </row>
    <row r="12" spans="1:45" ht="14.25" hidden="1" customHeight="1">
      <c r="A12" s="1193"/>
      <c r="B12" s="1193"/>
      <c r="C12" s="1193"/>
      <c r="D12" s="1193"/>
      <c r="E12" s="24115"/>
      <c r="F12" s="24115"/>
      <c r="G12" s="24115"/>
      <c r="H12" s="24114"/>
      <c r="I12" s="1193"/>
      <c r="J12" s="1193"/>
      <c r="K12" s="1193"/>
      <c r="L12" s="1236"/>
      <c r="M12" s="1536"/>
      <c r="N12" s="1536"/>
      <c r="O12" s="1561"/>
      <c r="P12" s="296"/>
      <c r="Q12" s="311"/>
      <c r="R12" s="291"/>
      <c r="S12" s="1204"/>
      <c r="T12" s="301" t="s">
        <v>642</v>
      </c>
      <c r="U12" s="536"/>
      <c r="V12" s="536"/>
      <c r="W12" s="536"/>
      <c r="X12" s="536"/>
      <c r="Y12" s="536"/>
      <c r="Z12" s="536"/>
      <c r="AA12" s="536"/>
      <c r="AB12" s="536"/>
      <c r="AC12" s="302"/>
      <c r="AD12" s="536"/>
      <c r="AE12" s="536"/>
      <c r="AF12" s="536"/>
      <c r="AG12" s="536"/>
      <c r="AH12" s="536"/>
      <c r="AI12" s="536"/>
      <c r="AJ12" s="536"/>
      <c r="AK12" s="302"/>
      <c r="AL12" s="536"/>
      <c r="AM12" s="239"/>
      <c r="AO12" s="1550"/>
      <c r="AP12" s="1550" t="str">
        <f t="shared" si="0"/>
        <v>Добавить схему подключения</v>
      </c>
      <c r="AQ12" s="1550"/>
      <c r="AR12" s="1550"/>
      <c r="AS12" s="1557">
        <v>0</v>
      </c>
    </row>
    <row r="13" spans="1:45" s="1568" customFormat="1" ht="0.75" hidden="1" customHeight="1">
      <c r="A13" s="1868"/>
      <c r="B13" s="1868"/>
      <c r="C13" s="1868"/>
      <c r="D13" s="1868"/>
      <c r="E13" s="24115"/>
      <c r="F13" s="24115"/>
      <c r="G13" s="24114"/>
      <c r="H13" s="1868"/>
      <c r="I13" s="1868"/>
      <c r="J13" s="1868"/>
      <c r="K13" s="1868"/>
      <c r="L13" s="1306"/>
      <c r="M13" s="1536"/>
      <c r="N13" s="1536"/>
      <c r="O13" s="156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68"/>
      <c r="B14" s="1868"/>
      <c r="C14" s="1868"/>
      <c r="D14" s="1868"/>
      <c r="E14" s="24115"/>
      <c r="F14" s="24114"/>
      <c r="G14" s="1868"/>
      <c r="H14" s="1868"/>
      <c r="I14" s="1868"/>
      <c r="J14" s="1868"/>
      <c r="K14" s="1868"/>
      <c r="L14" s="1306"/>
      <c r="M14" s="1869"/>
      <c r="N14" s="1869"/>
      <c r="O14" s="1561"/>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68"/>
      <c r="B15" s="1868"/>
      <c r="C15" s="1868"/>
      <c r="D15" s="1868"/>
      <c r="E15" s="24114"/>
      <c r="F15" s="1868"/>
      <c r="G15" s="1868"/>
      <c r="H15" s="1868"/>
      <c r="I15" s="1868"/>
      <c r="J15" s="1868"/>
      <c r="K15" s="1868"/>
      <c r="L15" s="1306"/>
      <c r="M15" s="1869"/>
      <c r="N15" s="1869"/>
      <c r="O15" s="1561"/>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4086"/>
      <c r="AI17" s="24085" t="s">
        <v>59</v>
      </c>
      <c r="AJ17" s="24086"/>
      <c r="AK17" s="24085" t="s">
        <v>59</v>
      </c>
      <c r="AS17" s="1557">
        <v>0</v>
      </c>
    </row>
    <row r="18" spans="1:45" ht="14.25" hidden="1" customHeight="1">
      <c r="AD18" s="1286"/>
      <c r="AE18" s="1286"/>
      <c r="AF18" s="1286"/>
      <c r="AG18" s="264" t="str">
        <f>AH17&amp;"-"&amp;AJ17</f>
        <v>-</v>
      </c>
      <c r="AH18" s="24085"/>
      <c r="AI18" s="24085"/>
      <c r="AJ18" s="24085"/>
      <c r="AK18" s="2408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33"/>
      <c r="M20" s="1859"/>
      <c r="N20" s="1859"/>
      <c r="O20" s="1271" t="s">
        <v>644</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33"/>
      <c r="M21" s="1859"/>
      <c r="N21" s="1859"/>
      <c r="O21" s="1859"/>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33"/>
      <c r="M22" s="1859"/>
      <c r="N22" s="1859"/>
      <c r="O22" s="1236" t="s">
        <v>645</v>
      </c>
      <c r="P22" s="1288"/>
      <c r="Q22" s="1297"/>
      <c r="R22" s="1297"/>
      <c r="S22" s="665"/>
      <c r="T22" s="1292" t="s">
        <v>646</v>
      </c>
      <c r="AA22" s="531" t="s">
        <v>647</v>
      </c>
      <c r="AC22" s="531" t="s">
        <v>648</v>
      </c>
      <c r="AD22" s="1292" t="s">
        <v>646</v>
      </c>
      <c r="AI22" s="531" t="s">
        <v>649</v>
      </c>
      <c r="AK22" s="531" t="s">
        <v>648</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4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557">
        <v>14</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557">
        <v>14</v>
      </c>
    </row>
    <row r="28" spans="1:45" ht="14.25" hidden="1" customHeight="1">
      <c r="Q28" s="312"/>
      <c r="R28" s="312"/>
      <c r="S28" s="1201"/>
      <c r="T28" s="393"/>
      <c r="U28" s="393"/>
      <c r="V28" s="258"/>
      <c r="W28" s="258"/>
      <c r="X28" s="258"/>
      <c r="Y28" s="258"/>
      <c r="Z28" s="258"/>
      <c r="AA28" s="258"/>
      <c r="AB28" s="258"/>
      <c r="AC28" s="258"/>
      <c r="AD28" s="258"/>
      <c r="AE28" s="258"/>
      <c r="AF28" s="258"/>
      <c r="AG28" s="258"/>
      <c r="AH28" s="258"/>
      <c r="AI28" s="258"/>
      <c r="AJ28" s="258"/>
      <c r="AK28" s="258"/>
      <c r="AS28" s="1557">
        <v>0</v>
      </c>
    </row>
    <row r="29" spans="1:45" s="1750" customFormat="1" ht="25.5" hidden="1" customHeight="1">
      <c r="A29" s="1174"/>
      <c r="B29" s="1174"/>
      <c r="C29" s="1174"/>
      <c r="D29" s="1174"/>
      <c r="E29" s="1174"/>
      <c r="F29" s="1174"/>
      <c r="G29" s="1174"/>
      <c r="H29" s="1174"/>
      <c r="I29" s="1174"/>
      <c r="J29" s="1174"/>
      <c r="K29" s="1174"/>
      <c r="L29" s="1306"/>
      <c r="M29" s="1174"/>
      <c r="N29" s="1174"/>
      <c r="O29" s="117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1561"/>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1561"/>
      <c r="AL29" s="1561"/>
      <c r="AM29" s="216"/>
      <c r="AN29" s="304"/>
      <c r="AO29" s="304"/>
      <c r="AP29" s="304"/>
      <c r="AQ29" s="304"/>
      <c r="AR29" s="304"/>
      <c r="AS29" s="354">
        <v>0</v>
      </c>
    </row>
    <row r="30" spans="1:45" s="1750" customFormat="1" ht="18.75" hidden="1" customHeight="1">
      <c r="A30" s="1174"/>
      <c r="B30" s="1174"/>
      <c r="C30" s="1174"/>
      <c r="D30" s="1174"/>
      <c r="E30" s="1174"/>
      <c r="F30" s="1174"/>
      <c r="G30" s="1174"/>
      <c r="H30" s="1174"/>
      <c r="I30" s="1174"/>
      <c r="J30" s="1174"/>
      <c r="K30" s="1174"/>
      <c r="L30" s="1306"/>
      <c r="M30" s="1174"/>
      <c r="N30" s="1174"/>
      <c r="O30" s="1174"/>
      <c r="S30" s="24079" t="s">
        <v>650</v>
      </c>
      <c r="T30" s="24079"/>
      <c r="U30" s="1298"/>
      <c r="V30" s="24080" t="str">
        <f>IF(TITLE_DATE_PR_CHANGE="",IF(TITLE_DATE_PR="","",TITLE_DATE_PR),TITLE_DATE_PR_CHANGE)</f>
        <v>20.12.2024</v>
      </c>
      <c r="W30" s="24080"/>
      <c r="X30" s="24080"/>
      <c r="Y30" s="24080"/>
      <c r="Z30" s="24080"/>
      <c r="AA30" s="24080"/>
      <c r="AB30" s="24080"/>
      <c r="AC30" s="1561"/>
      <c r="AD30" s="24080" t="str">
        <f>IF(TITLE_DATE_PR_CHANGE="",IF(TITLE_DATE_PR="","",TITLE_DATE_PR),TITLE_DATE_PR_CHANGE)</f>
        <v>20.12.2024</v>
      </c>
      <c r="AE30" s="24080"/>
      <c r="AF30" s="24080"/>
      <c r="AG30" s="24080"/>
      <c r="AH30" s="24080"/>
      <c r="AI30" s="24080"/>
      <c r="AJ30" s="24080"/>
      <c r="AK30" s="1561"/>
      <c r="AL30" s="1561"/>
      <c r="AM30" s="216"/>
      <c r="AN30" s="304"/>
      <c r="AO30" s="304"/>
      <c r="AP30" s="304"/>
      <c r="AQ30" s="304"/>
      <c r="AR30" s="304"/>
      <c r="AS30" s="354">
        <v>0</v>
      </c>
    </row>
    <row r="31" spans="1:45" s="1750" customFormat="1" ht="18.75" hidden="1" customHeight="1">
      <c r="A31" s="1174"/>
      <c r="B31" s="1174"/>
      <c r="C31" s="1174"/>
      <c r="D31" s="1174"/>
      <c r="E31" s="1174"/>
      <c r="F31" s="1174"/>
      <c r="G31" s="1174"/>
      <c r="H31" s="1174"/>
      <c r="I31" s="1174"/>
      <c r="J31" s="1174"/>
      <c r="K31" s="1174"/>
      <c r="L31" s="1306"/>
      <c r="M31" s="1174"/>
      <c r="N31" s="1174"/>
      <c r="O31" s="1174"/>
      <c r="S31" s="24079" t="s">
        <v>651</v>
      </c>
      <c r="T31" s="24079"/>
      <c r="U31" s="1298"/>
      <c r="V31" s="24081" t="str">
        <f>IF(TITLE_NUMBER_PR_CHANGE="",IF(TITLE_NUMBER_PR="","",TITLE_NUMBER_PR),TITLE_NUMBER_PR_CHANGE)</f>
        <v>403, 404</v>
      </c>
      <c r="W31" s="24081"/>
      <c r="X31" s="24081"/>
      <c r="Y31" s="24081"/>
      <c r="Z31" s="24081"/>
      <c r="AA31" s="24081"/>
      <c r="AB31" s="24081"/>
      <c r="AC31" s="1561"/>
      <c r="AD31" s="24081" t="str">
        <f>IF(TITLE_NUMBER_PR_CHANGE="",IF(TITLE_NUMBER_PR="","",TITLE_NUMBER_PR),TITLE_NUMBER_PR_CHANGE)</f>
        <v>403, 404</v>
      </c>
      <c r="AE31" s="24081"/>
      <c r="AF31" s="24081"/>
      <c r="AG31" s="24081"/>
      <c r="AH31" s="24081"/>
      <c r="AI31" s="24081"/>
      <c r="AJ31" s="24081"/>
      <c r="AK31" s="1561"/>
      <c r="AL31" s="1561"/>
      <c r="AM31" s="216"/>
      <c r="AN31" s="304"/>
      <c r="AO31" s="304"/>
      <c r="AP31" s="304"/>
      <c r="AQ31" s="304"/>
      <c r="AR31" s="304"/>
      <c r="AS31" s="354">
        <v>0</v>
      </c>
    </row>
    <row r="32" spans="1:45" s="1750" customFormat="1" ht="18.75" hidden="1" customHeight="1">
      <c r="A32" s="1174"/>
      <c r="B32" s="1174"/>
      <c r="C32" s="1174"/>
      <c r="D32" s="1174"/>
      <c r="E32" s="1174"/>
      <c r="F32" s="1174"/>
      <c r="G32" s="1174"/>
      <c r="H32" s="1174"/>
      <c r="I32" s="1174"/>
      <c r="J32" s="1174"/>
      <c r="K32" s="1174"/>
      <c r="L32" s="1306"/>
      <c r="M32" s="1174"/>
      <c r="N32" s="1174"/>
      <c r="O32" s="1174"/>
      <c r="S32" s="24079" t="s">
        <v>33</v>
      </c>
      <c r="T32" s="24079"/>
      <c r="U32" s="1298"/>
      <c r="V32" s="24081" t="str">
        <f>IF(TITLE_IST_PUB_CHANGE="",IF(TITLE_IST_PUB="","",TITLE_IST_PUB),TITLE_IST_PUB_CHANGE)</f>
        <v>Смоленская газета</v>
      </c>
      <c r="W32" s="24081"/>
      <c r="X32" s="24081"/>
      <c r="Y32" s="24081"/>
      <c r="Z32" s="24081"/>
      <c r="AA32" s="24081"/>
      <c r="AB32" s="24081"/>
      <c r="AC32" s="1561"/>
      <c r="AD32" s="24081" t="str">
        <f>IF(TITLE_IST_PUB_CHANGE="",IF(TITLE_IST_PUB="","",TITLE_IST_PUB),TITLE_IST_PUB_CHANGE)</f>
        <v>Смоленская газета</v>
      </c>
      <c r="AE32" s="24081"/>
      <c r="AF32" s="24081"/>
      <c r="AG32" s="24081"/>
      <c r="AH32" s="24081"/>
      <c r="AI32" s="24081"/>
      <c r="AJ32" s="24081"/>
      <c r="AK32" s="1561"/>
      <c r="AL32" s="1561"/>
      <c r="AM32" s="216"/>
      <c r="AN32" s="304"/>
      <c r="AO32" s="304"/>
      <c r="AP32" s="304"/>
      <c r="AQ32" s="304"/>
      <c r="AR32" s="304"/>
      <c r="AS32" s="354">
        <v>0</v>
      </c>
    </row>
    <row r="33" spans="1:45" ht="14.25" hidden="1" customHeight="1">
      <c r="Q33" s="312"/>
      <c r="R33" s="312"/>
      <c r="S33" s="1201"/>
      <c r="T33" s="393"/>
      <c r="U33" s="393"/>
      <c r="V33" s="258"/>
      <c r="W33" s="258"/>
      <c r="X33" s="258"/>
      <c r="Y33" s="258"/>
      <c r="Z33" s="258"/>
      <c r="AA33" s="258"/>
      <c r="AB33" s="258"/>
      <c r="AC33" s="258"/>
      <c r="AD33" s="258"/>
      <c r="AE33" s="258"/>
      <c r="AF33" s="258"/>
      <c r="AG33" s="258"/>
      <c r="AH33" s="258"/>
      <c r="AI33" s="258"/>
      <c r="AJ33" s="258"/>
      <c r="AK33" s="258"/>
      <c r="AS33" s="1557">
        <v>0</v>
      </c>
    </row>
    <row r="34" spans="1:45" s="1750" customFormat="1" ht="18.75" hidden="1" customHeight="1">
      <c r="A34" s="1174"/>
      <c r="B34" s="1174"/>
      <c r="C34" s="1174"/>
      <c r="D34" s="1174"/>
      <c r="E34" s="1174"/>
      <c r="F34" s="1174"/>
      <c r="G34" s="1174"/>
      <c r="H34" s="1174"/>
      <c r="I34" s="1174"/>
      <c r="J34" s="1174"/>
      <c r="K34" s="1174"/>
      <c r="L34" s="1306"/>
      <c r="M34" s="1174"/>
      <c r="N34" s="1174"/>
      <c r="O34" s="1174"/>
      <c r="S34" s="24079" t="s">
        <v>652</v>
      </c>
      <c r="T34" s="24079"/>
      <c r="U34" s="1298"/>
      <c r="V34" s="24080" t="str">
        <f>IF(TITLE_DATE_PR_CHANGE="",IF(TITLE_DATE_PR="","",TITLE_DATE_PR),TITLE_DATE_PR_CHANGE)</f>
        <v>20.12.2024</v>
      </c>
      <c r="W34" s="24080"/>
      <c r="X34" s="24080"/>
      <c r="Y34" s="24080"/>
      <c r="Z34" s="24080"/>
      <c r="AA34" s="24080"/>
      <c r="AB34" s="24080"/>
      <c r="AC34" s="1561"/>
      <c r="AD34" s="24080" t="str">
        <f>IF(TITLE_DATE_PR_CHANGE="",IF(TITLE_DATE_PR="","",TITLE_DATE_PR),TITLE_DATE_PR_CHANGE)</f>
        <v>20.12.2024</v>
      </c>
      <c r="AE34" s="24080"/>
      <c r="AF34" s="24080"/>
      <c r="AG34" s="24080"/>
      <c r="AH34" s="24080"/>
      <c r="AI34" s="24080"/>
      <c r="AJ34" s="24080"/>
      <c r="AK34" s="1561"/>
      <c r="AL34" s="1561"/>
      <c r="AM34" s="216"/>
      <c r="AN34" s="304"/>
      <c r="AO34" s="304"/>
      <c r="AP34" s="304"/>
      <c r="AQ34" s="304"/>
      <c r="AR34" s="304"/>
      <c r="AS34" s="354">
        <v>0</v>
      </c>
    </row>
    <row r="35" spans="1:45" s="1750" customFormat="1" ht="18.75" hidden="1" customHeight="1">
      <c r="A35" s="1174"/>
      <c r="B35" s="1174"/>
      <c r="C35" s="1174"/>
      <c r="D35" s="1174"/>
      <c r="E35" s="1174"/>
      <c r="F35" s="1174"/>
      <c r="G35" s="1174"/>
      <c r="H35" s="1174"/>
      <c r="I35" s="1174"/>
      <c r="J35" s="1174"/>
      <c r="K35" s="1174"/>
      <c r="L35" s="1306"/>
      <c r="M35" s="1174"/>
      <c r="N35" s="1174"/>
      <c r="O35" s="1174"/>
      <c r="S35" s="24079" t="s">
        <v>653</v>
      </c>
      <c r="T35" s="24079"/>
      <c r="U35" s="1298"/>
      <c r="V35" s="24081" t="str">
        <f>IF(TITLE_NUMBER_PR_CHANGE="",IF(TITLE_NUMBER_PR="","",TITLE_NUMBER_PR),TITLE_NUMBER_PR_CHANGE)</f>
        <v>403, 404</v>
      </c>
      <c r="W35" s="24081"/>
      <c r="X35" s="24081"/>
      <c r="Y35" s="24081"/>
      <c r="Z35" s="24081"/>
      <c r="AA35" s="24081"/>
      <c r="AB35" s="24081"/>
      <c r="AC35" s="1561"/>
      <c r="AD35" s="24081" t="str">
        <f>IF(TITLE_NUMBER_PR_CHANGE="",IF(TITLE_NUMBER_PR="","",TITLE_NUMBER_PR),TITLE_NUMBER_PR_CHANGE)</f>
        <v>403, 404</v>
      </c>
      <c r="AE35" s="24081"/>
      <c r="AF35" s="24081"/>
      <c r="AG35" s="24081"/>
      <c r="AH35" s="24081"/>
      <c r="AI35" s="24081"/>
      <c r="AJ35" s="24081"/>
      <c r="AK35" s="1561"/>
      <c r="AL35" s="1561"/>
      <c r="AM35" s="216"/>
      <c r="AN35" s="304"/>
      <c r="AO35" s="304"/>
      <c r="AP35" s="304"/>
      <c r="AQ35" s="304"/>
      <c r="AR35" s="304"/>
      <c r="AS35" s="354">
        <v>0</v>
      </c>
    </row>
    <row r="36" spans="1:45" s="1750" customFormat="1" ht="0" hidden="1" customHeight="1">
      <c r="A36" s="1174"/>
      <c r="B36" s="1174"/>
      <c r="C36" s="1174"/>
      <c r="D36" s="1174"/>
      <c r="E36" s="1174"/>
      <c r="F36" s="1174"/>
      <c r="G36" s="1174"/>
      <c r="H36" s="1174"/>
      <c r="I36" s="1174"/>
      <c r="J36" s="1174"/>
      <c r="K36" s="1174"/>
      <c r="L36" s="1306"/>
      <c r="M36" s="1174"/>
      <c r="N36" s="1174"/>
      <c r="O36" s="1174"/>
      <c r="S36" s="1561"/>
      <c r="T36" s="1561"/>
      <c r="U36" s="1864"/>
      <c r="V36" s="1561"/>
      <c r="W36" s="1561"/>
      <c r="X36" s="1561"/>
      <c r="Y36" s="1561"/>
      <c r="Z36" s="1561"/>
      <c r="AA36" s="1561"/>
      <c r="AB36" s="1561"/>
      <c r="AC36" s="1568" t="s">
        <v>654</v>
      </c>
      <c r="AD36" s="1561"/>
      <c r="AE36" s="1561"/>
      <c r="AF36" s="1561"/>
      <c r="AG36" s="1561"/>
      <c r="AH36" s="1561"/>
      <c r="AI36" s="1561"/>
      <c r="AJ36" s="1561"/>
      <c r="AK36" s="1568" t="s">
        <v>654</v>
      </c>
      <c r="AN36" s="304"/>
      <c r="AO36" s="304"/>
      <c r="AP36" s="304"/>
      <c r="AQ36" s="304"/>
      <c r="AR36" s="304"/>
      <c r="AS36" s="354">
        <v>0</v>
      </c>
    </row>
    <row r="37" spans="1:45" ht="14.65" customHeight="1">
      <c r="Q37" s="312"/>
      <c r="R37" s="312"/>
      <c r="S37" s="1201"/>
      <c r="T37" s="393"/>
      <c r="U37" s="1170"/>
      <c r="V37" s="24100"/>
      <c r="W37" s="24100"/>
      <c r="X37" s="24100"/>
      <c r="Y37" s="24100"/>
      <c r="Z37" s="24100"/>
      <c r="AA37" s="24100"/>
      <c r="AB37" s="24100"/>
      <c r="AC37" s="24100"/>
      <c r="AD37" s="24100"/>
      <c r="AE37" s="24100"/>
      <c r="AF37" s="24100"/>
      <c r="AG37" s="24100"/>
      <c r="AH37" s="24100"/>
      <c r="AI37" s="24100"/>
      <c r="AJ37" s="24100"/>
      <c r="AK37" s="24100"/>
      <c r="AS37" s="1557">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557">
        <v>14</v>
      </c>
    </row>
    <row r="39" spans="1:45" ht="14.65" customHeight="1">
      <c r="Q39" s="312"/>
      <c r="R39" s="312"/>
      <c r="S39" s="24101" t="s">
        <v>79</v>
      </c>
      <c r="T39" s="24050" t="s">
        <v>655</v>
      </c>
      <c r="U39" s="273"/>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557">
        <v>14</v>
      </c>
    </row>
    <row r="40" spans="1:45" ht="35.65" customHeight="1">
      <c r="Q40" s="312"/>
      <c r="R40" s="312"/>
      <c r="S40" s="24101"/>
      <c r="T40" s="24050"/>
      <c r="U40" s="960"/>
      <c r="V40" s="24022" t="s">
        <v>660</v>
      </c>
      <c r="W40" s="24097" t="s">
        <v>661</v>
      </c>
      <c r="X40" s="23928" t="s">
        <v>662</v>
      </c>
      <c r="Y40" s="23927"/>
      <c r="Z40" s="23928" t="s">
        <v>675</v>
      </c>
      <c r="AA40" s="23933"/>
      <c r="AB40" s="23927"/>
      <c r="AC40" s="24106"/>
      <c r="AD40" s="24022" t="s">
        <v>660</v>
      </c>
      <c r="AE40" s="24097" t="s">
        <v>661</v>
      </c>
      <c r="AF40" s="23928" t="s">
        <v>662</v>
      </c>
      <c r="AG40" s="23927"/>
      <c r="AH40" s="23928" t="s">
        <v>663</v>
      </c>
      <c r="AI40" s="23933"/>
      <c r="AJ40" s="23927"/>
      <c r="AK40" s="24106"/>
      <c r="AL40" s="24109"/>
      <c r="AM40" s="23947"/>
      <c r="AS40" s="1557">
        <v>34</v>
      </c>
    </row>
    <row r="41" spans="1:45" ht="35.65" customHeight="1">
      <c r="A41" s="1192"/>
      <c r="B41" s="1192" t="s">
        <v>241</v>
      </c>
      <c r="C41" s="1192" t="s">
        <v>242</v>
      </c>
      <c r="D41" s="1192" t="s">
        <v>243</v>
      </c>
      <c r="E41" s="1236" t="s">
        <v>664</v>
      </c>
      <c r="F41" s="1236" t="s">
        <v>665</v>
      </c>
      <c r="G41" s="1236" t="s">
        <v>666</v>
      </c>
      <c r="H41" s="1236" t="s">
        <v>667</v>
      </c>
      <c r="I41" s="1236" t="s">
        <v>668</v>
      </c>
      <c r="J41" s="1236" t="s">
        <v>669</v>
      </c>
      <c r="K41" s="1236" t="s">
        <v>670</v>
      </c>
      <c r="L41" s="1236" t="s">
        <v>645</v>
      </c>
      <c r="Q41" s="312"/>
      <c r="R41" s="312"/>
      <c r="S41" s="24101"/>
      <c r="T41" s="24050"/>
      <c r="U41" s="238"/>
      <c r="V41" s="24074"/>
      <c r="W41" s="24098"/>
      <c r="X41" s="1832" t="s">
        <v>671</v>
      </c>
      <c r="Y41" s="1832" t="s">
        <v>672</v>
      </c>
      <c r="Z41" s="1832" t="s">
        <v>673</v>
      </c>
      <c r="AA41" s="24055" t="s">
        <v>674</v>
      </c>
      <c r="AB41" s="24068"/>
      <c r="AC41" s="24107"/>
      <c r="AD41" s="24074"/>
      <c r="AE41" s="24098"/>
      <c r="AF41" s="1832" t="s">
        <v>671</v>
      </c>
      <c r="AG41" s="1832" t="s">
        <v>672</v>
      </c>
      <c r="AH41" s="1832" t="s">
        <v>673</v>
      </c>
      <c r="AI41" s="24055" t="s">
        <v>674</v>
      </c>
      <c r="AJ41" s="24068"/>
      <c r="AK41" s="24107"/>
      <c r="AL41" s="24110"/>
      <c r="AM41" s="23947"/>
      <c r="AS41" s="1557">
        <v>34</v>
      </c>
    </row>
    <row r="42" spans="1:45" s="1567" customFormat="1" ht="11.25" hidden="1" customHeight="1">
      <c r="A42" s="1192"/>
      <c r="B42" s="1192"/>
      <c r="C42" s="1192"/>
      <c r="D42" s="1192"/>
      <c r="E42" s="1192"/>
      <c r="F42" s="1192"/>
      <c r="G42" s="1192"/>
      <c r="H42" s="1192"/>
      <c r="I42" s="1192"/>
      <c r="J42" s="1192"/>
      <c r="K42" s="1192"/>
      <c r="L42" s="1236"/>
      <c r="M42" s="1859"/>
      <c r="N42" s="1859"/>
      <c r="O42" s="1859"/>
      <c r="P42" s="1172"/>
      <c r="Q42" s="1173"/>
      <c r="R42" s="1180">
        <v>1</v>
      </c>
      <c r="S42" s="1203" t="s">
        <v>218</v>
      </c>
      <c r="T42" s="1181" t="s">
        <v>95</v>
      </c>
      <c r="U42" s="1171" t="str">
        <f ca="1">OFFSET(U42,0,-1)</f>
        <v>2</v>
      </c>
      <c r="V42" s="1850">
        <f ca="1">OFFSET(V42,0,-1)+1</f>
        <v>3</v>
      </c>
      <c r="W42" s="1850"/>
      <c r="X42" s="1850">
        <f ca="1">OFFSET(X42,0,-1)+1</f>
        <v>1</v>
      </c>
      <c r="Y42" s="1850">
        <f ca="1">OFFSET(Y42,0,-1)+1</f>
        <v>2</v>
      </c>
      <c r="Z42" s="1850">
        <f ca="1">OFFSET(Z42,0,-1)+1</f>
        <v>3</v>
      </c>
      <c r="AA42" s="24099">
        <f ca="1">OFFSET(AA42,0,-1)+1</f>
        <v>4</v>
      </c>
      <c r="AB42" s="24099"/>
      <c r="AC42" s="1850">
        <f ca="1">OFFSET(AC42,0,-2)+1</f>
        <v>5</v>
      </c>
      <c r="AD42" s="1850">
        <f ca="1">OFFSET(AD42,0,-1)+1</f>
        <v>6</v>
      </c>
      <c r="AE42" s="1850"/>
      <c r="AF42" s="1850">
        <f ca="1">OFFSET(AF42,0,-1)+1</f>
        <v>1</v>
      </c>
      <c r="AG42" s="1850">
        <f ca="1">OFFSET(AG42,0,-1)+1</f>
        <v>2</v>
      </c>
      <c r="AH42" s="1850">
        <f ca="1">OFFSET(AH42,0,-1)+1</f>
        <v>3</v>
      </c>
      <c r="AI42" s="24099">
        <f ca="1">OFFSET(AI42,0,-1)+1</f>
        <v>4</v>
      </c>
      <c r="AJ42" s="24099"/>
      <c r="AK42" s="1850">
        <f ca="1">OFFSET(AK42,0,-2)+1</f>
        <v>5</v>
      </c>
      <c r="AL42" s="1171">
        <f ca="1">OFFSET(AL42,0,-1)</f>
        <v>5</v>
      </c>
      <c r="AM42" s="1850">
        <f ca="1">OFFSET(AM42,0,-1)+1</f>
        <v>6</v>
      </c>
      <c r="AN42" s="1562"/>
      <c r="AO42" s="1562"/>
      <c r="AP42" s="1562"/>
      <c r="AQ42" s="1562"/>
      <c r="AR42" s="1562"/>
      <c r="AS42" s="1567">
        <v>0</v>
      </c>
    </row>
    <row r="43" spans="1:45" ht="21.95" customHeight="1">
      <c r="A43" s="1193" t="s">
        <v>310</v>
      </c>
      <c r="B43" s="1193"/>
      <c r="C43" s="1193"/>
      <c r="D43" s="1193"/>
      <c r="E43" s="24114">
        <v>1</v>
      </c>
      <c r="F43" s="1193"/>
      <c r="G43" s="1193"/>
      <c r="H43" s="1193"/>
      <c r="I43" s="1193"/>
      <c r="J43" s="1193"/>
      <c r="K43" s="1193"/>
      <c r="L43" s="1236"/>
      <c r="M43" s="1536"/>
      <c r="N43" s="1536"/>
      <c r="O43" s="1536"/>
      <c r="P43" s="1516"/>
      <c r="Q43" s="296"/>
      <c r="R43" s="291"/>
      <c r="S43" s="1852">
        <f>INDEX(PT_DIFFERENTIATION_NUM_NTAR,MATCH(A43,PT_DIFFERENTIATION_NTAR_ID,0))</f>
        <v>0</v>
      </c>
      <c r="T43" s="1451"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0"/>
      <c r="AP43" s="1550" t="str">
        <f t="shared" ref="AP43:AP57" si="1">IF(T43="","",T43)</f>
        <v>Наименование тарифа</v>
      </c>
      <c r="AQ43" s="1550"/>
      <c r="AR43" s="1550"/>
      <c r="AS43" s="1557">
        <v>21</v>
      </c>
    </row>
    <row r="44" spans="1:45" ht="21.95" customHeight="1">
      <c r="A44" s="1193" t="s">
        <v>310</v>
      </c>
      <c r="B44" s="1193" t="s">
        <v>311</v>
      </c>
      <c r="C44" s="1193"/>
      <c r="D44" s="1193"/>
      <c r="E44" s="24115"/>
      <c r="F44" s="24114">
        <v>1</v>
      </c>
      <c r="G44" s="1193"/>
      <c r="H44" s="1193"/>
      <c r="I44" s="1193"/>
      <c r="J44" s="1193"/>
      <c r="K44" s="1193"/>
      <c r="L44" s="1236"/>
      <c r="M44" s="1536"/>
      <c r="N44" s="1536"/>
      <c r="O44" s="1536"/>
      <c r="P44" s="1834"/>
      <c r="Q44" s="288"/>
      <c r="R44" s="289"/>
      <c r="S44" s="1852" t="str">
        <f>INDEX(PT_DIFFERENTIATION_NUM_TER,MATCH(B44,PT_DIFFERENTIATION_TER_ID,0))</f>
        <v>.</v>
      </c>
      <c r="T44" s="1448"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1550"/>
      <c r="AP44" s="1550" t="str">
        <f t="shared" si="1"/>
        <v>Территория действия тарифа</v>
      </c>
      <c r="AQ44" s="1550"/>
      <c r="AR44" s="1550"/>
      <c r="AS44" s="1557">
        <v>21</v>
      </c>
    </row>
    <row r="45" spans="1:45" ht="24" customHeight="1">
      <c r="A45" s="1193" t="s">
        <v>310</v>
      </c>
      <c r="B45" s="1193" t="s">
        <v>311</v>
      </c>
      <c r="C45" s="1193" t="s">
        <v>312</v>
      </c>
      <c r="D45" s="1193"/>
      <c r="E45" s="24115"/>
      <c r="F45" s="24115"/>
      <c r="G45" s="24114">
        <v>1</v>
      </c>
      <c r="H45" s="1193"/>
      <c r="I45" s="1193"/>
      <c r="J45" s="1193"/>
      <c r="K45" s="1193"/>
      <c r="L45" s="1236"/>
      <c r="M45" s="1536"/>
      <c r="N45" s="1536"/>
      <c r="O45" s="1536"/>
      <c r="P45" s="290"/>
      <c r="Q45" s="288"/>
      <c r="R45" s="289"/>
      <c r="S45" s="185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1550"/>
      <c r="AP45" s="1550" t="str">
        <f t="shared" si="1"/>
        <v xml:space="preserve">Наименование системы теплоснабжения </v>
      </c>
      <c r="AQ45" s="1550"/>
      <c r="AR45" s="1550"/>
      <c r="AS45" s="1557">
        <v>23</v>
      </c>
    </row>
    <row r="46" spans="1:45" ht="21.95" customHeight="1">
      <c r="A46" s="1193" t="s">
        <v>310</v>
      </c>
      <c r="B46" s="1193" t="s">
        <v>311</v>
      </c>
      <c r="C46" s="1193" t="s">
        <v>312</v>
      </c>
      <c r="D46" s="1193" t="s">
        <v>313</v>
      </c>
      <c r="E46" s="24115"/>
      <c r="F46" s="24115"/>
      <c r="G46" s="24115"/>
      <c r="H46" s="24114">
        <v>1</v>
      </c>
      <c r="I46" s="1193"/>
      <c r="J46" s="1193"/>
      <c r="K46" s="1193"/>
      <c r="L46" s="1236"/>
      <c r="M46" s="1536"/>
      <c r="N46" s="1536"/>
      <c r="O46" s="1536"/>
      <c r="P46" s="290"/>
      <c r="Q46" s="288"/>
      <c r="R46" s="289"/>
      <c r="S46" s="185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1550"/>
      <c r="AP46" s="1550" t="str">
        <f t="shared" si="1"/>
        <v xml:space="preserve">Источник тепловой энергии  </v>
      </c>
      <c r="AQ46" s="1550"/>
      <c r="AR46" s="1550"/>
      <c r="AS46" s="1557">
        <v>21</v>
      </c>
    </row>
    <row r="47" spans="1:45" ht="49.5" customHeight="1">
      <c r="A47" s="1193" t="s">
        <v>310</v>
      </c>
      <c r="B47" s="1193" t="s">
        <v>311</v>
      </c>
      <c r="C47" s="1193" t="s">
        <v>312</v>
      </c>
      <c r="D47" s="1193" t="s">
        <v>313</v>
      </c>
      <c r="E47" s="24115"/>
      <c r="F47" s="24115"/>
      <c r="G47" s="24115"/>
      <c r="H47" s="24115"/>
      <c r="I47" s="23947" t="str">
        <f>S46&amp;".1"</f>
        <v>....1</v>
      </c>
      <c r="J47" s="1193"/>
      <c r="K47" s="1193"/>
      <c r="L47" s="1236" t="s">
        <v>632</v>
      </c>
      <c r="P47" s="24092">
        <v>1</v>
      </c>
      <c r="Q47" s="1848"/>
      <c r="R47" s="292"/>
      <c r="S47" s="1852" t="str">
        <f>$I47</f>
        <v>....1</v>
      </c>
      <c r="T47" s="221" t="s">
        <v>633</v>
      </c>
      <c r="U47" s="236"/>
      <c r="V47" s="24076"/>
      <c r="W47" s="24077"/>
      <c r="X47" s="24077"/>
      <c r="Y47" s="24077"/>
      <c r="Z47" s="24077"/>
      <c r="AA47" s="24077"/>
      <c r="AB47" s="24077"/>
      <c r="AC47" s="24078"/>
      <c r="AD47" s="24076"/>
      <c r="AE47" s="24077"/>
      <c r="AF47" s="24077"/>
      <c r="AG47" s="24077"/>
      <c r="AH47" s="24077"/>
      <c r="AI47" s="24077"/>
      <c r="AJ47" s="24077"/>
      <c r="AK47" s="24077"/>
      <c r="AL47" s="24078"/>
      <c r="AM47" s="1184" t="s">
        <v>634</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310</v>
      </c>
      <c r="B48" s="1193" t="s">
        <v>311</v>
      </c>
      <c r="C48" s="1193" t="s">
        <v>312</v>
      </c>
      <c r="D48" s="1193" t="s">
        <v>313</v>
      </c>
      <c r="E48" s="24115"/>
      <c r="F48" s="24115"/>
      <c r="G48" s="24115"/>
      <c r="H48" s="24115"/>
      <c r="I48" s="23928"/>
      <c r="J48" s="23947" t="str">
        <f>I47&amp;".1"</f>
        <v>....1.1</v>
      </c>
      <c r="K48" s="1193"/>
      <c r="L48" s="1236" t="s">
        <v>635</v>
      </c>
      <c r="P48" s="24092"/>
      <c r="Q48" s="24092">
        <v>1</v>
      </c>
      <c r="R48" s="293"/>
      <c r="S48" s="1852" t="str">
        <f>$J48</f>
        <v>....1.1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1550"/>
      <c r="AP48" s="1550" t="str">
        <f t="shared" si="1"/>
        <v>Группа потребителей</v>
      </c>
      <c r="AQ48" s="1550"/>
      <c r="AR48" s="1550"/>
      <c r="AS48" s="1557">
        <v>21</v>
      </c>
    </row>
    <row r="49" spans="1:45" ht="21.95" customHeight="1">
      <c r="A49" s="1193" t="s">
        <v>310</v>
      </c>
      <c r="B49" s="1193" t="s">
        <v>311</v>
      </c>
      <c r="C49" s="1193" t="s">
        <v>312</v>
      </c>
      <c r="D49" s="1193" t="s">
        <v>313</v>
      </c>
      <c r="E49" s="24115"/>
      <c r="F49" s="24115"/>
      <c r="G49" s="24115"/>
      <c r="H49" s="24115"/>
      <c r="I49" s="23928"/>
      <c r="J49" s="23928"/>
      <c r="K49" s="23947" t="str">
        <f>J48&amp;".1"</f>
        <v>....1.1.1</v>
      </c>
      <c r="L49" s="1236" t="s">
        <v>638</v>
      </c>
      <c r="P49" s="24092"/>
      <c r="Q49" s="24092"/>
      <c r="R49" s="293">
        <v>1</v>
      </c>
      <c r="S49" s="1852" t="str">
        <f>$K49</f>
        <v>....1.1.1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639</v>
      </c>
      <c r="AN49" s="1562" t="e">
        <f ca="1">STRCHECKDATE(V50:AL50)</f>
        <v>#NAME?</v>
      </c>
      <c r="AO49" s="1550"/>
      <c r="AP49" s="1550" t="str">
        <f t="shared" si="1"/>
        <v/>
      </c>
      <c r="AQ49" s="1550"/>
      <c r="AR49" s="1550"/>
      <c r="AS49" s="1557">
        <v>21</v>
      </c>
    </row>
    <row r="50" spans="1:45" ht="1.1499999999999999" customHeight="1">
      <c r="A50" s="1193" t="s">
        <v>310</v>
      </c>
      <c r="B50" s="1193" t="s">
        <v>311</v>
      </c>
      <c r="C50" s="1193" t="s">
        <v>312</v>
      </c>
      <c r="D50" s="1193" t="s">
        <v>313</v>
      </c>
      <c r="E50" s="24115"/>
      <c r="F50" s="24115"/>
      <c r="G50" s="24115"/>
      <c r="H50" s="24115"/>
      <c r="I50" s="23928"/>
      <c r="J50" s="23928"/>
      <c r="K50" s="23947"/>
      <c r="L50" s="1236"/>
      <c r="P50" s="24092"/>
      <c r="Q50" s="24092"/>
      <c r="R50" s="293"/>
      <c r="S50" s="1861"/>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1550"/>
      <c r="AP50" s="1550" t="str">
        <f t="shared" si="1"/>
        <v/>
      </c>
      <c r="AQ50" s="1550"/>
      <c r="AR50" s="1550"/>
      <c r="AS50" s="1557">
        <v>1</v>
      </c>
    </row>
    <row r="51" spans="1:45" ht="11.45" customHeight="1">
      <c r="A51" s="1193" t="s">
        <v>310</v>
      </c>
      <c r="B51" s="1193" t="s">
        <v>311</v>
      </c>
      <c r="C51" s="1193" t="s">
        <v>312</v>
      </c>
      <c r="D51" s="1193" t="s">
        <v>313</v>
      </c>
      <c r="E51" s="24115"/>
      <c r="F51" s="24115"/>
      <c r="G51" s="24115"/>
      <c r="H51" s="24115"/>
      <c r="I51" s="23928"/>
      <c r="J51" s="23947"/>
      <c r="K51" s="1193"/>
      <c r="L51" s="1236"/>
      <c r="P51" s="24092"/>
      <c r="Q51" s="24092"/>
      <c r="R51" s="292"/>
      <c r="S51" s="1204"/>
      <c r="T51" s="224" t="s">
        <v>640</v>
      </c>
      <c r="U51" s="536"/>
      <c r="V51" s="536"/>
      <c r="W51" s="536"/>
      <c r="X51" s="536"/>
      <c r="Y51" s="536"/>
      <c r="Z51" s="536"/>
      <c r="AA51" s="536"/>
      <c r="AB51" s="536"/>
      <c r="AC51" s="536"/>
      <c r="AD51" s="536"/>
      <c r="AE51" s="536"/>
      <c r="AF51" s="536"/>
      <c r="AG51" s="536"/>
      <c r="AH51" s="536"/>
      <c r="AI51" s="536"/>
      <c r="AJ51" s="536"/>
      <c r="AK51" s="536"/>
      <c r="AL51" s="260"/>
      <c r="AM51" s="24113"/>
      <c r="AO51" s="1550"/>
      <c r="AP51" s="1550" t="str">
        <f t="shared" si="1"/>
        <v>Добавить вид теплоносителя (параметры теплоносителя)</v>
      </c>
      <c r="AQ51" s="1550"/>
      <c r="AR51" s="1550"/>
      <c r="AS51" s="1557">
        <v>11</v>
      </c>
    </row>
    <row r="52" spans="1:45" ht="11.45" customHeight="1">
      <c r="A52" s="1193" t="s">
        <v>310</v>
      </c>
      <c r="B52" s="1193" t="s">
        <v>311</v>
      </c>
      <c r="C52" s="1193" t="s">
        <v>312</v>
      </c>
      <c r="D52" s="1193" t="s">
        <v>313</v>
      </c>
      <c r="E52" s="24115"/>
      <c r="F52" s="24115"/>
      <c r="G52" s="24115"/>
      <c r="H52" s="24115"/>
      <c r="I52" s="23947"/>
      <c r="J52" s="1193"/>
      <c r="K52" s="1193"/>
      <c r="L52" s="1236"/>
      <c r="P52" s="24092"/>
      <c r="Q52" s="1848"/>
      <c r="R52" s="292"/>
      <c r="S52" s="1204"/>
      <c r="T52" s="223" t="s">
        <v>641</v>
      </c>
      <c r="U52" s="536"/>
      <c r="V52" s="536"/>
      <c r="W52" s="536"/>
      <c r="X52" s="536"/>
      <c r="Y52" s="536"/>
      <c r="Z52" s="536"/>
      <c r="AA52" s="536"/>
      <c r="AB52" s="536"/>
      <c r="AC52" s="302"/>
      <c r="AD52" s="536"/>
      <c r="AE52" s="536"/>
      <c r="AF52" s="536"/>
      <c r="AG52" s="536"/>
      <c r="AH52" s="536"/>
      <c r="AI52" s="536"/>
      <c r="AJ52" s="536"/>
      <c r="AK52" s="302"/>
      <c r="AL52" s="536"/>
      <c r="AM52" s="239"/>
      <c r="AO52" s="1550"/>
      <c r="AP52" s="1550" t="str">
        <f t="shared" si="1"/>
        <v>Добавить группу потребителей</v>
      </c>
      <c r="AQ52" s="1550"/>
      <c r="AR52" s="1550"/>
      <c r="AS52" s="1557">
        <v>11</v>
      </c>
    </row>
    <row r="53" spans="1:45" ht="14.65" customHeight="1">
      <c r="A53" s="1193" t="s">
        <v>310</v>
      </c>
      <c r="B53" s="1193" t="s">
        <v>311</v>
      </c>
      <c r="C53" s="1193" t="s">
        <v>312</v>
      </c>
      <c r="D53" s="1193" t="s">
        <v>313</v>
      </c>
      <c r="E53" s="24115"/>
      <c r="F53" s="24115"/>
      <c r="G53" s="24115"/>
      <c r="H53" s="24114"/>
      <c r="I53" s="1193"/>
      <c r="J53" s="1193"/>
      <c r="K53" s="1193"/>
      <c r="L53" s="1236"/>
      <c r="M53" s="1536"/>
      <c r="N53" s="1536"/>
      <c r="O53" s="1561"/>
      <c r="P53" s="296"/>
      <c r="Q53" s="311"/>
      <c r="R53" s="291"/>
      <c r="S53" s="1204"/>
      <c r="T53" s="301" t="s">
        <v>642</v>
      </c>
      <c r="U53" s="536"/>
      <c r="V53" s="536"/>
      <c r="W53" s="536"/>
      <c r="X53" s="536"/>
      <c r="Y53" s="536"/>
      <c r="Z53" s="536"/>
      <c r="AA53" s="536"/>
      <c r="AB53" s="536"/>
      <c r="AC53" s="302"/>
      <c r="AD53" s="536"/>
      <c r="AE53" s="536"/>
      <c r="AF53" s="536"/>
      <c r="AG53" s="536"/>
      <c r="AH53" s="536"/>
      <c r="AI53" s="536"/>
      <c r="AJ53" s="536"/>
      <c r="AK53" s="302"/>
      <c r="AL53" s="536"/>
      <c r="AM53" s="239"/>
      <c r="AO53" s="1550"/>
      <c r="AP53" s="1550" t="str">
        <f t="shared" si="1"/>
        <v>Добавить схему подключения</v>
      </c>
      <c r="AQ53" s="1550"/>
      <c r="AR53" s="1550"/>
      <c r="AS53" s="1557">
        <v>14</v>
      </c>
    </row>
    <row r="54" spans="1:45" s="1568" customFormat="1" ht="1.1499999999999999" customHeight="1">
      <c r="A54" s="1193" t="s">
        <v>310</v>
      </c>
      <c r="B54" s="1193" t="s">
        <v>311</v>
      </c>
      <c r="C54" s="1193" t="s">
        <v>312</v>
      </c>
      <c r="D54" s="1868"/>
      <c r="E54" s="24115"/>
      <c r="F54" s="24115"/>
      <c r="G54" s="24114"/>
      <c r="H54" s="1868"/>
      <c r="I54" s="1868"/>
      <c r="J54" s="1868"/>
      <c r="K54" s="1868"/>
      <c r="L54" s="1306"/>
      <c r="M54" s="1536"/>
      <c r="N54" s="1536"/>
      <c r="O54" s="156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310</v>
      </c>
      <c r="B55" s="1193" t="s">
        <v>311</v>
      </c>
      <c r="C55" s="1868"/>
      <c r="D55" s="1868"/>
      <c r="E55" s="24115"/>
      <c r="F55" s="24114"/>
      <c r="G55" s="1868"/>
      <c r="H55" s="1868"/>
      <c r="I55" s="1868"/>
      <c r="J55" s="1868"/>
      <c r="K55" s="1868"/>
      <c r="L55" s="1306"/>
      <c r="M55" s="1869"/>
      <c r="N55" s="1869"/>
      <c r="O55" s="1561"/>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310</v>
      </c>
      <c r="B56" s="1193"/>
      <c r="C56" s="1193"/>
      <c r="D56" s="1193"/>
      <c r="E56" s="24114"/>
      <c r="F56" s="1193"/>
      <c r="G56" s="1193"/>
      <c r="H56" s="1193"/>
      <c r="I56" s="1193"/>
      <c r="J56" s="1193"/>
      <c r="K56" s="1193"/>
      <c r="L56" s="1236"/>
      <c r="M56" s="1869"/>
      <c r="N56" s="1869"/>
      <c r="O56" s="1561"/>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68"/>
      <c r="B57" s="1868"/>
      <c r="C57" s="1868"/>
      <c r="D57" s="1868"/>
      <c r="E57" s="1193"/>
      <c r="F57" s="1868"/>
      <c r="G57" s="1868"/>
      <c r="H57" s="1868"/>
      <c r="I57" s="1868"/>
      <c r="J57" s="1868"/>
      <c r="K57" s="1868"/>
      <c r="L57" s="1306"/>
      <c r="M57" s="1869"/>
      <c r="N57" s="1869"/>
      <c r="O57" s="1561"/>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557">
        <v>27</v>
      </c>
    </row>
    <row r="60" spans="1:45" ht="65.25" customHeight="1">
      <c r="O60" s="1561"/>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557">
        <v>62</v>
      </c>
    </row>
    <row r="61" spans="1:45" ht="14.65" customHeight="1">
      <c r="O61" s="1561"/>
      <c r="AS61" s="1557">
        <v>14</v>
      </c>
    </row>
    <row r="62" spans="1:45" ht="18.75" customHeight="1">
      <c r="O62" s="1561"/>
      <c r="S62" s="1179"/>
      <c r="T62" s="24087"/>
      <c r="U62" s="24087"/>
      <c r="V62" s="24087"/>
      <c r="W62" s="24087"/>
      <c r="X62" s="24087"/>
      <c r="Y62" s="24087"/>
      <c r="Z62" s="24087"/>
      <c r="AA62" s="24087"/>
      <c r="AB62" s="24087"/>
      <c r="AC62" s="24087"/>
      <c r="AD62" s="24087"/>
      <c r="AE62" s="24087"/>
      <c r="AF62" s="24087"/>
      <c r="AG62" s="24087"/>
      <c r="AH62" s="24087"/>
      <c r="AI62" s="24087"/>
      <c r="AJ62" s="24087"/>
      <c r="AK62" s="24087"/>
      <c r="AL62" s="24087"/>
      <c r="AM62" s="24087"/>
      <c r="AS62" s="1557">
        <v>18</v>
      </c>
    </row>
    <row r="63" spans="1:45" ht="18.75" customHeight="1">
      <c r="O63" s="1561"/>
      <c r="T63" s="24087"/>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557">
        <v>18</v>
      </c>
    </row>
    <row r="64" spans="1:45" ht="29.25" customHeight="1">
      <c r="O64" s="1561"/>
      <c r="S64" s="1179"/>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557">
        <v>28</v>
      </c>
    </row>
    <row r="65" spans="1:45" ht="22.5" hidden="1" customHeight="1">
      <c r="A65" s="1557" t="s">
        <v>73</v>
      </c>
      <c r="B65" s="1557">
        <v>0</v>
      </c>
      <c r="C65" s="1557">
        <v>0</v>
      </c>
      <c r="D65" s="1557">
        <v>0</v>
      </c>
      <c r="E65" s="1557">
        <v>0</v>
      </c>
      <c r="F65" s="1557">
        <v>0</v>
      </c>
      <c r="G65" s="1557">
        <v>0</v>
      </c>
      <c r="H65" s="1557">
        <v>0</v>
      </c>
      <c r="I65" s="1557">
        <v>0</v>
      </c>
      <c r="J65" s="1557">
        <v>0</v>
      </c>
      <c r="K65" s="1557">
        <v>0</v>
      </c>
      <c r="L65" s="1833">
        <v>0</v>
      </c>
      <c r="M65" s="1859">
        <v>0</v>
      </c>
      <c r="N65" s="1859">
        <v>0</v>
      </c>
      <c r="O65" s="1859">
        <v>0</v>
      </c>
      <c r="P65" s="1859">
        <v>3</v>
      </c>
      <c r="Q65" s="280">
        <v>3</v>
      </c>
      <c r="R65" s="280">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v>
      </c>
    </row>
    <row r="2" spans="1:45" ht="21" hidden="1" customHeight="1">
      <c r="A2" s="1289"/>
      <c r="B2" s="1289"/>
      <c r="C2" s="1289"/>
      <c r="D2" s="1289"/>
      <c r="E2" s="24088">
        <v>1</v>
      </c>
      <c r="F2" s="1289"/>
      <c r="G2" s="1289"/>
      <c r="H2" s="1289"/>
      <c r="I2" s="1289"/>
      <c r="J2" s="1289"/>
      <c r="K2" s="1289"/>
      <c r="L2" s="1290"/>
      <c r="M2" s="1291"/>
      <c r="N2" s="1291"/>
      <c r="O2" s="1291"/>
      <c r="P2" s="297"/>
      <c r="Q2" s="296"/>
      <c r="R2" s="291"/>
      <c r="S2" s="1262" t="e">
        <f>INDEX(PT_DIFFERENTIATION_NUM_NTAR,MATCH(A2,PT_DIFFERENTIATION_NTAR_ID,0))</f>
        <v>#N/A</v>
      </c>
      <c r="T2" s="234"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436"/>
      <c r="AP2" s="436" t="str">
        <f t="shared" ref="AP2:AP15" si="0">IF(T2="","",T2)</f>
        <v>Наименование тарифа</v>
      </c>
      <c r="AQ2" s="436"/>
      <c r="AR2" s="436"/>
      <c r="AS2" s="1081">
        <v>0</v>
      </c>
    </row>
    <row r="3" spans="1:45" ht="21" hidden="1" customHeight="1">
      <c r="A3" s="1289"/>
      <c r="B3" s="1289"/>
      <c r="C3" s="1289"/>
      <c r="D3" s="1289"/>
      <c r="E3" s="24089"/>
      <c r="F3" s="24088">
        <v>1</v>
      </c>
      <c r="G3" s="1289"/>
      <c r="H3" s="1289"/>
      <c r="I3" s="1289"/>
      <c r="J3" s="1289"/>
      <c r="K3" s="1289"/>
      <c r="L3" s="1290"/>
      <c r="M3" s="1291"/>
      <c r="N3" s="1291"/>
      <c r="O3" s="1291"/>
      <c r="P3" s="1258"/>
      <c r="Q3" s="288"/>
      <c r="R3" s="289"/>
      <c r="S3" s="1262" t="e">
        <f>INDEX(PT_DIFFERENTIATION_NUM_TER,MATCH(B3,PT_DIFFERENTIATION_TER_ID,0))</f>
        <v>#N/A</v>
      </c>
      <c r="T3" s="244"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436"/>
      <c r="AP3" s="436" t="str">
        <f t="shared" si="0"/>
        <v>Территория действия тарифа</v>
      </c>
      <c r="AQ3" s="436"/>
      <c r="AR3" s="436"/>
      <c r="AS3" s="1081">
        <v>0</v>
      </c>
    </row>
    <row r="4" spans="1:45" ht="23.25" hidden="1" customHeight="1">
      <c r="A4" s="1289"/>
      <c r="B4" s="1289"/>
      <c r="C4" s="1289"/>
      <c r="D4" s="1289"/>
      <c r="E4" s="24089"/>
      <c r="F4" s="24089"/>
      <c r="G4" s="24088">
        <v>1</v>
      </c>
      <c r="H4" s="1289"/>
      <c r="I4" s="1289"/>
      <c r="J4" s="1289"/>
      <c r="K4" s="1289"/>
      <c r="L4" s="1290"/>
      <c r="M4" s="1291"/>
      <c r="N4" s="1291"/>
      <c r="O4" s="1291"/>
      <c r="P4" s="290"/>
      <c r="Q4" s="288"/>
      <c r="R4" s="289"/>
      <c r="S4" s="1262"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089"/>
      <c r="F5" s="24089"/>
      <c r="G5" s="24089"/>
      <c r="H5" s="24088">
        <v>1</v>
      </c>
      <c r="I5" s="1289"/>
      <c r="J5" s="1289"/>
      <c r="K5" s="1289"/>
      <c r="L5" s="1290"/>
      <c r="M5" s="1291"/>
      <c r="N5" s="1291"/>
      <c r="O5" s="1291"/>
      <c r="P5" s="290"/>
      <c r="Q5" s="288"/>
      <c r="R5" s="289"/>
      <c r="S5" s="1262"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436"/>
      <c r="AP5" s="436" t="str">
        <f t="shared" si="0"/>
        <v xml:space="preserve">Источник тепловой энергии  </v>
      </c>
      <c r="AQ5" s="436"/>
      <c r="AR5" s="436"/>
      <c r="AS5" s="1081">
        <v>0</v>
      </c>
    </row>
    <row r="6" spans="1:45" ht="47.25" hidden="1" customHeight="1">
      <c r="A6" s="1289"/>
      <c r="B6" s="1289"/>
      <c r="C6" s="1289"/>
      <c r="D6" s="1289"/>
      <c r="E6" s="24089"/>
      <c r="F6" s="24089"/>
      <c r="G6" s="24089"/>
      <c r="H6" s="24089"/>
      <c r="I6" s="24090" t="e">
        <f>S5&amp;".1"</f>
        <v>#N/A</v>
      </c>
      <c r="J6" s="1289"/>
      <c r="K6" s="1289"/>
      <c r="L6" s="1290" t="s">
        <v>632</v>
      </c>
      <c r="M6" s="473"/>
      <c r="P6" s="24092">
        <v>1</v>
      </c>
      <c r="Q6" s="1257"/>
      <c r="R6" s="292"/>
      <c r="S6" s="1262" t="e">
        <f>$I6</f>
        <v>#N/A</v>
      </c>
      <c r="T6" s="221" t="s">
        <v>633</v>
      </c>
      <c r="U6" s="236"/>
      <c r="V6" s="24076"/>
      <c r="W6" s="24077"/>
      <c r="X6" s="24077"/>
      <c r="Y6" s="24077"/>
      <c r="Z6" s="24077"/>
      <c r="AA6" s="24077"/>
      <c r="AB6" s="24077"/>
      <c r="AC6" s="24078"/>
      <c r="AD6" s="24076"/>
      <c r="AE6" s="24077"/>
      <c r="AF6" s="24077"/>
      <c r="AG6" s="24077"/>
      <c r="AH6" s="24077"/>
      <c r="AI6" s="24077"/>
      <c r="AJ6" s="24077"/>
      <c r="AK6" s="24077"/>
      <c r="AL6" s="24078"/>
      <c r="AM6" s="1184" t="s">
        <v>634</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4089"/>
      <c r="F7" s="24089"/>
      <c r="G7" s="24089"/>
      <c r="H7" s="24089"/>
      <c r="I7" s="24091"/>
      <c r="J7" s="24090" t="e">
        <f>I6&amp;".1"</f>
        <v>#N/A</v>
      </c>
      <c r="K7" s="1289"/>
      <c r="L7" s="1290" t="s">
        <v>635</v>
      </c>
      <c r="M7" s="473"/>
      <c r="N7" s="1292"/>
      <c r="P7" s="24092"/>
      <c r="Q7" s="24092">
        <v>1</v>
      </c>
      <c r="R7" s="293"/>
      <c r="S7" s="1262"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436"/>
      <c r="AP7" s="436" t="str">
        <f t="shared" si="0"/>
        <v>Группа потребителей</v>
      </c>
      <c r="AQ7" s="436"/>
      <c r="AR7" s="436"/>
      <c r="AS7" s="1081">
        <v>0</v>
      </c>
    </row>
    <row r="8" spans="1:45" ht="21" hidden="1" customHeight="1">
      <c r="A8" s="1289"/>
      <c r="B8" s="1289"/>
      <c r="C8" s="1289"/>
      <c r="D8" s="1289"/>
      <c r="E8" s="24089"/>
      <c r="F8" s="24089"/>
      <c r="G8" s="24089"/>
      <c r="H8" s="24089"/>
      <c r="I8" s="24091"/>
      <c r="J8" s="24091"/>
      <c r="K8" s="24090" t="e">
        <f>J7&amp;".1"</f>
        <v>#N/A</v>
      </c>
      <c r="L8" s="1290" t="s">
        <v>638</v>
      </c>
      <c r="M8" s="473"/>
      <c r="N8" s="1292"/>
      <c r="O8" s="1292"/>
      <c r="P8" s="24092"/>
      <c r="Q8" s="24092"/>
      <c r="R8" s="293">
        <v>1</v>
      </c>
      <c r="S8" s="1262" t="e">
        <f>$K8</f>
        <v>#N/A</v>
      </c>
      <c r="T8" s="1273"/>
      <c r="U8" s="236"/>
      <c r="V8" s="261"/>
      <c r="W8" s="687"/>
      <c r="X8" s="261"/>
      <c r="Y8" s="320"/>
      <c r="Z8" s="24093"/>
      <c r="AA8" s="23957" t="s">
        <v>59</v>
      </c>
      <c r="AB8" s="24093"/>
      <c r="AC8" s="23957" t="s">
        <v>59</v>
      </c>
      <c r="AD8" s="261"/>
      <c r="AE8" s="687"/>
      <c r="AF8" s="261"/>
      <c r="AG8" s="320"/>
      <c r="AH8" s="24093"/>
      <c r="AI8" s="23957" t="s">
        <v>59</v>
      </c>
      <c r="AJ8" s="24093"/>
      <c r="AK8" s="23957" t="s">
        <v>59</v>
      </c>
      <c r="AL8" s="261"/>
      <c r="AM8" s="24111" t="s">
        <v>639</v>
      </c>
      <c r="AN8" s="447" t="e">
        <f ca="1">STRCHECKDATE(V9:AL9)</f>
        <v>#NAME?</v>
      </c>
      <c r="AO8" s="436"/>
      <c r="AP8" s="436" t="str">
        <f t="shared" si="0"/>
        <v/>
      </c>
      <c r="AQ8" s="436"/>
      <c r="AR8" s="436"/>
      <c r="AS8" s="1081">
        <v>0</v>
      </c>
    </row>
    <row r="9" spans="1:45" ht="0.75" hidden="1" customHeight="1">
      <c r="A9" s="1289"/>
      <c r="B9" s="1289"/>
      <c r="C9" s="1289"/>
      <c r="D9" s="1289"/>
      <c r="E9" s="24089"/>
      <c r="F9" s="24089"/>
      <c r="G9" s="24089"/>
      <c r="H9" s="24089"/>
      <c r="I9" s="24091"/>
      <c r="J9" s="24091"/>
      <c r="K9" s="24090"/>
      <c r="L9" s="1290"/>
      <c r="M9" s="473"/>
      <c r="N9" s="1292"/>
      <c r="O9" s="1292"/>
      <c r="P9" s="24092"/>
      <c r="Q9" s="24092"/>
      <c r="R9" s="293"/>
      <c r="S9" s="1268"/>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436"/>
      <c r="AP9" s="436" t="str">
        <f t="shared" si="0"/>
        <v/>
      </c>
      <c r="AQ9" s="436"/>
      <c r="AR9" s="436"/>
      <c r="AS9" s="1081">
        <v>0</v>
      </c>
    </row>
    <row r="10" spans="1:45" ht="15" hidden="1" customHeight="1">
      <c r="A10" s="1289"/>
      <c r="B10" s="1289"/>
      <c r="C10" s="1289"/>
      <c r="D10" s="1289"/>
      <c r="E10" s="24089"/>
      <c r="F10" s="24089"/>
      <c r="G10" s="24089"/>
      <c r="H10" s="24089"/>
      <c r="I10" s="24091"/>
      <c r="J10" s="24090"/>
      <c r="K10" s="1289"/>
      <c r="L10" s="1290"/>
      <c r="M10" s="473"/>
      <c r="N10" s="1292"/>
      <c r="P10" s="24092"/>
      <c r="Q10" s="24092"/>
      <c r="R10" s="292"/>
      <c r="S10" s="1204"/>
      <c r="T10" s="224" t="s">
        <v>640</v>
      </c>
      <c r="U10" s="303"/>
      <c r="V10" s="303"/>
      <c r="W10" s="303"/>
      <c r="X10" s="303"/>
      <c r="Y10" s="303"/>
      <c r="Z10" s="303"/>
      <c r="AA10" s="303"/>
      <c r="AB10" s="303"/>
      <c r="AC10" s="303"/>
      <c r="AD10" s="303"/>
      <c r="AE10" s="303"/>
      <c r="AF10" s="303"/>
      <c r="AG10" s="303"/>
      <c r="AH10" s="303"/>
      <c r="AI10" s="303"/>
      <c r="AJ10" s="303"/>
      <c r="AK10" s="303"/>
      <c r="AL10" s="260"/>
      <c r="AM10" s="241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089"/>
      <c r="F11" s="24089"/>
      <c r="G11" s="24089"/>
      <c r="H11" s="24089"/>
      <c r="I11" s="24090"/>
      <c r="J11" s="1289"/>
      <c r="K11" s="1289"/>
      <c r="L11" s="1290"/>
      <c r="M11" s="473"/>
      <c r="P11" s="24092"/>
      <c r="Q11" s="1257"/>
      <c r="R11" s="292"/>
      <c r="S11" s="1204"/>
      <c r="T11" s="223" t="s">
        <v>641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4089"/>
      <c r="F12" s="24089"/>
      <c r="G12" s="24089"/>
      <c r="H12" s="24088"/>
      <c r="I12" s="1289"/>
      <c r="J12" s="1289"/>
      <c r="K12" s="1289"/>
      <c r="L12" s="1290"/>
      <c r="M12" s="1291"/>
      <c r="N12" s="1291"/>
      <c r="O12" s="473"/>
      <c r="P12" s="296"/>
      <c r="Q12" s="311"/>
      <c r="R12" s="291"/>
      <c r="S12" s="1204"/>
      <c r="T12" s="301" t="s">
        <v>642</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81">
        <v>0</v>
      </c>
    </row>
    <row r="13" spans="1:45" s="1568" customFormat="1" ht="0.75" hidden="1" customHeight="1">
      <c r="A13" s="1240"/>
      <c r="B13" s="1240"/>
      <c r="C13" s="1240"/>
      <c r="D13" s="1240"/>
      <c r="E13" s="24089"/>
      <c r="F13" s="24089"/>
      <c r="G13" s="24088"/>
      <c r="H13" s="1240"/>
      <c r="I13" s="1240"/>
      <c r="J13" s="1240"/>
      <c r="K13" s="1240"/>
      <c r="L13" s="1265"/>
      <c r="M13" s="1241"/>
      <c r="N13" s="124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089"/>
      <c r="F14" s="24088"/>
      <c r="G14" s="1240"/>
      <c r="H14" s="1240"/>
      <c r="I14" s="1240"/>
      <c r="J14" s="1240"/>
      <c r="K14" s="1240"/>
      <c r="L14" s="1265"/>
      <c r="M14" s="1247"/>
      <c r="N14" s="124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088"/>
      <c r="F15" s="1240"/>
      <c r="G15" s="1240"/>
      <c r="H15" s="1240"/>
      <c r="I15" s="1240"/>
      <c r="J15" s="1240"/>
      <c r="K15" s="1240"/>
      <c r="L15" s="1265"/>
      <c r="M15" s="1247"/>
      <c r="N15" s="124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4086"/>
      <c r="AI17" s="24085" t="s">
        <v>59</v>
      </c>
      <c r="AJ17" s="24086"/>
      <c r="AK17" s="24085" t="s">
        <v>59</v>
      </c>
      <c r="AS17" s="1081">
        <v>0</v>
      </c>
    </row>
    <row r="18" spans="1:45" ht="14.25" hidden="1" customHeight="1">
      <c r="AD18" s="1286"/>
      <c r="AE18" s="1286"/>
      <c r="AF18" s="1286"/>
      <c r="AG18" s="264" t="str">
        <f>AH17&amp;"-"&amp;AJ17</f>
        <v>-</v>
      </c>
      <c r="AH18" s="24085"/>
      <c r="AI18" s="24085"/>
      <c r="AJ18" s="24085"/>
      <c r="AK18" s="24085"/>
      <c r="AS18" s="1081">
        <v>0</v>
      </c>
    </row>
    <row r="19" spans="1:45" ht="14.25" hidden="1" customHeight="1">
      <c r="AK19" s="263"/>
      <c r="AS19" s="1081">
        <v>0</v>
      </c>
    </row>
    <row r="20" spans="1:45" s="1292" customFormat="1" ht="22.5" hidden="1" customHeight="1">
      <c r="L20" s="1255"/>
      <c r="M20" s="1288"/>
      <c r="N20" s="1288"/>
      <c r="O20" s="1293" t="s">
        <v>644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645</v>
      </c>
      <c r="P22" s="1288"/>
      <c r="Q22" s="1297"/>
      <c r="R22" s="1297"/>
      <c r="S22" s="665"/>
      <c r="T22" s="1086" t="s">
        <v>646</v>
      </c>
      <c r="AA22" s="123" t="s">
        <v>647</v>
      </c>
      <c r="AC22" s="123" t="s">
        <v>648</v>
      </c>
      <c r="AD22" s="1086" t="s">
        <v>646</v>
      </c>
      <c r="AI22" s="123" t="s">
        <v>649</v>
      </c>
      <c r="AK22" s="123" t="s">
        <v>648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4069"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081">
        <v>28</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50" customFormat="1" ht="25.5" customHeight="1">
      <c r="A29" s="1294"/>
      <c r="B29" s="1294"/>
      <c r="C29" s="1294"/>
      <c r="D29" s="1294"/>
      <c r="E29" s="1294"/>
      <c r="F29" s="1294"/>
      <c r="G29" s="1294"/>
      <c r="H29" s="1294"/>
      <c r="I29" s="1294"/>
      <c r="J29" s="1294"/>
      <c r="K29" s="1294"/>
      <c r="L29" s="1295"/>
      <c r="M29" s="1294"/>
      <c r="N29" s="1294"/>
      <c r="O29" s="129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262"/>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262"/>
      <c r="AL29" s="262"/>
      <c r="AM29" s="216"/>
      <c r="AN29" s="304"/>
      <c r="AO29" s="304"/>
      <c r="AP29" s="304"/>
      <c r="AQ29" s="304"/>
      <c r="AR29" s="304"/>
      <c r="AS29" s="354">
        <v>0</v>
      </c>
    </row>
    <row r="30" spans="1:45" s="1750" customFormat="1" ht="18.75" customHeight="1">
      <c r="A30" s="1294"/>
      <c r="B30" s="1294"/>
      <c r="C30" s="1294"/>
      <c r="D30" s="1294"/>
      <c r="E30" s="1294"/>
      <c r="F30" s="1294"/>
      <c r="G30" s="1294"/>
      <c r="H30" s="1294"/>
      <c r="I30" s="1294"/>
      <c r="J30" s="1294"/>
      <c r="K30" s="1294"/>
      <c r="L30" s="1295"/>
      <c r="M30" s="1294"/>
      <c r="N30" s="1294"/>
      <c r="O30" s="1294"/>
      <c r="S30" s="24079" t="s">
        <v>650</v>
      </c>
      <c r="T30" s="24079"/>
      <c r="U30" s="1298"/>
      <c r="V30" s="24080" t="str">
        <f>IF(TITLE_DATE_PR_CHANGE="",IF(TITLE_DATE_PR="","",TITLE_DATE_PR),TITLE_DATE_PR_CHANGE)</f>
        <v>20.12.2024</v>
      </c>
      <c r="W30" s="24080"/>
      <c r="X30" s="24080"/>
      <c r="Y30" s="24080"/>
      <c r="Z30" s="24080"/>
      <c r="AA30" s="24080"/>
      <c r="AB30" s="24080"/>
      <c r="AC30" s="262"/>
      <c r="AD30" s="24080" t="str">
        <f>IF(TITLE_DATE_PR_CHANGE="",IF(TITLE_DATE_PR="","",TITLE_DATE_PR),TITLE_DATE_PR_CHANGE)</f>
        <v>20.12.2024</v>
      </c>
      <c r="AE30" s="24080"/>
      <c r="AF30" s="24080"/>
      <c r="AG30" s="24080"/>
      <c r="AH30" s="24080"/>
      <c r="AI30" s="24080"/>
      <c r="AJ30" s="24080"/>
      <c r="AK30" s="262"/>
      <c r="AL30" s="262"/>
      <c r="AM30" s="216"/>
      <c r="AN30" s="304"/>
      <c r="AO30" s="304"/>
      <c r="AP30" s="304"/>
      <c r="AQ30" s="304"/>
      <c r="AR30" s="304"/>
      <c r="AS30" s="354">
        <v>0</v>
      </c>
    </row>
    <row r="31" spans="1:45" s="1750" customFormat="1" ht="18.75" customHeight="1">
      <c r="A31" s="1294"/>
      <c r="B31" s="1294"/>
      <c r="C31" s="1294"/>
      <c r="D31" s="1294"/>
      <c r="E31" s="1294"/>
      <c r="F31" s="1294"/>
      <c r="G31" s="1294"/>
      <c r="H31" s="1294"/>
      <c r="I31" s="1294"/>
      <c r="J31" s="1294"/>
      <c r="K31" s="1294"/>
      <c r="L31" s="1295"/>
      <c r="M31" s="1294"/>
      <c r="N31" s="1294"/>
      <c r="O31" s="1294"/>
      <c r="S31" s="24079" t="s">
        <v>651</v>
      </c>
      <c r="T31" s="24079"/>
      <c r="U31" s="1298"/>
      <c r="V31" s="24081" t="str">
        <f>IF(TITLE_NUMBER_PR_CHANGE="",IF(TITLE_NUMBER_PR="","",TITLE_NUMBER_PR),TITLE_NUMBER_PR_CHANGE)</f>
        <v>403, 404</v>
      </c>
      <c r="W31" s="24081"/>
      <c r="X31" s="24081"/>
      <c r="Y31" s="24081"/>
      <c r="Z31" s="24081"/>
      <c r="AA31" s="24081"/>
      <c r="AB31" s="24081"/>
      <c r="AC31" s="262"/>
      <c r="AD31" s="24081" t="str">
        <f>IF(TITLE_NUMBER_PR_CHANGE="",IF(TITLE_NUMBER_PR="","",TITLE_NUMBER_PR),TITLE_NUMBER_PR_CHANGE)</f>
        <v>403, 404</v>
      </c>
      <c r="AE31" s="24081"/>
      <c r="AF31" s="24081"/>
      <c r="AG31" s="24081"/>
      <c r="AH31" s="24081"/>
      <c r="AI31" s="24081"/>
      <c r="AJ31" s="24081"/>
      <c r="AK31" s="262"/>
      <c r="AL31" s="262"/>
      <c r="AM31" s="216"/>
      <c r="AN31" s="304"/>
      <c r="AO31" s="304"/>
      <c r="AP31" s="304"/>
      <c r="AQ31" s="304"/>
      <c r="AR31" s="304"/>
      <c r="AS31" s="354">
        <v>0</v>
      </c>
    </row>
    <row r="32" spans="1:45" s="1750" customFormat="1" ht="18.75" customHeight="1">
      <c r="A32" s="1294"/>
      <c r="B32" s="1294"/>
      <c r="C32" s="1294"/>
      <c r="D32" s="1294"/>
      <c r="E32" s="1294"/>
      <c r="F32" s="1294"/>
      <c r="G32" s="1294"/>
      <c r="H32" s="1294"/>
      <c r="I32" s="1294"/>
      <c r="J32" s="1294"/>
      <c r="K32" s="1294"/>
      <c r="L32" s="1295"/>
      <c r="M32" s="1294"/>
      <c r="N32" s="1294"/>
      <c r="O32" s="1294"/>
      <c r="S32" s="24079" t="s">
        <v>33</v>
      </c>
      <c r="T32" s="24079"/>
      <c r="U32" s="1298"/>
      <c r="V32" s="24081" t="str">
        <f>IF(TITLE_IST_PUB_CHANGE="",IF(TITLE_IST_PUB="","",TITLE_IST_PUB),TITLE_IST_PUB_CHANGE)</f>
        <v>Смоленская газета</v>
      </c>
      <c r="W32" s="24081"/>
      <c r="X32" s="24081"/>
      <c r="Y32" s="24081"/>
      <c r="Z32" s="24081"/>
      <c r="AA32" s="24081"/>
      <c r="AB32" s="24081"/>
      <c r="AC32" s="262"/>
      <c r="AD32" s="24081" t="str">
        <f>IF(TITLE_IST_PUB_CHANGE="",IF(TITLE_IST_PUB="","",TITLE_IST_PUB),TITLE_IST_PUB_CHANGE)</f>
        <v>Смоленская газета</v>
      </c>
      <c r="AE32" s="24081"/>
      <c r="AF32" s="24081"/>
      <c r="AG32" s="24081"/>
      <c r="AH32" s="24081"/>
      <c r="AI32" s="24081"/>
      <c r="AJ32" s="2408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4079" t="s">
        <v>652</v>
      </c>
      <c r="T34" s="24079"/>
      <c r="U34" s="1298"/>
      <c r="V34" s="24080" t="str">
        <f>IF(TITLE_DATE_PR_CHANGE="",IF(TITLE_DATE_PR="","",TITLE_DATE_PR),TITLE_DATE_PR_CHANGE)</f>
        <v>20.12.2024</v>
      </c>
      <c r="W34" s="24080"/>
      <c r="X34" s="24080"/>
      <c r="Y34" s="24080"/>
      <c r="Z34" s="24080"/>
      <c r="AA34" s="24080"/>
      <c r="AB34" s="24080"/>
      <c r="AC34" s="262"/>
      <c r="AD34" s="24080" t="str">
        <f>IF(TITLE_DATE_PR_CHANGE="",IF(TITLE_DATE_PR="","",TITLE_DATE_PR),TITLE_DATE_PR_CHANGE)</f>
        <v>20.12.2024</v>
      </c>
      <c r="AE34" s="24080"/>
      <c r="AF34" s="24080"/>
      <c r="AG34" s="24080"/>
      <c r="AH34" s="24080"/>
      <c r="AI34" s="24080"/>
      <c r="AJ34" s="24080"/>
      <c r="AK34" s="262"/>
      <c r="AL34" s="262"/>
      <c r="AM34" s="216"/>
      <c r="AN34" s="304"/>
      <c r="AO34" s="304"/>
      <c r="AP34" s="304"/>
      <c r="AQ34" s="304"/>
      <c r="AR34" s="304"/>
      <c r="AS34" s="354">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4079" t="s">
        <v>653</v>
      </c>
      <c r="T35" s="24079"/>
      <c r="U35" s="1298"/>
      <c r="V35" s="24081" t="str">
        <f>IF(TITLE_NUMBER_PR_CHANGE="",IF(TITLE_NUMBER_PR="","",TITLE_NUMBER_PR),TITLE_NUMBER_PR_CHANGE)</f>
        <v>403, 404</v>
      </c>
      <c r="W35" s="24081"/>
      <c r="X35" s="24081"/>
      <c r="Y35" s="24081"/>
      <c r="Z35" s="24081"/>
      <c r="AA35" s="24081"/>
      <c r="AB35" s="24081"/>
      <c r="AC35" s="262"/>
      <c r="AD35" s="24081" t="str">
        <f>IF(TITLE_NUMBER_PR_CHANGE="",IF(TITLE_NUMBER_PR="","",TITLE_NUMBER_PR),TITLE_NUMBER_PR_CHANGE)</f>
        <v>403, 404</v>
      </c>
      <c r="AE35" s="24081"/>
      <c r="AF35" s="24081"/>
      <c r="AG35" s="24081"/>
      <c r="AH35" s="24081"/>
      <c r="AI35" s="24081"/>
      <c r="AJ35" s="24081"/>
      <c r="AK35" s="262"/>
      <c r="AL35" s="262"/>
      <c r="AM35" s="216"/>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654</v>
      </c>
      <c r="AD36" s="262"/>
      <c r="AE36" s="262"/>
      <c r="AF36" s="262"/>
      <c r="AG36" s="262"/>
      <c r="AH36" s="262"/>
      <c r="AI36" s="262"/>
      <c r="AJ36" s="262"/>
      <c r="AK36" s="214" t="s">
        <v>654</v>
      </c>
      <c r="AN36" s="304"/>
      <c r="AO36" s="304"/>
      <c r="AP36" s="304"/>
      <c r="AQ36" s="304"/>
      <c r="AR36" s="304"/>
      <c r="AS36" s="354">
        <v>0</v>
      </c>
    </row>
    <row r="37" spans="1:45" ht="14.65" customHeight="1">
      <c r="Q37" s="312"/>
      <c r="R37" s="312"/>
      <c r="S37" s="1201"/>
      <c r="T37" s="299"/>
      <c r="U37" s="1170"/>
      <c r="V37" s="24100"/>
      <c r="W37" s="24100"/>
      <c r="X37" s="24100"/>
      <c r="Y37" s="24100"/>
      <c r="Z37" s="24100"/>
      <c r="AA37" s="24100"/>
      <c r="AB37" s="24100"/>
      <c r="AC37" s="24100"/>
      <c r="AD37" s="24100"/>
      <c r="AE37" s="24100"/>
      <c r="AF37" s="24100"/>
      <c r="AG37" s="24100"/>
      <c r="AH37" s="24100"/>
      <c r="AI37" s="24100"/>
      <c r="AJ37" s="24100"/>
      <c r="AK37" s="24100"/>
      <c r="AS37" s="1081">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081">
        <v>14</v>
      </c>
    </row>
    <row r="39" spans="1:45" ht="14.65" customHeight="1">
      <c r="Q39" s="312"/>
      <c r="R39" s="312"/>
      <c r="S39" s="24101" t="s">
        <v>79</v>
      </c>
      <c r="T39" s="24050" t="s">
        <v>655</v>
      </c>
      <c r="U39" s="237"/>
      <c r="V39" s="24102" t="s">
        <v>656</v>
      </c>
      <c r="W39" s="24103"/>
      <c r="X39" s="24118"/>
      <c r="Y39" s="24118"/>
      <c r="Z39" s="24103"/>
      <c r="AA39" s="24103"/>
      <c r="AB39" s="24104"/>
      <c r="AC39" s="24105" t="s">
        <v>657</v>
      </c>
      <c r="AD39" s="24102" t="s">
        <v>656</v>
      </c>
      <c r="AE39" s="24103"/>
      <c r="AF39" s="24118"/>
      <c r="AG39" s="24118"/>
      <c r="AH39" s="24103"/>
      <c r="AI39" s="24103"/>
      <c r="AJ39" s="24104"/>
      <c r="AK39" s="24105" t="s">
        <v>658</v>
      </c>
      <c r="AL39" s="24108" t="s">
        <v>659</v>
      </c>
      <c r="AM39" s="23947"/>
      <c r="AS39" s="1081">
        <v>14</v>
      </c>
    </row>
    <row r="40" spans="1:45" ht="24" customHeight="1">
      <c r="Q40" s="312"/>
      <c r="R40" s="312"/>
      <c r="S40" s="24101"/>
      <c r="T40" s="24050"/>
      <c r="U40" s="960"/>
      <c r="V40" s="24116" t="s">
        <v>660</v>
      </c>
      <c r="W40" s="24023" t="s">
        <v>661</v>
      </c>
      <c r="X40" s="1302" t="s">
        <v>662</v>
      </c>
      <c r="Y40" s="1302"/>
      <c r="Z40" s="23933" t="s">
        <v>663</v>
      </c>
      <c r="AA40" s="23933"/>
      <c r="AB40" s="23927"/>
      <c r="AC40" s="24106"/>
      <c r="AD40" s="24116" t="s">
        <v>660</v>
      </c>
      <c r="AE40" s="24023" t="s">
        <v>661</v>
      </c>
      <c r="AF40" s="1302" t="s">
        <v>662</v>
      </c>
      <c r="AG40" s="1302"/>
      <c r="AH40" s="23933" t="s">
        <v>663</v>
      </c>
      <c r="AI40" s="23933"/>
      <c r="AJ40" s="23927"/>
      <c r="AK40" s="24106"/>
      <c r="AL40" s="24109"/>
      <c r="AM40" s="23947"/>
      <c r="AS40" s="1081">
        <v>23</v>
      </c>
    </row>
    <row r="41" spans="1:45" s="1192" customFormat="1" ht="24" customHeight="1">
      <c r="A41" s="1296"/>
      <c r="B41" s="1296" t="s">
        <v>241</v>
      </c>
      <c r="C41" s="1296" t="s">
        <v>242</v>
      </c>
      <c r="D41" s="1296" t="s">
        <v>243</v>
      </c>
      <c r="E41" s="1290" t="s">
        <v>664</v>
      </c>
      <c r="F41" s="1290" t="s">
        <v>665</v>
      </c>
      <c r="G41" s="1290" t="s">
        <v>666</v>
      </c>
      <c r="H41" s="1290" t="s">
        <v>667</v>
      </c>
      <c r="I41" s="1290" t="s">
        <v>668</v>
      </c>
      <c r="J41" s="1290" t="s">
        <v>669</v>
      </c>
      <c r="K41" s="1290" t="s">
        <v>670</v>
      </c>
      <c r="L41" s="1290" t="s">
        <v>645</v>
      </c>
      <c r="M41" s="1288"/>
      <c r="N41" s="1288"/>
      <c r="O41" s="1288"/>
      <c r="P41" s="1254"/>
      <c r="Q41" s="312"/>
      <c r="R41" s="312"/>
      <c r="S41" s="24101"/>
      <c r="T41" s="24050"/>
      <c r="U41" s="238"/>
      <c r="V41" s="24117"/>
      <c r="W41" s="24028"/>
      <c r="X41" s="1299" t="s">
        <v>671</v>
      </c>
      <c r="Y41" s="1299" t="s">
        <v>672</v>
      </c>
      <c r="Z41" s="1260" t="s">
        <v>673</v>
      </c>
      <c r="AA41" s="24055" t="s">
        <v>674</v>
      </c>
      <c r="AB41" s="24068"/>
      <c r="AC41" s="24107"/>
      <c r="AD41" s="24117"/>
      <c r="AE41" s="24028"/>
      <c r="AF41" s="1299" t="s">
        <v>671</v>
      </c>
      <c r="AG41" s="1299" t="s">
        <v>672</v>
      </c>
      <c r="AH41" s="1260" t="s">
        <v>673</v>
      </c>
      <c r="AI41" s="24055" t="s">
        <v>674</v>
      </c>
      <c r="AJ41" s="24068"/>
      <c r="AK41" s="24107"/>
      <c r="AL41" s="24110"/>
      <c r="AM41" s="23947"/>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218</v>
      </c>
      <c r="T42" s="1181" t="s">
        <v>95</v>
      </c>
      <c r="U42" s="1171" t="str">
        <f ca="1">OFFSET(U42,0,-1)</f>
        <v>2</v>
      </c>
      <c r="V42" s="1261">
        <f ca="1">OFFSET(V42,0,-1)+1</f>
        <v>3</v>
      </c>
      <c r="W42" s="1261"/>
      <c r="X42" s="1267">
        <f ca="1">OFFSET(X42,0,-1)+1</f>
        <v>1</v>
      </c>
      <c r="Y42" s="1267">
        <f ca="1">OFFSET(Y42,0,-1)+1</f>
        <v>2</v>
      </c>
      <c r="Z42" s="1261">
        <f ca="1">OFFSET(Z42,0,-1)+1</f>
        <v>3</v>
      </c>
      <c r="AA42" s="24099">
        <f ca="1">OFFSET(AA42,0,-1)+1</f>
        <v>4</v>
      </c>
      <c r="AB42" s="24099"/>
      <c r="AC42" s="1261">
        <f ca="1">OFFSET(AC42,0,-2)+1</f>
        <v>5</v>
      </c>
      <c r="AD42" s="1261">
        <f ca="1">OFFSET(AD42,0,-1)+1</f>
        <v>6</v>
      </c>
      <c r="AE42" s="1261"/>
      <c r="AF42" s="1267">
        <f ca="1">OFFSET(AF42,0,-1)+1</f>
        <v>1</v>
      </c>
      <c r="AG42" s="1267">
        <f ca="1">OFFSET(AG42,0,-1)+1</f>
        <v>2</v>
      </c>
      <c r="AH42" s="1261">
        <f ca="1">OFFSET(AH42,0,-1)+1</f>
        <v>3</v>
      </c>
      <c r="AI42" s="24099">
        <f ca="1">OFFSET(AI42,0,-1)+1</f>
        <v>4</v>
      </c>
      <c r="AJ42" s="24099"/>
      <c r="AK42" s="1261">
        <f ca="1">OFFSET(AK42,0,-2)+1</f>
        <v>5</v>
      </c>
      <c r="AL42" s="1171">
        <f ca="1">OFFSET(AL42,0,-1)</f>
        <v>5</v>
      </c>
      <c r="AM42" s="1261">
        <f ca="1">OFFSET(AM42,0,-1)+1</f>
        <v>6</v>
      </c>
      <c r="AN42" s="447"/>
      <c r="AO42" s="447"/>
      <c r="AP42" s="447"/>
      <c r="AQ42" s="447"/>
      <c r="AR42" s="447"/>
      <c r="AS42" s="432">
        <v>0</v>
      </c>
    </row>
    <row r="43" spans="1:45" ht="21.95" customHeight="1">
      <c r="A43" s="1289" t="s">
        <v>292</v>
      </c>
      <c r="B43" s="1289"/>
      <c r="C43" s="1289"/>
      <c r="D43" s="1289"/>
      <c r="E43" s="24088">
        <v>1</v>
      </c>
      <c r="F43" s="1289"/>
      <c r="G43" s="1289"/>
      <c r="H43" s="1289"/>
      <c r="I43" s="1289"/>
      <c r="J43" s="1289"/>
      <c r="K43" s="1289"/>
      <c r="L43" s="1290"/>
      <c r="M43" s="1291"/>
      <c r="N43" s="1291"/>
      <c r="O43" s="1291"/>
      <c r="P43" s="297"/>
      <c r="Q43" s="296"/>
      <c r="R43" s="291"/>
      <c r="S43" s="1262">
        <f>INDEX(PT_DIFFERENTIATION_NUM_NTAR,MATCH(A43,PT_DIFFERENTIATION_NTAR_ID,0))</f>
        <v>0</v>
      </c>
      <c r="T43" s="234"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292</v>
      </c>
      <c r="B44" s="1289" t="s">
        <v>293</v>
      </c>
      <c r="C44" s="1289"/>
      <c r="D44" s="1289"/>
      <c r="E44" s="24089"/>
      <c r="F44" s="24088">
        <v>1</v>
      </c>
      <c r="G44" s="1289"/>
      <c r="H44" s="1289"/>
      <c r="I44" s="1289"/>
      <c r="J44" s="1289"/>
      <c r="K44" s="1289"/>
      <c r="L44" s="1290"/>
      <c r="M44" s="1291"/>
      <c r="N44" s="1291"/>
      <c r="O44" s="1291"/>
      <c r="P44" s="1258"/>
      <c r="Q44" s="288"/>
      <c r="R44" s="289"/>
      <c r="S44" s="1262" t="str">
        <f>INDEX(PT_DIFFERENTIATION_NUM_TER,MATCH(B44,PT_DIFFERENTIATION_TER_ID,0))</f>
        <v>.</v>
      </c>
      <c r="T44" s="244"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436"/>
      <c r="AP44" s="436" t="str">
        <f t="shared" si="1"/>
        <v>Территория действия тарифа</v>
      </c>
      <c r="AQ44" s="436"/>
      <c r="AR44" s="436"/>
      <c r="AS44" s="1081">
        <v>21</v>
      </c>
    </row>
    <row r="45" spans="1:45" ht="24" customHeight="1">
      <c r="A45" s="1289" t="s">
        <v>292</v>
      </c>
      <c r="B45" s="1289" t="s">
        <v>293</v>
      </c>
      <c r="C45" s="1289" t="s">
        <v>294</v>
      </c>
      <c r="D45" s="1289"/>
      <c r="E45" s="24089"/>
      <c r="F45" s="24089"/>
      <c r="G45" s="24088">
        <v>1</v>
      </c>
      <c r="H45" s="1289"/>
      <c r="I45" s="1289"/>
      <c r="J45" s="1289"/>
      <c r="K45" s="1289"/>
      <c r="L45" s="1290"/>
      <c r="M45" s="1291"/>
      <c r="N45" s="1291"/>
      <c r="O45" s="1291"/>
      <c r="P45" s="290"/>
      <c r="Q45" s="288"/>
      <c r="R45" s="289"/>
      <c r="S45" s="126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436"/>
      <c r="AP45" s="436" t="str">
        <f t="shared" si="1"/>
        <v xml:space="preserve">Наименование системы теплоснабжения </v>
      </c>
      <c r="AQ45" s="436"/>
      <c r="AR45" s="436"/>
      <c r="AS45" s="1081">
        <v>23</v>
      </c>
    </row>
    <row r="46" spans="1:45" ht="21.95" customHeight="1">
      <c r="A46" s="1289" t="s">
        <v>292</v>
      </c>
      <c r="B46" s="1289" t="s">
        <v>293</v>
      </c>
      <c r="C46" s="1289" t="s">
        <v>294</v>
      </c>
      <c r="D46" s="1289" t="s">
        <v>295</v>
      </c>
      <c r="E46" s="24089"/>
      <c r="F46" s="24089"/>
      <c r="G46" s="24089"/>
      <c r="H46" s="24088">
        <v>1</v>
      </c>
      <c r="I46" s="1289"/>
      <c r="J46" s="1289"/>
      <c r="K46" s="1289"/>
      <c r="L46" s="1290"/>
      <c r="M46" s="1291"/>
      <c r="N46" s="1291"/>
      <c r="O46" s="1291"/>
      <c r="P46" s="290"/>
      <c r="Q46" s="288"/>
      <c r="R46" s="289"/>
      <c r="S46" s="126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436"/>
      <c r="AP46" s="436" t="str">
        <f t="shared" si="1"/>
        <v xml:space="preserve">Источник тепловой энергии  </v>
      </c>
      <c r="AQ46" s="436"/>
      <c r="AR46" s="436"/>
      <c r="AS46" s="1081">
        <v>21</v>
      </c>
    </row>
    <row r="47" spans="1:45" ht="49.5" customHeight="1">
      <c r="A47" s="1289" t="s">
        <v>292</v>
      </c>
      <c r="B47" s="1289" t="s">
        <v>293</v>
      </c>
      <c r="C47" s="1289" t="s">
        <v>294</v>
      </c>
      <c r="D47" s="1289" t="s">
        <v>295</v>
      </c>
      <c r="E47" s="24089"/>
      <c r="F47" s="24089"/>
      <c r="G47" s="24089"/>
      <c r="H47" s="24089"/>
      <c r="I47" s="24090" t="str">
        <f>S46&amp;".1"</f>
        <v>....1</v>
      </c>
      <c r="J47" s="1289"/>
      <c r="K47" s="1289"/>
      <c r="L47" s="1290" t="s">
        <v>632</v>
      </c>
      <c r="P47" s="24092">
        <v>1</v>
      </c>
      <c r="Q47" s="1257"/>
      <c r="R47" s="292"/>
      <c r="S47" s="1262" t="str">
        <f>$I47</f>
        <v>....1</v>
      </c>
      <c r="T47" s="221" t="s">
        <v>633</v>
      </c>
      <c r="U47" s="236"/>
      <c r="V47" s="24076"/>
      <c r="W47" s="24077"/>
      <c r="X47" s="24077"/>
      <c r="Y47" s="24077"/>
      <c r="Z47" s="24077"/>
      <c r="AA47" s="24077"/>
      <c r="AB47" s="24077"/>
      <c r="AC47" s="24078"/>
      <c r="AD47" s="24076"/>
      <c r="AE47" s="24077"/>
      <c r="AF47" s="24077"/>
      <c r="AG47" s="24077"/>
      <c r="AH47" s="24077"/>
      <c r="AI47" s="24077"/>
      <c r="AJ47" s="24077"/>
      <c r="AK47" s="24077"/>
      <c r="AL47" s="24078"/>
      <c r="AM47" s="1184" t="s">
        <v>634</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292</v>
      </c>
      <c r="B48" s="1289" t="s">
        <v>293</v>
      </c>
      <c r="C48" s="1289" t="s">
        <v>294</v>
      </c>
      <c r="D48" s="1289" t="s">
        <v>295</v>
      </c>
      <c r="E48" s="24089"/>
      <c r="F48" s="24089"/>
      <c r="G48" s="24089"/>
      <c r="H48" s="24089"/>
      <c r="I48" s="24091"/>
      <c r="J48" s="24090" t="str">
        <f>I47&amp;".1"</f>
        <v>....1.1</v>
      </c>
      <c r="K48" s="1289"/>
      <c r="L48" s="1290" t="s">
        <v>635</v>
      </c>
      <c r="P48" s="24092"/>
      <c r="Q48" s="24092">
        <v>1</v>
      </c>
      <c r="R48" s="293"/>
      <c r="S48" s="1262" t="str">
        <f>$J48</f>
        <v>....1.1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436"/>
      <c r="AP48" s="436" t="str">
        <f t="shared" si="1"/>
        <v>Группа потребителей</v>
      </c>
      <c r="AQ48" s="436"/>
      <c r="AR48" s="436"/>
      <c r="AS48" s="1081">
        <v>21</v>
      </c>
    </row>
    <row r="49" spans="1:45" ht="21.95" customHeight="1">
      <c r="A49" s="1289" t="s">
        <v>292</v>
      </c>
      <c r="B49" s="1289" t="s">
        <v>293</v>
      </c>
      <c r="C49" s="1289" t="s">
        <v>294</v>
      </c>
      <c r="D49" s="1289" t="s">
        <v>295</v>
      </c>
      <c r="E49" s="24089"/>
      <c r="F49" s="24089"/>
      <c r="G49" s="24089"/>
      <c r="H49" s="24089"/>
      <c r="I49" s="24091"/>
      <c r="J49" s="24091"/>
      <c r="K49" s="24090" t="str">
        <f>J48&amp;".1"</f>
        <v>....1.1.1</v>
      </c>
      <c r="L49" s="1290" t="s">
        <v>638</v>
      </c>
      <c r="P49" s="24092"/>
      <c r="Q49" s="24092"/>
      <c r="R49" s="293">
        <v>1</v>
      </c>
      <c r="S49" s="1262" t="str">
        <f>$K49</f>
        <v>....1.1.1</v>
      </c>
      <c r="T49" s="1273"/>
      <c r="U49" s="236"/>
      <c r="V49" s="261"/>
      <c r="W49" s="687"/>
      <c r="X49" s="261"/>
      <c r="Y49" s="320"/>
      <c r="Z49" s="24093"/>
      <c r="AA49" s="23957" t="s">
        <v>59</v>
      </c>
      <c r="AB49" s="24093"/>
      <c r="AC49" s="23957" t="s">
        <v>59</v>
      </c>
      <c r="AD49" s="261"/>
      <c r="AE49" s="687"/>
      <c r="AF49" s="261"/>
      <c r="AG49" s="320"/>
      <c r="AH49" s="24093"/>
      <c r="AI49" s="23957" t="s">
        <v>59</v>
      </c>
      <c r="AJ49" s="24095"/>
      <c r="AK49" s="23957" t="s">
        <v>59</v>
      </c>
      <c r="AL49" s="1274"/>
      <c r="AM49" s="24111" t="s">
        <v>639</v>
      </c>
      <c r="AN49" s="447" t="e">
        <f ca="1">STRCHECKDATE(V50:AL50)</f>
        <v>#NAME?</v>
      </c>
      <c r="AO49" s="436"/>
      <c r="AP49" s="436" t="str">
        <f t="shared" si="1"/>
        <v/>
      </c>
      <c r="AQ49" s="436"/>
      <c r="AR49" s="436"/>
      <c r="AS49" s="1081">
        <v>21</v>
      </c>
    </row>
    <row r="50" spans="1:45" ht="1.1499999999999999" customHeight="1">
      <c r="A50" s="1289" t="s">
        <v>292</v>
      </c>
      <c r="B50" s="1289" t="s">
        <v>293</v>
      </c>
      <c r="C50" s="1289" t="s">
        <v>294</v>
      </c>
      <c r="D50" s="1289" t="s">
        <v>295</v>
      </c>
      <c r="E50" s="24089"/>
      <c r="F50" s="24089"/>
      <c r="G50" s="24089"/>
      <c r="H50" s="24089"/>
      <c r="I50" s="24091"/>
      <c r="J50" s="24091"/>
      <c r="K50" s="24090"/>
      <c r="L50" s="1290"/>
      <c r="P50" s="24092"/>
      <c r="Q50" s="24092"/>
      <c r="R50" s="293"/>
      <c r="S50" s="1268"/>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436"/>
      <c r="AP50" s="436" t="str">
        <f t="shared" si="1"/>
        <v/>
      </c>
      <c r="AQ50" s="436"/>
      <c r="AR50" s="436"/>
      <c r="AS50" s="1081">
        <v>1</v>
      </c>
    </row>
    <row r="51" spans="1:45" ht="11.45" customHeight="1">
      <c r="A51" s="1289" t="s">
        <v>292</v>
      </c>
      <c r="B51" s="1289" t="s">
        <v>293</v>
      </c>
      <c r="C51" s="1289" t="s">
        <v>294</v>
      </c>
      <c r="D51" s="1289" t="s">
        <v>295</v>
      </c>
      <c r="E51" s="24089"/>
      <c r="F51" s="24089"/>
      <c r="G51" s="24089"/>
      <c r="H51" s="24089"/>
      <c r="I51" s="24091"/>
      <c r="J51" s="24090"/>
      <c r="K51" s="1289"/>
      <c r="L51" s="1290"/>
      <c r="P51" s="24092"/>
      <c r="Q51" s="24092"/>
      <c r="R51" s="292"/>
      <c r="S51" s="1204"/>
      <c r="T51" s="224" t="s">
        <v>640</v>
      </c>
      <c r="U51" s="303"/>
      <c r="V51" s="303"/>
      <c r="W51" s="303"/>
      <c r="X51" s="303"/>
      <c r="Y51" s="303"/>
      <c r="Z51" s="303"/>
      <c r="AA51" s="303"/>
      <c r="AB51" s="303"/>
      <c r="AC51" s="303"/>
      <c r="AD51" s="303"/>
      <c r="AE51" s="303"/>
      <c r="AF51" s="303"/>
      <c r="AG51" s="303"/>
      <c r="AH51" s="303"/>
      <c r="AI51" s="303"/>
      <c r="AJ51" s="303"/>
      <c r="AK51" s="303"/>
      <c r="AL51" s="260"/>
      <c r="AM51" s="24113"/>
      <c r="AO51" s="436"/>
      <c r="AP51" s="436" t="str">
        <f t="shared" si="1"/>
        <v>Добавить вид теплоносителя (параметры теплоносителя)</v>
      </c>
      <c r="AQ51" s="436"/>
      <c r="AR51" s="436"/>
      <c r="AS51" s="1081">
        <v>11</v>
      </c>
    </row>
    <row r="52" spans="1:45" ht="11.45" customHeight="1">
      <c r="A52" s="1289" t="s">
        <v>292</v>
      </c>
      <c r="B52" s="1289" t="s">
        <v>293</v>
      </c>
      <c r="C52" s="1289" t="s">
        <v>294</v>
      </c>
      <c r="D52" s="1289" t="s">
        <v>295</v>
      </c>
      <c r="E52" s="24089"/>
      <c r="F52" s="24089"/>
      <c r="G52" s="24089"/>
      <c r="H52" s="24089"/>
      <c r="I52" s="24090"/>
      <c r="J52" s="1289"/>
      <c r="K52" s="1289"/>
      <c r="L52" s="1290"/>
      <c r="P52" s="24092"/>
      <c r="Q52" s="1257"/>
      <c r="R52" s="292"/>
      <c r="S52" s="1204"/>
      <c r="T52" s="223" t="s">
        <v>641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14.65" customHeight="1">
      <c r="A53" s="1289" t="s">
        <v>292</v>
      </c>
      <c r="B53" s="1289" t="s">
        <v>293</v>
      </c>
      <c r="C53" s="1289" t="s">
        <v>294</v>
      </c>
      <c r="D53" s="1289" t="s">
        <v>295</v>
      </c>
      <c r="E53" s="24089"/>
      <c r="F53" s="24089"/>
      <c r="G53" s="24089"/>
      <c r="H53" s="24088"/>
      <c r="I53" s="1289"/>
      <c r="J53" s="1289"/>
      <c r="K53" s="1289"/>
      <c r="L53" s="1290"/>
      <c r="M53" s="1291"/>
      <c r="N53" s="1291"/>
      <c r="O53" s="473"/>
      <c r="P53" s="296"/>
      <c r="Q53" s="311"/>
      <c r="R53" s="291"/>
      <c r="S53" s="1204"/>
      <c r="T53" s="301" t="s">
        <v>642</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81">
        <v>14</v>
      </c>
    </row>
    <row r="54" spans="1:45" s="1568" customFormat="1" ht="1.1499999999999999" customHeight="1">
      <c r="A54" s="1269" t="s">
        <v>292</v>
      </c>
      <c r="B54" s="1269" t="s">
        <v>293</v>
      </c>
      <c r="C54" s="1269" t="s">
        <v>294</v>
      </c>
      <c r="D54" s="1240"/>
      <c r="E54" s="24089"/>
      <c r="F54" s="24089"/>
      <c r="G54" s="24088"/>
      <c r="H54" s="1240"/>
      <c r="I54" s="1240"/>
      <c r="J54" s="1240"/>
      <c r="K54" s="1240"/>
      <c r="L54" s="1265"/>
      <c r="M54" s="1241"/>
      <c r="N54" s="124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292</v>
      </c>
      <c r="B55" s="1269" t="s">
        <v>293</v>
      </c>
      <c r="C55" s="1240"/>
      <c r="D55" s="1240"/>
      <c r="E55" s="24089"/>
      <c r="F55" s="24088"/>
      <c r="G55" s="1240"/>
      <c r="H55" s="1240"/>
      <c r="I55" s="1240"/>
      <c r="J55" s="1240"/>
      <c r="K55" s="1240"/>
      <c r="L55" s="1265"/>
      <c r="M55" s="1247"/>
      <c r="N55" s="124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292</v>
      </c>
      <c r="B56" s="1269"/>
      <c r="C56" s="1269"/>
      <c r="D56" s="1269"/>
      <c r="E56" s="24088"/>
      <c r="F56" s="1269"/>
      <c r="G56" s="1269"/>
      <c r="H56" s="1269"/>
      <c r="I56" s="1269"/>
      <c r="J56" s="1269"/>
      <c r="K56" s="1269"/>
      <c r="L56" s="1272"/>
      <c r="M56" s="1247"/>
      <c r="N56" s="1247"/>
      <c r="O56" s="454"/>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081">
        <v>27</v>
      </c>
    </row>
    <row r="60" spans="1:45" ht="78.75" customHeight="1">
      <c r="O60" s="473"/>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081">
        <v>75</v>
      </c>
    </row>
    <row r="61" spans="1:45" ht="14.65" customHeight="1">
      <c r="O61" s="473"/>
      <c r="AS61" s="1081">
        <v>14</v>
      </c>
    </row>
    <row r="62" spans="1:45" ht="18.75" customHeight="1">
      <c r="O62" s="473"/>
      <c r="S62" s="1179"/>
      <c r="T62" s="24087"/>
      <c r="U62" s="24087"/>
      <c r="V62" s="24087"/>
      <c r="W62" s="24087"/>
      <c r="X62" s="24087"/>
      <c r="Y62" s="24087"/>
      <c r="Z62" s="24087"/>
      <c r="AA62" s="24087"/>
      <c r="AB62" s="24087"/>
      <c r="AC62" s="24087"/>
      <c r="AD62" s="24087"/>
      <c r="AE62" s="24087"/>
      <c r="AF62" s="24087"/>
      <c r="AG62" s="24087"/>
      <c r="AH62" s="24087"/>
      <c r="AI62" s="24087"/>
      <c r="AJ62" s="24087"/>
      <c r="AK62" s="24087"/>
      <c r="AL62" s="24087"/>
      <c r="AM62" s="24087"/>
      <c r="AS62" s="1081">
        <v>18</v>
      </c>
    </row>
    <row r="63" spans="1:45" ht="18.75" customHeight="1">
      <c r="O63" s="473"/>
      <c r="T63" s="24087"/>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081">
        <v>18</v>
      </c>
    </row>
    <row r="64" spans="1:45" ht="39.75" customHeight="1">
      <c r="O64" s="473"/>
      <c r="S64" s="1179"/>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081">
        <v>38</v>
      </c>
    </row>
    <row r="65" spans="1:45" ht="22.5" hidden="1" customHeight="1">
      <c r="A65" s="1086" t="s">
        <v>73</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0">
        <v>3</v>
      </c>
      <c r="R65" s="280">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7109375" style="1979" hidden="1" customWidth="1"/>
    <col min="17" max="18" width="3" style="280"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3"/>
      <c r="Z1" s="263"/>
      <c r="AG1" s="263"/>
      <c r="AH1" s="263"/>
      <c r="AS1" s="1081" t="s">
        <v>1</v>
      </c>
    </row>
    <row r="2" spans="1:45" ht="21" hidden="1" customHeight="1">
      <c r="A2" s="1289"/>
      <c r="B2" s="1289"/>
      <c r="C2" s="1289"/>
      <c r="D2" s="1289"/>
      <c r="E2" s="24088">
        <v>1</v>
      </c>
      <c r="F2" s="1289"/>
      <c r="G2" s="1289"/>
      <c r="H2" s="1289"/>
      <c r="I2" s="1289"/>
      <c r="J2" s="1289"/>
      <c r="K2" s="1289"/>
      <c r="L2" s="1290"/>
      <c r="M2" s="1291"/>
      <c r="N2" s="1291"/>
      <c r="O2" s="1291"/>
      <c r="P2" s="297"/>
      <c r="Q2" s="296"/>
      <c r="R2" s="291"/>
      <c r="S2" s="1262" t="e">
        <f>INDEX(PT_DIFFERENTIATION_NUM_NTAR,MATCH(A2,PT_DIFFERENTIATION_NTAR_ID,0))</f>
        <v>#N/A</v>
      </c>
      <c r="T2" s="234"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436"/>
      <c r="AP2" s="436" t="str">
        <f t="shared" ref="AP2:AP15" si="0">IF(T2="","",T2)</f>
        <v>Наименование тарифа</v>
      </c>
      <c r="AQ2" s="436"/>
      <c r="AR2" s="436"/>
      <c r="AS2" s="1081">
        <v>0</v>
      </c>
    </row>
    <row r="3" spans="1:45" ht="21" hidden="1" customHeight="1">
      <c r="A3" s="1289"/>
      <c r="B3" s="1289"/>
      <c r="C3" s="1289"/>
      <c r="D3" s="1289"/>
      <c r="E3" s="24089"/>
      <c r="F3" s="24088">
        <v>1</v>
      </c>
      <c r="G3" s="1289"/>
      <c r="H3" s="1289"/>
      <c r="I3" s="1289"/>
      <c r="J3" s="1289"/>
      <c r="K3" s="1289"/>
      <c r="L3" s="1290"/>
      <c r="M3" s="1291"/>
      <c r="N3" s="1291"/>
      <c r="O3" s="1291"/>
      <c r="P3" s="1258"/>
      <c r="Q3" s="288"/>
      <c r="R3" s="289"/>
      <c r="S3" s="1262" t="e">
        <f>INDEX(PT_DIFFERENTIATION_NUM_TER,MATCH(B3,PT_DIFFERENTIATION_TER_ID,0))</f>
        <v>#N/A</v>
      </c>
      <c r="T3" s="244"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436"/>
      <c r="AP3" s="436" t="str">
        <f t="shared" si="0"/>
        <v>Территория действия тарифа</v>
      </c>
      <c r="AQ3" s="436"/>
      <c r="AR3" s="436"/>
      <c r="AS3" s="1081">
        <v>0</v>
      </c>
    </row>
    <row r="4" spans="1:45" ht="23.25" hidden="1" customHeight="1">
      <c r="A4" s="1289"/>
      <c r="B4" s="1289"/>
      <c r="C4" s="1289"/>
      <c r="D4" s="1289"/>
      <c r="E4" s="24089"/>
      <c r="F4" s="24089"/>
      <c r="G4" s="24088">
        <v>1</v>
      </c>
      <c r="H4" s="1289"/>
      <c r="I4" s="1289"/>
      <c r="J4" s="1289"/>
      <c r="K4" s="1289"/>
      <c r="L4" s="1290"/>
      <c r="M4" s="1291"/>
      <c r="N4" s="1291"/>
      <c r="O4" s="1291"/>
      <c r="P4" s="290"/>
      <c r="Q4" s="288"/>
      <c r="R4" s="289"/>
      <c r="S4" s="1262"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089"/>
      <c r="F5" s="24089"/>
      <c r="G5" s="24089"/>
      <c r="H5" s="24088">
        <v>1</v>
      </c>
      <c r="I5" s="1289"/>
      <c r="J5" s="1289"/>
      <c r="K5" s="1289"/>
      <c r="L5" s="1290"/>
      <c r="M5" s="1291"/>
      <c r="N5" s="1291"/>
      <c r="O5" s="1291"/>
      <c r="P5" s="290"/>
      <c r="Q5" s="288"/>
      <c r="R5" s="289"/>
      <c r="S5" s="1262"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436"/>
      <c r="AP5" s="436" t="str">
        <f t="shared" si="0"/>
        <v xml:space="preserve">Источник тепловой энергии  </v>
      </c>
      <c r="AQ5" s="436"/>
      <c r="AR5" s="436"/>
      <c r="AS5" s="1081">
        <v>0</v>
      </c>
    </row>
    <row r="6" spans="1:45" ht="14.25" hidden="1" customHeight="1">
      <c r="A6" s="1289"/>
      <c r="B6" s="1289"/>
      <c r="C6" s="1289"/>
      <c r="D6" s="1289"/>
      <c r="E6" s="24089"/>
      <c r="F6" s="24089"/>
      <c r="G6" s="24089"/>
      <c r="H6" s="24089"/>
      <c r="I6" s="24090" t="e">
        <f>S5&amp;".1"</f>
        <v>#N/A</v>
      </c>
      <c r="J6" s="1289"/>
      <c r="K6" s="1289"/>
      <c r="L6" s="1290" t="s">
        <v>632</v>
      </c>
      <c r="M6" s="473"/>
      <c r="P6" s="24092">
        <v>1</v>
      </c>
      <c r="Q6" s="1257"/>
      <c r="R6" s="292"/>
      <c r="S6" s="971"/>
      <c r="T6" s="1309"/>
      <c r="U6" s="1310"/>
      <c r="V6" s="24119"/>
      <c r="W6" s="24120"/>
      <c r="X6" s="24120"/>
      <c r="Y6" s="24120"/>
      <c r="Z6" s="24120"/>
      <c r="AA6" s="24120"/>
      <c r="AB6" s="24120"/>
      <c r="AC6" s="24121"/>
      <c r="AD6" s="24119"/>
      <c r="AE6" s="24120"/>
      <c r="AF6" s="24120"/>
      <c r="AG6" s="24120"/>
      <c r="AH6" s="24120"/>
      <c r="AI6" s="24120"/>
      <c r="AJ6" s="24120"/>
      <c r="AK6" s="24120"/>
      <c r="AL6" s="24121"/>
      <c r="AM6" s="1311"/>
      <c r="AO6" s="436"/>
      <c r="AP6" s="436" t="str">
        <f t="shared" si="0"/>
        <v/>
      </c>
      <c r="AQ6" s="436"/>
      <c r="AR6" s="436"/>
      <c r="AS6" s="1081">
        <v>0</v>
      </c>
    </row>
    <row r="7" spans="1:45" ht="21" hidden="1" customHeight="1">
      <c r="A7" s="1289"/>
      <c r="B7" s="1289"/>
      <c r="C7" s="1289"/>
      <c r="D7" s="1289"/>
      <c r="E7" s="24089"/>
      <c r="F7" s="24089"/>
      <c r="G7" s="24089"/>
      <c r="H7" s="24089"/>
      <c r="I7" s="24091"/>
      <c r="J7" s="24090" t="e">
        <f>I6&amp;".1"</f>
        <v>#N/A</v>
      </c>
      <c r="K7" s="1289"/>
      <c r="L7" s="1290" t="s">
        <v>635</v>
      </c>
      <c r="M7" s="473"/>
      <c r="N7" s="1292"/>
      <c r="P7" s="24092"/>
      <c r="Q7" s="24092">
        <v>1</v>
      </c>
      <c r="R7" s="293"/>
      <c r="S7" s="1262"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436"/>
      <c r="AP7" s="436" t="str">
        <f t="shared" si="0"/>
        <v>Группа потребителей</v>
      </c>
      <c r="AQ7" s="436"/>
      <c r="AR7" s="436"/>
      <c r="AS7" s="1081">
        <v>0</v>
      </c>
    </row>
    <row r="8" spans="1:45" ht="21" hidden="1" customHeight="1">
      <c r="A8" s="1289"/>
      <c r="B8" s="1289"/>
      <c r="C8" s="1289"/>
      <c r="D8" s="1289"/>
      <c r="E8" s="24089"/>
      <c r="F8" s="24089"/>
      <c r="G8" s="24089"/>
      <c r="H8" s="24089"/>
      <c r="I8" s="24091"/>
      <c r="J8" s="24091"/>
      <c r="K8" s="24090" t="e">
        <f>J7&amp;".1"</f>
        <v>#N/A</v>
      </c>
      <c r="L8" s="1290" t="s">
        <v>638</v>
      </c>
      <c r="M8" s="473"/>
      <c r="N8" s="1292"/>
      <c r="O8" s="1292"/>
      <c r="P8" s="24092"/>
      <c r="Q8" s="24092"/>
      <c r="R8" s="293">
        <v>1</v>
      </c>
      <c r="S8" s="1262" t="e">
        <f>$K8</f>
        <v>#N/A</v>
      </c>
      <c r="T8" s="1273"/>
      <c r="U8" s="236"/>
      <c r="V8" s="687"/>
      <c r="W8" s="261"/>
      <c r="X8" s="687"/>
      <c r="Y8" s="1183"/>
      <c r="Z8" s="24093"/>
      <c r="AA8" s="23957" t="s">
        <v>59</v>
      </c>
      <c r="AB8" s="24093"/>
      <c r="AC8" s="23957" t="s">
        <v>59</v>
      </c>
      <c r="AD8" s="687"/>
      <c r="AE8" s="261"/>
      <c r="AF8" s="687"/>
      <c r="AG8" s="1183"/>
      <c r="AH8" s="24093"/>
      <c r="AI8" s="23957" t="s">
        <v>59</v>
      </c>
      <c r="AJ8" s="24093"/>
      <c r="AK8" s="23957" t="s">
        <v>59</v>
      </c>
      <c r="AL8" s="261"/>
      <c r="AM8" s="24111" t="s">
        <v>639</v>
      </c>
      <c r="AN8" s="447" t="e">
        <f ca="1">STRCHECKDATE(V9:AL9)</f>
        <v>#NAME?</v>
      </c>
      <c r="AO8" s="436"/>
      <c r="AP8" s="436" t="str">
        <f t="shared" si="0"/>
        <v/>
      </c>
      <c r="AQ8" s="436"/>
      <c r="AR8" s="436"/>
      <c r="AS8" s="1081">
        <v>0</v>
      </c>
    </row>
    <row r="9" spans="1:45" ht="0.75" hidden="1" customHeight="1">
      <c r="A9" s="1289"/>
      <c r="B9" s="1289"/>
      <c r="C9" s="1289"/>
      <c r="D9" s="1289"/>
      <c r="E9" s="24089"/>
      <c r="F9" s="24089"/>
      <c r="G9" s="24089"/>
      <c r="H9" s="24089"/>
      <c r="I9" s="24091"/>
      <c r="J9" s="24091"/>
      <c r="K9" s="24090"/>
      <c r="L9" s="1290"/>
      <c r="M9" s="473"/>
      <c r="N9" s="1292"/>
      <c r="O9" s="1292"/>
      <c r="P9" s="24092"/>
      <c r="Q9" s="24092"/>
      <c r="R9" s="293"/>
      <c r="S9" s="1268"/>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436"/>
      <c r="AP9" s="436" t="str">
        <f t="shared" si="0"/>
        <v/>
      </c>
      <c r="AQ9" s="436"/>
      <c r="AR9" s="436"/>
      <c r="AS9" s="1081">
        <v>0</v>
      </c>
    </row>
    <row r="10" spans="1:45" ht="15" hidden="1" customHeight="1">
      <c r="A10" s="1289"/>
      <c r="B10" s="1289"/>
      <c r="C10" s="1289"/>
      <c r="D10" s="1289"/>
      <c r="E10" s="24089"/>
      <c r="F10" s="24089"/>
      <c r="G10" s="24089"/>
      <c r="H10" s="24089"/>
      <c r="I10" s="24091"/>
      <c r="J10" s="24090"/>
      <c r="K10" s="1289"/>
      <c r="L10" s="1290"/>
      <c r="M10" s="473"/>
      <c r="N10" s="1292"/>
      <c r="P10" s="24092"/>
      <c r="Q10" s="24092"/>
      <c r="R10" s="292"/>
      <c r="S10" s="1204"/>
      <c r="T10" s="223" t="s">
        <v>640</v>
      </c>
      <c r="U10" s="303"/>
      <c r="V10" s="303"/>
      <c r="W10" s="303"/>
      <c r="X10" s="303"/>
      <c r="Y10" s="303"/>
      <c r="Z10" s="303"/>
      <c r="AA10" s="303"/>
      <c r="AB10" s="303"/>
      <c r="AC10" s="303"/>
      <c r="AD10" s="303"/>
      <c r="AE10" s="303"/>
      <c r="AF10" s="303"/>
      <c r="AG10" s="303"/>
      <c r="AH10" s="303"/>
      <c r="AI10" s="303"/>
      <c r="AJ10" s="303"/>
      <c r="AK10" s="303"/>
      <c r="AL10" s="260"/>
      <c r="AM10" s="2411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4089"/>
      <c r="F11" s="24089"/>
      <c r="G11" s="24089"/>
      <c r="H11" s="24089"/>
      <c r="I11" s="24090"/>
      <c r="J11" s="1289"/>
      <c r="K11" s="1289"/>
      <c r="L11" s="1290"/>
      <c r="M11" s="473"/>
      <c r="P11" s="24092"/>
      <c r="Q11" s="1257"/>
      <c r="R11" s="292"/>
      <c r="S11" s="1204"/>
      <c r="T11" s="301" t="s">
        <v>641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4089"/>
      <c r="F12" s="24089"/>
      <c r="G12" s="24089"/>
      <c r="H12" s="240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089"/>
      <c r="F13" s="24089"/>
      <c r="G13" s="24088"/>
      <c r="H13" s="1240"/>
      <c r="I13" s="1240"/>
      <c r="J13" s="1240"/>
      <c r="K13" s="1240"/>
      <c r="L13" s="1265"/>
      <c r="M13" s="1241"/>
      <c r="N13" s="124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089"/>
      <c r="F14" s="24088"/>
      <c r="G14" s="1240"/>
      <c r="H14" s="1240"/>
      <c r="I14" s="1240"/>
      <c r="J14" s="1240"/>
      <c r="K14" s="1240"/>
      <c r="L14" s="1265"/>
      <c r="M14" s="1247"/>
      <c r="N14" s="124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088"/>
      <c r="F15" s="1240"/>
      <c r="G15" s="1240"/>
      <c r="H15" s="1240"/>
      <c r="I15" s="1240"/>
      <c r="J15" s="1240"/>
      <c r="K15" s="1240"/>
      <c r="L15" s="1265"/>
      <c r="M15" s="1247"/>
      <c r="N15" s="124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4086"/>
      <c r="AI17" s="24085" t="s">
        <v>59</v>
      </c>
      <c r="AJ17" s="24086"/>
      <c r="AK17" s="24085" t="s">
        <v>59</v>
      </c>
      <c r="AS17" s="1081">
        <v>0</v>
      </c>
    </row>
    <row r="18" spans="1:45" ht="14.25" hidden="1" customHeight="1">
      <c r="AD18" s="1286"/>
      <c r="AE18" s="1286"/>
      <c r="AF18" s="1286"/>
      <c r="AG18" s="264" t="str">
        <f>AH17&amp;"-"&amp;AJ17</f>
        <v>-</v>
      </c>
      <c r="AH18" s="24085"/>
      <c r="AI18" s="24085"/>
      <c r="AJ18" s="24085"/>
      <c r="AK18" s="24085"/>
      <c r="AS18" s="1081">
        <v>0</v>
      </c>
    </row>
    <row r="19" spans="1:45" ht="14.25" hidden="1" customHeight="1">
      <c r="AK19" s="263"/>
      <c r="AS19" s="1081">
        <v>0</v>
      </c>
    </row>
    <row r="20" spans="1:45" s="1292" customFormat="1" ht="22.5" hidden="1" customHeight="1">
      <c r="L20" s="1255"/>
      <c r="M20" s="1288"/>
      <c r="N20" s="1288"/>
      <c r="O20" s="1293" t="s">
        <v>644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645</v>
      </c>
      <c r="P22" s="1288"/>
      <c r="Q22" s="1297"/>
      <c r="R22" s="1297"/>
      <c r="S22" s="665"/>
      <c r="T22" s="1086" t="s">
        <v>646</v>
      </c>
      <c r="AA22" s="123" t="s">
        <v>647</v>
      </c>
      <c r="AC22" s="123" t="s">
        <v>648</v>
      </c>
      <c r="AD22" s="1086" t="s">
        <v>646</v>
      </c>
      <c r="AI22" s="123" t="s">
        <v>649</v>
      </c>
      <c r="AK22" s="123" t="s">
        <v>648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40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081">
        <v>60</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50" customFormat="1" ht="25.5" customHeight="1">
      <c r="A29" s="1294"/>
      <c r="B29" s="1294"/>
      <c r="C29" s="1294"/>
      <c r="D29" s="1294"/>
      <c r="E29" s="1294"/>
      <c r="F29" s="1294"/>
      <c r="G29" s="1294"/>
      <c r="H29" s="1294"/>
      <c r="I29" s="1294"/>
      <c r="J29" s="1294"/>
      <c r="K29" s="1294"/>
      <c r="L29" s="1295"/>
      <c r="M29" s="1294"/>
      <c r="N29" s="1294"/>
      <c r="O29" s="129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262"/>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262"/>
      <c r="AL29" s="262"/>
      <c r="AM29" s="216"/>
      <c r="AN29" s="304"/>
      <c r="AO29" s="304"/>
      <c r="AP29" s="304"/>
      <c r="AQ29" s="304"/>
      <c r="AR29" s="304"/>
      <c r="AS29" s="354">
        <v>0</v>
      </c>
    </row>
    <row r="30" spans="1:45" s="1750" customFormat="1" ht="18.75" customHeight="1">
      <c r="A30" s="1294"/>
      <c r="B30" s="1294"/>
      <c r="C30" s="1294"/>
      <c r="D30" s="1294"/>
      <c r="E30" s="1294"/>
      <c r="F30" s="1294"/>
      <c r="G30" s="1294"/>
      <c r="H30" s="1294"/>
      <c r="I30" s="1294"/>
      <c r="J30" s="1294"/>
      <c r="K30" s="1294"/>
      <c r="L30" s="1295"/>
      <c r="M30" s="1294"/>
      <c r="N30" s="1294"/>
      <c r="O30" s="1294"/>
      <c r="S30" s="24079" t="s">
        <v>650</v>
      </c>
      <c r="T30" s="24079"/>
      <c r="U30" s="1298"/>
      <c r="V30" s="24080" t="str">
        <f>IF(TITLE_DATE_PR_CHANGE="",IF(TITLE_DATE_PR="","",TITLE_DATE_PR),TITLE_DATE_PR_CHANGE)</f>
        <v>20.12.2024</v>
      </c>
      <c r="W30" s="24080"/>
      <c r="X30" s="24080"/>
      <c r="Y30" s="24080"/>
      <c r="Z30" s="24080"/>
      <c r="AA30" s="24080"/>
      <c r="AB30" s="24080"/>
      <c r="AC30" s="262"/>
      <c r="AD30" s="24080" t="str">
        <f>IF(TITLE_DATE_PR_CHANGE="",IF(TITLE_DATE_PR="","",TITLE_DATE_PR),TITLE_DATE_PR_CHANGE)</f>
        <v>20.12.2024</v>
      </c>
      <c r="AE30" s="24080"/>
      <c r="AF30" s="24080"/>
      <c r="AG30" s="24080"/>
      <c r="AH30" s="24080"/>
      <c r="AI30" s="24080"/>
      <c r="AJ30" s="24080"/>
      <c r="AK30" s="262"/>
      <c r="AL30" s="262"/>
      <c r="AM30" s="216"/>
      <c r="AN30" s="304"/>
      <c r="AO30" s="304"/>
      <c r="AP30" s="304"/>
      <c r="AQ30" s="304"/>
      <c r="AR30" s="304"/>
      <c r="AS30" s="354">
        <v>0</v>
      </c>
    </row>
    <row r="31" spans="1:45" s="1750" customFormat="1" ht="18.75" customHeight="1">
      <c r="A31" s="1294"/>
      <c r="B31" s="1294"/>
      <c r="C31" s="1294"/>
      <c r="D31" s="1294"/>
      <c r="E31" s="1294"/>
      <c r="F31" s="1294"/>
      <c r="G31" s="1294"/>
      <c r="H31" s="1294"/>
      <c r="I31" s="1294"/>
      <c r="J31" s="1294"/>
      <c r="K31" s="1294"/>
      <c r="L31" s="1295"/>
      <c r="M31" s="1294"/>
      <c r="N31" s="1294"/>
      <c r="O31" s="1294"/>
      <c r="S31" s="24079" t="s">
        <v>651</v>
      </c>
      <c r="T31" s="24079"/>
      <c r="U31" s="1298"/>
      <c r="V31" s="24081" t="str">
        <f>IF(TITLE_NUMBER_PR_CHANGE="",IF(TITLE_NUMBER_PR="","",TITLE_NUMBER_PR),TITLE_NUMBER_PR_CHANGE)</f>
        <v>403, 404</v>
      </c>
      <c r="W31" s="24081"/>
      <c r="X31" s="24081"/>
      <c r="Y31" s="24081"/>
      <c r="Z31" s="24081"/>
      <c r="AA31" s="24081"/>
      <c r="AB31" s="24081"/>
      <c r="AC31" s="262"/>
      <c r="AD31" s="24081" t="str">
        <f>IF(TITLE_NUMBER_PR_CHANGE="",IF(TITLE_NUMBER_PR="","",TITLE_NUMBER_PR),TITLE_NUMBER_PR_CHANGE)</f>
        <v>403, 404</v>
      </c>
      <c r="AE31" s="24081"/>
      <c r="AF31" s="24081"/>
      <c r="AG31" s="24081"/>
      <c r="AH31" s="24081"/>
      <c r="AI31" s="24081"/>
      <c r="AJ31" s="24081"/>
      <c r="AK31" s="262"/>
      <c r="AL31" s="262"/>
      <c r="AM31" s="216"/>
      <c r="AN31" s="304"/>
      <c r="AO31" s="304"/>
      <c r="AP31" s="304"/>
      <c r="AQ31" s="304"/>
      <c r="AR31" s="304"/>
      <c r="AS31" s="354">
        <v>0</v>
      </c>
    </row>
    <row r="32" spans="1:45" s="1750" customFormat="1" ht="18.75" customHeight="1">
      <c r="A32" s="1294"/>
      <c r="B32" s="1294"/>
      <c r="C32" s="1294"/>
      <c r="D32" s="1294"/>
      <c r="E32" s="1294"/>
      <c r="F32" s="1294"/>
      <c r="G32" s="1294"/>
      <c r="H32" s="1294"/>
      <c r="I32" s="1294"/>
      <c r="J32" s="1294"/>
      <c r="K32" s="1294"/>
      <c r="L32" s="1295"/>
      <c r="M32" s="1294"/>
      <c r="N32" s="1294"/>
      <c r="O32" s="1294"/>
      <c r="S32" s="24079" t="s">
        <v>33</v>
      </c>
      <c r="T32" s="24079"/>
      <c r="U32" s="1298"/>
      <c r="V32" s="24081" t="str">
        <f>IF(TITLE_IST_PUB_CHANGE="",IF(TITLE_IST_PUB="","",TITLE_IST_PUB),TITLE_IST_PUB_CHANGE)</f>
        <v>Смоленская газета</v>
      </c>
      <c r="W32" s="24081"/>
      <c r="X32" s="24081"/>
      <c r="Y32" s="24081"/>
      <c r="Z32" s="24081"/>
      <c r="AA32" s="24081"/>
      <c r="AB32" s="24081"/>
      <c r="AC32" s="262"/>
      <c r="AD32" s="24081" t="str">
        <f>IF(TITLE_IST_PUB_CHANGE="",IF(TITLE_IST_PUB="","",TITLE_IST_PUB),TITLE_IST_PUB_CHANGE)</f>
        <v>Смоленская газета</v>
      </c>
      <c r="AE32" s="24081"/>
      <c r="AF32" s="24081"/>
      <c r="AG32" s="24081"/>
      <c r="AH32" s="24081"/>
      <c r="AI32" s="24081"/>
      <c r="AJ32" s="2408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4079" t="s">
        <v>652</v>
      </c>
      <c r="T34" s="24079"/>
      <c r="U34" s="1298"/>
      <c r="V34" s="24080" t="str">
        <f>IF(TITLE_DATE_PR_CHANGE="",IF(TITLE_DATE_PR="","",TITLE_DATE_PR),TITLE_DATE_PR_CHANGE)</f>
        <v>20.12.2024</v>
      </c>
      <c r="W34" s="24080"/>
      <c r="X34" s="24080"/>
      <c r="Y34" s="24080"/>
      <c r="Z34" s="24080"/>
      <c r="AA34" s="24080"/>
      <c r="AB34" s="24080"/>
      <c r="AC34" s="262"/>
      <c r="AD34" s="24080" t="str">
        <f>IF(TITLE_DATE_PR_CHANGE="",IF(TITLE_DATE_PR="","",TITLE_DATE_PR),TITLE_DATE_PR_CHANGE)</f>
        <v>20.12.2024</v>
      </c>
      <c r="AE34" s="24080"/>
      <c r="AF34" s="24080"/>
      <c r="AG34" s="24080"/>
      <c r="AH34" s="24080"/>
      <c r="AI34" s="24080"/>
      <c r="AJ34" s="24080"/>
      <c r="AK34" s="262"/>
      <c r="AL34" s="262"/>
      <c r="AM34" s="216"/>
      <c r="AN34" s="304"/>
      <c r="AO34" s="304"/>
      <c r="AP34" s="304"/>
      <c r="AQ34" s="304"/>
      <c r="AR34" s="304"/>
      <c r="AS34" s="354">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4079" t="s">
        <v>653</v>
      </c>
      <c r="T35" s="24079"/>
      <c r="U35" s="1298"/>
      <c r="V35" s="24081" t="str">
        <f>IF(TITLE_NUMBER_PR_CHANGE="",IF(TITLE_NUMBER_PR="","",TITLE_NUMBER_PR),TITLE_NUMBER_PR_CHANGE)</f>
        <v>403, 404</v>
      </c>
      <c r="W35" s="24081"/>
      <c r="X35" s="24081"/>
      <c r="Y35" s="24081"/>
      <c r="Z35" s="24081"/>
      <c r="AA35" s="24081"/>
      <c r="AB35" s="24081"/>
      <c r="AC35" s="262"/>
      <c r="AD35" s="24081" t="str">
        <f>IF(TITLE_NUMBER_PR_CHANGE="",IF(TITLE_NUMBER_PR="","",TITLE_NUMBER_PR),TITLE_NUMBER_PR_CHANGE)</f>
        <v>403, 404</v>
      </c>
      <c r="AE35" s="24081"/>
      <c r="AF35" s="24081"/>
      <c r="AG35" s="24081"/>
      <c r="AH35" s="24081"/>
      <c r="AI35" s="24081"/>
      <c r="AJ35" s="24081"/>
      <c r="AK35" s="262"/>
      <c r="AL35" s="262"/>
      <c r="AM35" s="216"/>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654</v>
      </c>
      <c r="AD36" s="262"/>
      <c r="AE36" s="262"/>
      <c r="AF36" s="262"/>
      <c r="AG36" s="262"/>
      <c r="AH36" s="262"/>
      <c r="AI36" s="262"/>
      <c r="AJ36" s="262"/>
      <c r="AK36" s="214" t="s">
        <v>654</v>
      </c>
      <c r="AN36" s="304"/>
      <c r="AO36" s="304"/>
      <c r="AP36" s="304"/>
      <c r="AQ36" s="304"/>
      <c r="AR36" s="304"/>
      <c r="AS36" s="354">
        <v>0</v>
      </c>
    </row>
    <row r="37" spans="1:45" ht="14.65" customHeight="1">
      <c r="Q37" s="312"/>
      <c r="R37" s="312"/>
      <c r="S37" s="1201"/>
      <c r="T37" s="299"/>
      <c r="U37" s="1170"/>
      <c r="V37" s="24100"/>
      <c r="W37" s="24100"/>
      <c r="X37" s="24100"/>
      <c r="Y37" s="24100"/>
      <c r="Z37" s="24100"/>
      <c r="AA37" s="24100"/>
      <c r="AB37" s="24100"/>
      <c r="AC37" s="24100"/>
      <c r="AD37" s="24100"/>
      <c r="AE37" s="24100"/>
      <c r="AF37" s="24100"/>
      <c r="AG37" s="24100"/>
      <c r="AH37" s="24100"/>
      <c r="AI37" s="24100"/>
      <c r="AJ37" s="24100"/>
      <c r="AK37" s="24100"/>
      <c r="AS37" s="1081">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081">
        <v>14</v>
      </c>
    </row>
    <row r="39" spans="1:45" ht="14.65" customHeight="1">
      <c r="Q39" s="312"/>
      <c r="R39" s="312"/>
      <c r="S39" s="24101" t="s">
        <v>79</v>
      </c>
      <c r="T39" s="24050" t="s">
        <v>655</v>
      </c>
      <c r="U39" s="237"/>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081">
        <v>14</v>
      </c>
    </row>
    <row r="40" spans="1:45" ht="35.65" customHeight="1">
      <c r="Q40" s="312"/>
      <c r="R40" s="312"/>
      <c r="S40" s="24101"/>
      <c r="T40" s="24050"/>
      <c r="U40" s="960"/>
      <c r="V40" s="24022" t="s">
        <v>660</v>
      </c>
      <c r="W40" s="24097"/>
      <c r="X40" s="23928" t="s">
        <v>662</v>
      </c>
      <c r="Y40" s="23927"/>
      <c r="Z40" s="23928" t="s">
        <v>663</v>
      </c>
      <c r="AA40" s="23933"/>
      <c r="AB40" s="23927"/>
      <c r="AC40" s="24106"/>
      <c r="AD40" s="24022" t="s">
        <v>676</v>
      </c>
      <c r="AE40" s="24097"/>
      <c r="AF40" s="23928" t="s">
        <v>662</v>
      </c>
      <c r="AG40" s="23927"/>
      <c r="AH40" s="23928" t="s">
        <v>663</v>
      </c>
      <c r="AI40" s="23933"/>
      <c r="AJ40" s="23927"/>
      <c r="AK40" s="24106"/>
      <c r="AL40" s="24109"/>
      <c r="AM40" s="23947"/>
      <c r="AS40" s="1081">
        <v>34</v>
      </c>
    </row>
    <row r="41" spans="1:45" ht="35.65" customHeight="1">
      <c r="A41" s="1296"/>
      <c r="B41" s="1296" t="s">
        <v>241</v>
      </c>
      <c r="C41" s="1296" t="s">
        <v>242</v>
      </c>
      <c r="D41" s="1296" t="s">
        <v>243</v>
      </c>
      <c r="E41" s="1290" t="s">
        <v>664</v>
      </c>
      <c r="F41" s="1290" t="s">
        <v>665</v>
      </c>
      <c r="G41" s="1290" t="s">
        <v>666</v>
      </c>
      <c r="H41" s="1290" t="s">
        <v>667</v>
      </c>
      <c r="I41" s="1290" t="s">
        <v>668</v>
      </c>
      <c r="J41" s="1290" t="s">
        <v>669</v>
      </c>
      <c r="K41" s="1290" t="s">
        <v>670</v>
      </c>
      <c r="L41" s="1290" t="s">
        <v>645</v>
      </c>
      <c r="Q41" s="312"/>
      <c r="R41" s="312"/>
      <c r="S41" s="24101"/>
      <c r="T41" s="24050"/>
      <c r="U41" s="238"/>
      <c r="V41" s="24074"/>
      <c r="W41" s="24098"/>
      <c r="X41" s="1148" t="s">
        <v>671</v>
      </c>
      <c r="Y41" s="1148" t="s">
        <v>672</v>
      </c>
      <c r="Z41" s="1264" t="s">
        <v>673</v>
      </c>
      <c r="AA41" s="24055" t="s">
        <v>674</v>
      </c>
      <c r="AB41" s="24068"/>
      <c r="AC41" s="24107"/>
      <c r="AD41" s="24074"/>
      <c r="AE41" s="24098"/>
      <c r="AF41" s="1148" t="s">
        <v>671</v>
      </c>
      <c r="AG41" s="1148" t="s">
        <v>672</v>
      </c>
      <c r="AH41" s="1264" t="s">
        <v>673</v>
      </c>
      <c r="AI41" s="24055" t="s">
        <v>674</v>
      </c>
      <c r="AJ41" s="24068"/>
      <c r="AK41" s="24107"/>
      <c r="AL41" s="24110"/>
      <c r="AM41" s="2394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218</v>
      </c>
      <c r="T42" s="1181" t="s">
        <v>95</v>
      </c>
      <c r="U42" s="1171" t="str">
        <f ca="1">OFFSET(U42,0,-1)</f>
        <v>2</v>
      </c>
      <c r="V42" s="1261">
        <f ca="1">OFFSET(V42,0,-1)+1</f>
        <v>3</v>
      </c>
      <c r="W42" s="1261"/>
      <c r="X42" s="1261">
        <f ca="1">OFFSET(X42,0,-1)+1</f>
        <v>1</v>
      </c>
      <c r="Y42" s="1261">
        <f ca="1">OFFSET(Y42,0,-1)+1</f>
        <v>2</v>
      </c>
      <c r="Z42" s="1261">
        <f ca="1">OFFSET(Z42,0,-1)+1</f>
        <v>3</v>
      </c>
      <c r="AA42" s="24099">
        <f ca="1">OFFSET(AA42,0,-1)+1</f>
        <v>4</v>
      </c>
      <c r="AB42" s="24099"/>
      <c r="AC42" s="1261">
        <f ca="1">OFFSET(AC42,0,-2)+1</f>
        <v>5</v>
      </c>
      <c r="AD42" s="1261">
        <f ca="1">OFFSET(AD42,0,-1)+1</f>
        <v>6</v>
      </c>
      <c r="AE42" s="1261"/>
      <c r="AF42" s="1261">
        <f ca="1">OFFSET(AF42,0,-1)+1</f>
        <v>1</v>
      </c>
      <c r="AG42" s="1261">
        <f ca="1">OFFSET(AG42,0,-1)+1</f>
        <v>2</v>
      </c>
      <c r="AH42" s="1261">
        <f ca="1">OFFSET(AH42,0,-1)+1</f>
        <v>3</v>
      </c>
      <c r="AI42" s="24099">
        <f ca="1">OFFSET(AI42,0,-1)+1</f>
        <v>4</v>
      </c>
      <c r="AJ42" s="24099"/>
      <c r="AK42" s="1261">
        <f ca="1">OFFSET(AK42,0,-2)+1</f>
        <v>5</v>
      </c>
      <c r="AL42" s="1171">
        <f ca="1">OFFSET(AL42,0,-1)</f>
        <v>5</v>
      </c>
      <c r="AM42" s="1261">
        <f ca="1">OFFSET(AM42,0,-1)+1</f>
        <v>6</v>
      </c>
      <c r="AN42" s="447"/>
      <c r="AO42" s="447"/>
      <c r="AP42" s="447"/>
      <c r="AQ42" s="447"/>
      <c r="AR42" s="447"/>
      <c r="AS42" s="432">
        <v>0</v>
      </c>
    </row>
    <row r="43" spans="1:45" ht="21.95" customHeight="1">
      <c r="A43" s="1289" t="s">
        <v>268</v>
      </c>
      <c r="B43" s="1289"/>
      <c r="C43" s="1289"/>
      <c r="D43" s="1289"/>
      <c r="E43" s="24088">
        <v>1</v>
      </c>
      <c r="F43" s="1289"/>
      <c r="G43" s="1289"/>
      <c r="H43" s="1289"/>
      <c r="I43" s="1289"/>
      <c r="J43" s="1289"/>
      <c r="K43" s="1289"/>
      <c r="L43" s="1290"/>
      <c r="M43" s="1291"/>
      <c r="N43" s="1291"/>
      <c r="O43" s="1291"/>
      <c r="P43" s="297"/>
      <c r="Q43" s="296"/>
      <c r="R43" s="291"/>
      <c r="S43" s="1262">
        <f>INDEX(PT_DIFFERENTIATION_NUM_NTAR,MATCH(A43,PT_DIFFERENTIATION_NTAR_ID,0))</f>
        <v>0</v>
      </c>
      <c r="T43" s="234"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268</v>
      </c>
      <c r="B44" s="1289" t="s">
        <v>269</v>
      </c>
      <c r="C44" s="1289"/>
      <c r="D44" s="1289"/>
      <c r="E44" s="24089"/>
      <c r="F44" s="24088">
        <v>1</v>
      </c>
      <c r="G44" s="1289"/>
      <c r="H44" s="1289"/>
      <c r="I44" s="1289"/>
      <c r="J44" s="1289"/>
      <c r="K44" s="1289"/>
      <c r="L44" s="1290"/>
      <c r="M44" s="1291"/>
      <c r="N44" s="1291"/>
      <c r="O44" s="1291"/>
      <c r="P44" s="1258"/>
      <c r="Q44" s="288"/>
      <c r="R44" s="289"/>
      <c r="S44" s="1262" t="str">
        <f>INDEX(PT_DIFFERENTIATION_NUM_TER,MATCH(B44,PT_DIFFERENTIATION_TER_ID,0))</f>
        <v>.</v>
      </c>
      <c r="T44" s="244"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436"/>
      <c r="AP44" s="436" t="str">
        <f t="shared" si="1"/>
        <v>Территория действия тарифа</v>
      </c>
      <c r="AQ44" s="436"/>
      <c r="AR44" s="436"/>
      <c r="AS44" s="1081">
        <v>21</v>
      </c>
    </row>
    <row r="45" spans="1:45" ht="24" customHeight="1">
      <c r="A45" s="1289" t="s">
        <v>268</v>
      </c>
      <c r="B45" s="1289" t="s">
        <v>269</v>
      </c>
      <c r="C45" s="1289" t="s">
        <v>270</v>
      </c>
      <c r="D45" s="1289"/>
      <c r="E45" s="24089"/>
      <c r="F45" s="24089"/>
      <c r="G45" s="24088">
        <v>1</v>
      </c>
      <c r="H45" s="1289"/>
      <c r="I45" s="1289"/>
      <c r="J45" s="1289"/>
      <c r="K45" s="1289"/>
      <c r="L45" s="1290"/>
      <c r="M45" s="1291"/>
      <c r="N45" s="1291"/>
      <c r="O45" s="1291"/>
      <c r="P45" s="290"/>
      <c r="Q45" s="288"/>
      <c r="R45" s="289"/>
      <c r="S45" s="126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436"/>
      <c r="AP45" s="436" t="str">
        <f t="shared" si="1"/>
        <v xml:space="preserve">Наименование системы теплоснабжения </v>
      </c>
      <c r="AQ45" s="436"/>
      <c r="AR45" s="436"/>
      <c r="AS45" s="1081">
        <v>23</v>
      </c>
    </row>
    <row r="46" spans="1:45" ht="21.95" customHeight="1">
      <c r="A46" s="1289" t="s">
        <v>268</v>
      </c>
      <c r="B46" s="1289" t="s">
        <v>269</v>
      </c>
      <c r="C46" s="1289" t="s">
        <v>270</v>
      </c>
      <c r="D46" s="1289" t="s">
        <v>271</v>
      </c>
      <c r="E46" s="24089"/>
      <c r="F46" s="24089"/>
      <c r="G46" s="24089"/>
      <c r="H46" s="24088">
        <v>1</v>
      </c>
      <c r="I46" s="1289"/>
      <c r="J46" s="1289"/>
      <c r="K46" s="1289"/>
      <c r="L46" s="1290"/>
      <c r="M46" s="1291"/>
      <c r="N46" s="1291"/>
      <c r="O46" s="1291"/>
      <c r="P46" s="290"/>
      <c r="Q46" s="288"/>
      <c r="R46" s="289"/>
      <c r="S46" s="126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436"/>
      <c r="AP46" s="436" t="str">
        <f t="shared" si="1"/>
        <v xml:space="preserve">Источник тепловой энергии  </v>
      </c>
      <c r="AQ46" s="436"/>
      <c r="AR46" s="436"/>
      <c r="AS46" s="1081">
        <v>21</v>
      </c>
    </row>
    <row r="47" spans="1:45" s="1568" customFormat="1" ht="0" hidden="1" customHeight="1">
      <c r="A47" s="1269" t="s">
        <v>268</v>
      </c>
      <c r="B47" s="1269" t="s">
        <v>269</v>
      </c>
      <c r="C47" s="1269" t="s">
        <v>270</v>
      </c>
      <c r="D47" s="1269" t="s">
        <v>271</v>
      </c>
      <c r="E47" s="24089"/>
      <c r="F47" s="24089"/>
      <c r="G47" s="24089"/>
      <c r="H47" s="24089"/>
      <c r="I47" s="24090" t="str">
        <f>S46&amp;".1"</f>
        <v>....1</v>
      </c>
      <c r="J47" s="1269"/>
      <c r="K47" s="1269"/>
      <c r="L47" s="1272" t="s">
        <v>632</v>
      </c>
      <c r="M47" s="446"/>
      <c r="N47" s="446"/>
      <c r="O47" s="446"/>
      <c r="P47" s="24092">
        <v>1</v>
      </c>
      <c r="Q47" s="1257"/>
      <c r="R47" s="292"/>
      <c r="S47" s="971"/>
      <c r="T47" s="1309"/>
      <c r="U47" s="1310"/>
      <c r="V47" s="24119"/>
      <c r="W47" s="24120"/>
      <c r="X47" s="24120"/>
      <c r="Y47" s="24120"/>
      <c r="Z47" s="24120"/>
      <c r="AA47" s="24120"/>
      <c r="AB47" s="24120"/>
      <c r="AC47" s="24121"/>
      <c r="AD47" s="24119"/>
      <c r="AE47" s="24120"/>
      <c r="AF47" s="24120"/>
      <c r="AG47" s="24120"/>
      <c r="AH47" s="24120"/>
      <c r="AI47" s="24120"/>
      <c r="AJ47" s="24120"/>
      <c r="AK47" s="24120"/>
      <c r="AL47" s="24121"/>
      <c r="AM47" s="1311"/>
      <c r="AO47" s="436"/>
      <c r="AP47" s="436" t="str">
        <f t="shared" si="1"/>
        <v/>
      </c>
      <c r="AQ47" s="436"/>
      <c r="AR47" s="436"/>
      <c r="AS47" s="447">
        <v>0</v>
      </c>
    </row>
    <row r="48" spans="1:45" ht="21.95" customHeight="1">
      <c r="A48" s="1289" t="s">
        <v>268</v>
      </c>
      <c r="B48" s="1289" t="s">
        <v>269</v>
      </c>
      <c r="C48" s="1289" t="s">
        <v>270</v>
      </c>
      <c r="D48" s="1289" t="s">
        <v>271</v>
      </c>
      <c r="E48" s="24089"/>
      <c r="F48" s="24089"/>
      <c r="G48" s="24089"/>
      <c r="H48" s="24089"/>
      <c r="I48" s="24091"/>
      <c r="J48" s="24090" t="str">
        <f>S46&amp;".1"</f>
        <v>....1</v>
      </c>
      <c r="K48" s="1289"/>
      <c r="L48" s="1290" t="s">
        <v>635</v>
      </c>
      <c r="P48" s="24092"/>
      <c r="Q48" s="24092">
        <v>1</v>
      </c>
      <c r="R48" s="293"/>
      <c r="S48" s="1262" t="str">
        <f>$J48</f>
        <v>....1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436"/>
      <c r="AP48" s="436" t="str">
        <f t="shared" si="1"/>
        <v>Группа потребителей</v>
      </c>
      <c r="AQ48" s="436"/>
      <c r="AR48" s="436"/>
      <c r="AS48" s="1081">
        <v>21</v>
      </c>
    </row>
    <row r="49" spans="1:45" ht="21.95" customHeight="1">
      <c r="A49" s="1289" t="s">
        <v>268</v>
      </c>
      <c r="B49" s="1289" t="s">
        <v>269</v>
      </c>
      <c r="C49" s="1289" t="s">
        <v>270</v>
      </c>
      <c r="D49" s="1289" t="s">
        <v>271</v>
      </c>
      <c r="E49" s="24089"/>
      <c r="F49" s="24089"/>
      <c r="G49" s="24089"/>
      <c r="H49" s="24089"/>
      <c r="I49" s="24091"/>
      <c r="J49" s="24091"/>
      <c r="K49" s="24090" t="str">
        <f>J48&amp;".1"</f>
        <v>....1.1</v>
      </c>
      <c r="L49" s="1290" t="s">
        <v>638</v>
      </c>
      <c r="P49" s="24092"/>
      <c r="Q49" s="24092"/>
      <c r="R49" s="293">
        <v>1</v>
      </c>
      <c r="S49" s="1262" t="str">
        <f>$K49</f>
        <v>....1.1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677</v>
      </c>
      <c r="AN49" s="447" t="e">
        <f ca="1">STRCHECKDATE(V50:AL50)</f>
        <v>#NAME?</v>
      </c>
      <c r="AO49" s="436"/>
      <c r="AP49" s="436" t="str">
        <f t="shared" si="1"/>
        <v/>
      </c>
      <c r="AQ49" s="436"/>
      <c r="AR49" s="436"/>
      <c r="AS49" s="1081">
        <v>21</v>
      </c>
    </row>
    <row r="50" spans="1:45" ht="1.1499999999999999" customHeight="1">
      <c r="A50" s="1289" t="s">
        <v>268</v>
      </c>
      <c r="B50" s="1289" t="s">
        <v>269</v>
      </c>
      <c r="C50" s="1289" t="s">
        <v>270</v>
      </c>
      <c r="D50" s="1289" t="s">
        <v>271</v>
      </c>
      <c r="E50" s="24089"/>
      <c r="F50" s="24089"/>
      <c r="G50" s="24089"/>
      <c r="H50" s="24089"/>
      <c r="I50" s="24091"/>
      <c r="J50" s="24091"/>
      <c r="K50" s="24090"/>
      <c r="L50" s="1290"/>
      <c r="P50" s="24092"/>
      <c r="Q50" s="24092"/>
      <c r="R50" s="293"/>
      <c r="S50" s="1268"/>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436"/>
      <c r="AP50" s="436" t="str">
        <f t="shared" si="1"/>
        <v/>
      </c>
      <c r="AQ50" s="436"/>
      <c r="AR50" s="436"/>
      <c r="AS50" s="1081">
        <v>1</v>
      </c>
    </row>
    <row r="51" spans="1:45" ht="11.45" customHeight="1">
      <c r="A51" s="1289" t="s">
        <v>268</v>
      </c>
      <c r="B51" s="1289" t="s">
        <v>269</v>
      </c>
      <c r="C51" s="1289" t="s">
        <v>270</v>
      </c>
      <c r="D51" s="1289" t="s">
        <v>271</v>
      </c>
      <c r="E51" s="24089"/>
      <c r="F51" s="24089"/>
      <c r="G51" s="24089"/>
      <c r="H51" s="24089"/>
      <c r="I51" s="24091"/>
      <c r="J51" s="24090"/>
      <c r="K51" s="1289"/>
      <c r="L51" s="1290"/>
      <c r="P51" s="24092"/>
      <c r="Q51" s="24092"/>
      <c r="R51" s="292"/>
      <c r="S51" s="1204"/>
      <c r="T51" s="223" t="s">
        <v>640</v>
      </c>
      <c r="U51" s="303"/>
      <c r="V51" s="303"/>
      <c r="W51" s="303"/>
      <c r="X51" s="303"/>
      <c r="Y51" s="303"/>
      <c r="Z51" s="303"/>
      <c r="AA51" s="303"/>
      <c r="AB51" s="303"/>
      <c r="AC51" s="303"/>
      <c r="AD51" s="303"/>
      <c r="AE51" s="303"/>
      <c r="AF51" s="303"/>
      <c r="AG51" s="303"/>
      <c r="AH51" s="303"/>
      <c r="AI51" s="303"/>
      <c r="AJ51" s="303"/>
      <c r="AK51" s="303"/>
      <c r="AL51" s="260"/>
      <c r="AM51" s="24113"/>
      <c r="AO51" s="436"/>
      <c r="AP51" s="436" t="str">
        <f t="shared" si="1"/>
        <v>Добавить вид теплоносителя (параметры теплоносителя)</v>
      </c>
      <c r="AQ51" s="436"/>
      <c r="AR51" s="436"/>
      <c r="AS51" s="1081">
        <v>11</v>
      </c>
    </row>
    <row r="52" spans="1:45" ht="11.45" customHeight="1">
      <c r="A52" s="1289" t="s">
        <v>268</v>
      </c>
      <c r="B52" s="1289" t="s">
        <v>269</v>
      </c>
      <c r="C52" s="1289" t="s">
        <v>270</v>
      </c>
      <c r="D52" s="1289" t="s">
        <v>271</v>
      </c>
      <c r="E52" s="24089"/>
      <c r="F52" s="24089"/>
      <c r="G52" s="24089"/>
      <c r="H52" s="24089"/>
      <c r="I52" s="24090"/>
      <c r="J52" s="1289"/>
      <c r="K52" s="1289"/>
      <c r="L52" s="1290"/>
      <c r="P52" s="24092"/>
      <c r="Q52" s="1257"/>
      <c r="R52" s="292"/>
      <c r="S52" s="1204"/>
      <c r="T52" s="301" t="s">
        <v>641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268</v>
      </c>
      <c r="B53" s="1289" t="s">
        <v>269</v>
      </c>
      <c r="C53" s="1289" t="s">
        <v>270</v>
      </c>
      <c r="D53" s="1289" t="s">
        <v>271</v>
      </c>
      <c r="E53" s="24089"/>
      <c r="F53" s="24089"/>
      <c r="G53" s="24089"/>
      <c r="H53" s="240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268</v>
      </c>
      <c r="B54" s="1269" t="s">
        <v>269</v>
      </c>
      <c r="C54" s="1269" t="s">
        <v>270</v>
      </c>
      <c r="D54" s="1240"/>
      <c r="E54" s="24089"/>
      <c r="F54" s="24089"/>
      <c r="G54" s="24088"/>
      <c r="H54" s="1240"/>
      <c r="I54" s="1240"/>
      <c r="J54" s="1240"/>
      <c r="K54" s="1240"/>
      <c r="L54" s="1265"/>
      <c r="M54" s="1241"/>
      <c r="N54" s="124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268</v>
      </c>
      <c r="B55" s="1269" t="s">
        <v>269</v>
      </c>
      <c r="C55" s="1240"/>
      <c r="D55" s="1240"/>
      <c r="E55" s="24089"/>
      <c r="F55" s="24088"/>
      <c r="G55" s="1240"/>
      <c r="H55" s="1240"/>
      <c r="I55" s="1240"/>
      <c r="J55" s="1240"/>
      <c r="K55" s="1240"/>
      <c r="L55" s="1265"/>
      <c r="M55" s="1247"/>
      <c r="N55" s="124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268</v>
      </c>
      <c r="B56" s="1269"/>
      <c r="C56" s="1269"/>
      <c r="D56" s="1269"/>
      <c r="E56" s="24088"/>
      <c r="F56" s="1269"/>
      <c r="G56" s="1269"/>
      <c r="H56" s="1269"/>
      <c r="I56" s="1269"/>
      <c r="J56" s="1269"/>
      <c r="K56" s="1269"/>
      <c r="L56" s="1272"/>
      <c r="M56" s="1247"/>
      <c r="N56" s="1247"/>
      <c r="O56" s="454"/>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081">
        <v>19</v>
      </c>
    </row>
    <row r="60" spans="1:45" ht="29.25" customHeight="1">
      <c r="O60" s="473"/>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081">
        <v>28</v>
      </c>
    </row>
    <row r="61" spans="1:45" ht="42" customHeight="1">
      <c r="O61" s="473"/>
      <c r="T61" s="24087"/>
      <c r="U61" s="24087"/>
      <c r="V61" s="24087"/>
      <c r="W61" s="24087"/>
      <c r="X61" s="24087"/>
      <c r="Y61" s="24087"/>
      <c r="Z61" s="24087"/>
      <c r="AA61" s="24087"/>
      <c r="AB61" s="24087"/>
      <c r="AC61" s="24087"/>
      <c r="AD61" s="24087"/>
      <c r="AE61" s="24087"/>
      <c r="AF61" s="24087"/>
      <c r="AG61" s="24087"/>
      <c r="AH61" s="24087"/>
      <c r="AI61" s="24087"/>
      <c r="AJ61" s="24087"/>
      <c r="AK61" s="24087"/>
      <c r="AL61" s="24087"/>
      <c r="AM61" s="24087"/>
      <c r="AS61" s="1081">
        <v>40</v>
      </c>
    </row>
    <row r="62" spans="1:45" ht="14.65" customHeight="1">
      <c r="O62" s="473"/>
      <c r="AS62" s="1081">
        <v>14</v>
      </c>
    </row>
    <row r="63" spans="1:45" ht="21" customHeight="1">
      <c r="O63" s="473"/>
      <c r="S63" s="1179"/>
      <c r="T63" s="23992"/>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081">
        <v>20</v>
      </c>
    </row>
    <row r="64" spans="1:45" ht="29.25" customHeight="1">
      <c r="O64" s="473"/>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081">
        <v>28</v>
      </c>
    </row>
    <row r="65" spans="1:45" ht="35.65" customHeight="1">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S65" s="1081">
        <v>34</v>
      </c>
    </row>
    <row r="66" spans="1:45" ht="22.5" hidden="1" customHeight="1">
      <c r="A66" s="1086" t="s">
        <v>73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7109375" style="1979" hidden="1" customWidth="1"/>
    <col min="17" max="18" width="3" style="280"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68"/>
      <c r="Y1" s="263"/>
      <c r="Z1" s="263"/>
      <c r="AG1" s="263"/>
      <c r="AH1" s="263"/>
      <c r="AS1" s="1081" t="s">
        <v>1</v>
      </c>
    </row>
    <row r="2" spans="1:45" ht="21" hidden="1" customHeight="1">
      <c r="A2" s="1289"/>
      <c r="B2" s="1289"/>
      <c r="C2" s="1289"/>
      <c r="D2" s="1289"/>
      <c r="E2" s="24088">
        <v>1</v>
      </c>
      <c r="F2" s="1289"/>
      <c r="G2" s="1289"/>
      <c r="H2" s="1289"/>
      <c r="I2" s="1289"/>
      <c r="J2" s="1289"/>
      <c r="K2" s="1289"/>
      <c r="L2" s="1290"/>
      <c r="M2" s="1291"/>
      <c r="N2" s="1291"/>
      <c r="O2" s="1291"/>
      <c r="P2" s="297"/>
      <c r="Q2" s="296"/>
      <c r="R2" s="291"/>
      <c r="S2" s="1262" t="e">
        <f>INDEX(PT_DIFFERENTIATION_NUM_NTAR,MATCH(A2,PT_DIFFERENTIATION_NTAR_ID,0))</f>
        <v>#N/A</v>
      </c>
      <c r="T2" s="234"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436"/>
      <c r="AP2" s="436" t="str">
        <f t="shared" ref="AP2:AP15" si="0">IF(T2="","",T2)</f>
        <v>Наименование тарифа</v>
      </c>
      <c r="AQ2" s="436"/>
      <c r="AR2" s="436"/>
      <c r="AS2" s="1081">
        <v>0</v>
      </c>
    </row>
    <row r="3" spans="1:45" ht="21" hidden="1" customHeight="1">
      <c r="A3" s="1289"/>
      <c r="B3" s="1289"/>
      <c r="C3" s="1289"/>
      <c r="D3" s="1289"/>
      <c r="E3" s="24089"/>
      <c r="F3" s="24088">
        <v>1</v>
      </c>
      <c r="G3" s="1289"/>
      <c r="H3" s="1289"/>
      <c r="I3" s="1289"/>
      <c r="J3" s="1289"/>
      <c r="K3" s="1289"/>
      <c r="L3" s="1290"/>
      <c r="M3" s="1291"/>
      <c r="N3" s="1291"/>
      <c r="O3" s="1291"/>
      <c r="P3" s="1258"/>
      <c r="Q3" s="288"/>
      <c r="R3" s="289"/>
      <c r="S3" s="1262" t="e">
        <f>INDEX(PT_DIFFERENTIATION_NUM_TER,MATCH(B3,PT_DIFFERENTIATION_TER_ID,0))</f>
        <v>#N/A</v>
      </c>
      <c r="T3" s="244"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436"/>
      <c r="AP3" s="436" t="str">
        <f t="shared" si="0"/>
        <v>Территория действия тарифа</v>
      </c>
      <c r="AQ3" s="436"/>
      <c r="AR3" s="436"/>
      <c r="AS3" s="1081">
        <v>0</v>
      </c>
    </row>
    <row r="4" spans="1:45" ht="23.25" hidden="1" customHeight="1">
      <c r="A4" s="1289"/>
      <c r="B4" s="1289"/>
      <c r="C4" s="1289"/>
      <c r="D4" s="1289"/>
      <c r="E4" s="24089"/>
      <c r="F4" s="24089"/>
      <c r="G4" s="24088">
        <v>1</v>
      </c>
      <c r="H4" s="1289"/>
      <c r="I4" s="1289"/>
      <c r="J4" s="1289"/>
      <c r="K4" s="1289"/>
      <c r="L4" s="1290"/>
      <c r="M4" s="1291"/>
      <c r="N4" s="1291"/>
      <c r="O4" s="1291"/>
      <c r="P4" s="290"/>
      <c r="Q4" s="288"/>
      <c r="R4" s="289"/>
      <c r="S4" s="1902" t="e">
        <f>INDEX(PT_DIFFERENTIATION_NUM_CS,MATCH(C4,PT_DIFFERENTIATION_CS_ID,0))</f>
        <v>#N/A</v>
      </c>
      <c r="T4" s="1906" t="s">
        <v>628</v>
      </c>
      <c r="U4" s="1907"/>
      <c r="V4" s="24124"/>
      <c r="W4" s="24125"/>
      <c r="X4" s="24125"/>
      <c r="Y4" s="24125"/>
      <c r="Z4" s="24125"/>
      <c r="AA4" s="24125"/>
      <c r="AB4" s="24125"/>
      <c r="AC4" s="24126"/>
      <c r="AD4" s="24124" t="e">
        <f>INDEX(PT_DIFFERENTIATION_CS,MATCH(C4,PT_DIFFERENTIATION_CS_ID,0))</f>
        <v>#N/A</v>
      </c>
      <c r="AE4" s="24125"/>
      <c r="AF4" s="24125"/>
      <c r="AG4" s="24125"/>
      <c r="AH4" s="24125"/>
      <c r="AI4" s="24125"/>
      <c r="AJ4" s="24125"/>
      <c r="AK4" s="24125"/>
      <c r="AL4" s="24126"/>
      <c r="AM4" s="1184" t="s">
        <v>629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089"/>
      <c r="F5" s="24089"/>
      <c r="G5" s="24089"/>
      <c r="H5" s="24088">
        <v>1</v>
      </c>
      <c r="I5" s="1289"/>
      <c r="J5" s="1289"/>
      <c r="K5" s="1289"/>
      <c r="L5" s="1290"/>
      <c r="M5" s="1291"/>
      <c r="N5" s="1291"/>
      <c r="O5" s="1291"/>
      <c r="P5" s="290"/>
      <c r="Q5" s="288"/>
      <c r="R5" s="1561"/>
      <c r="S5" s="1901" t="e">
        <f>INDEX(PT_DIFFERENTIATION_NUM_IST_TE,MATCH(D5,PT_DIFFERENTIATION_IST_TE_ID,0))</f>
        <v>#N/A</v>
      </c>
      <c r="T5" s="246" t="s">
        <v>630</v>
      </c>
      <c r="U5" s="236"/>
      <c r="V5" s="24127"/>
      <c r="W5" s="24127"/>
      <c r="X5" s="24127"/>
      <c r="Y5" s="24127"/>
      <c r="Z5" s="24127"/>
      <c r="AA5" s="24127"/>
      <c r="AB5" s="24127"/>
      <c r="AC5" s="24127"/>
      <c r="AD5" s="24127" t="e">
        <f>INDEX(PT_DIFFERENTIATION_IST_TE,MATCH(D5,PT_DIFFERENTIATION_IST_TE_ID,0))</f>
        <v>#N/A</v>
      </c>
      <c r="AE5" s="24127"/>
      <c r="AF5" s="24127"/>
      <c r="AG5" s="24127"/>
      <c r="AH5" s="24127"/>
      <c r="AI5" s="24127"/>
      <c r="AJ5" s="24127"/>
      <c r="AK5" s="24127"/>
      <c r="AL5" s="24127"/>
      <c r="AM5" s="1904" t="s">
        <v>631</v>
      </c>
      <c r="AO5" s="436"/>
      <c r="AP5" s="436" t="str">
        <f t="shared" si="0"/>
        <v xml:space="preserve">Источник тепловой энергии  </v>
      </c>
      <c r="AQ5" s="436"/>
      <c r="AR5" s="436"/>
      <c r="AS5" s="1081">
        <v>0</v>
      </c>
    </row>
    <row r="6" spans="1:45" ht="0.75" hidden="1" customHeight="1">
      <c r="A6" s="1289"/>
      <c r="B6" s="1289"/>
      <c r="C6" s="1289"/>
      <c r="D6" s="1289"/>
      <c r="E6" s="24089"/>
      <c r="F6" s="24089"/>
      <c r="G6" s="24089"/>
      <c r="H6" s="24089"/>
      <c r="I6" s="24090" t="e">
        <f>S5&amp;".1"</f>
        <v>#N/A</v>
      </c>
      <c r="J6" s="1289"/>
      <c r="K6" s="1289"/>
      <c r="L6" s="1290" t="s">
        <v>632</v>
      </c>
      <c r="M6" s="473"/>
      <c r="P6" s="24092">
        <v>1</v>
      </c>
      <c r="Q6" s="1257"/>
      <c r="R6" s="1900"/>
      <c r="S6" s="971"/>
      <c r="T6" s="1309"/>
      <c r="U6" s="1310"/>
      <c r="V6" s="24128"/>
      <c r="W6" s="24128"/>
      <c r="X6" s="24128"/>
      <c r="Y6" s="24128"/>
      <c r="Z6" s="24128"/>
      <c r="AA6" s="24128"/>
      <c r="AB6" s="24128"/>
      <c r="AC6" s="24128"/>
      <c r="AD6" s="24128"/>
      <c r="AE6" s="24128"/>
      <c r="AF6" s="24128"/>
      <c r="AG6" s="24128"/>
      <c r="AH6" s="24128"/>
      <c r="AI6" s="24128"/>
      <c r="AJ6" s="24128"/>
      <c r="AK6" s="24128"/>
      <c r="AL6" s="24128"/>
      <c r="AM6" s="1905"/>
      <c r="AO6" s="436"/>
      <c r="AP6" s="436" t="str">
        <f t="shared" si="0"/>
        <v/>
      </c>
      <c r="AQ6" s="436"/>
      <c r="AR6" s="436"/>
      <c r="AS6" s="1081">
        <v>0</v>
      </c>
    </row>
    <row r="7" spans="1:45" ht="84" hidden="1" customHeight="1">
      <c r="A7" s="1289"/>
      <c r="B7" s="1289"/>
      <c r="C7" s="1289"/>
      <c r="D7" s="1289"/>
      <c r="E7" s="24089"/>
      <c r="F7" s="24089"/>
      <c r="G7" s="24089"/>
      <c r="H7" s="24089"/>
      <c r="I7" s="24091"/>
      <c r="J7" s="24090" t="e">
        <f>I6&amp;".1"</f>
        <v>#N/A</v>
      </c>
      <c r="K7" s="1289"/>
      <c r="L7" s="1290" t="s">
        <v>635</v>
      </c>
      <c r="M7" s="473"/>
      <c r="N7" s="1292"/>
      <c r="P7" s="24092"/>
      <c r="Q7" s="24092">
        <v>1</v>
      </c>
      <c r="R7" s="1568"/>
      <c r="S7" s="1901" t="e">
        <f>$J7</f>
        <v>#N/A</v>
      </c>
      <c r="T7" s="222" t="s">
        <v>636</v>
      </c>
      <c r="U7" s="236"/>
      <c r="V7" s="24122"/>
      <c r="W7" s="24122"/>
      <c r="X7" s="24122"/>
      <c r="Y7" s="24122"/>
      <c r="Z7" s="24122"/>
      <c r="AA7" s="24122"/>
      <c r="AB7" s="24122"/>
      <c r="AC7" s="24122"/>
      <c r="AD7" s="24122"/>
      <c r="AE7" s="24122"/>
      <c r="AF7" s="24122"/>
      <c r="AG7" s="24122"/>
      <c r="AH7" s="24122"/>
      <c r="AI7" s="24122"/>
      <c r="AJ7" s="24122"/>
      <c r="AK7" s="24122"/>
      <c r="AL7" s="24122"/>
      <c r="AM7" s="1904" t="s">
        <v>637</v>
      </c>
      <c r="AO7" s="436"/>
      <c r="AP7" s="436" t="str">
        <f t="shared" si="0"/>
        <v>Группа потребителей</v>
      </c>
      <c r="AQ7" s="436"/>
      <c r="AR7" s="436"/>
      <c r="AS7" s="1081">
        <v>0</v>
      </c>
    </row>
    <row r="8" spans="1:45" ht="11.25" hidden="1" customHeight="1">
      <c r="A8" s="1289"/>
      <c r="B8" s="1289"/>
      <c r="C8" s="1289"/>
      <c r="D8" s="1289"/>
      <c r="E8" s="24089"/>
      <c r="F8" s="24089"/>
      <c r="G8" s="24089"/>
      <c r="H8" s="24089"/>
      <c r="I8" s="24091"/>
      <c r="J8" s="24091"/>
      <c r="K8" s="24090" t="e">
        <f>J7&amp;".1"</f>
        <v>#N/A</v>
      </c>
      <c r="L8" s="1290" t="s">
        <v>638</v>
      </c>
      <c r="M8" s="473"/>
      <c r="N8" s="1292"/>
      <c r="O8" s="1292"/>
      <c r="P8" s="24092"/>
      <c r="Q8" s="24092"/>
      <c r="R8" s="293">
        <v>1</v>
      </c>
      <c r="S8" s="1903" t="e">
        <f>$K8</f>
        <v>#N/A</v>
      </c>
      <c r="T8" s="1908"/>
      <c r="U8" s="1909"/>
      <c r="V8" s="1910"/>
      <c r="W8" s="1275"/>
      <c r="X8" s="1910"/>
      <c r="Y8" s="1911"/>
      <c r="Z8" s="24123"/>
      <c r="AA8" s="23962" t="s">
        <v>59</v>
      </c>
      <c r="AB8" s="24123"/>
      <c r="AC8" s="23962" t="s">
        <v>59</v>
      </c>
      <c r="AD8" s="1910"/>
      <c r="AE8" s="1275"/>
      <c r="AF8" s="1910"/>
      <c r="AG8" s="1911"/>
      <c r="AH8" s="24123"/>
      <c r="AI8" s="23962" t="s">
        <v>59</v>
      </c>
      <c r="AJ8" s="24123"/>
      <c r="AK8" s="23962" t="s">
        <v>59</v>
      </c>
      <c r="AL8" s="1275"/>
      <c r="AM8" s="24111" t="s">
        <v>639</v>
      </c>
      <c r="AN8" s="447" t="e">
        <f ca="1">STRCHECKDATE(V9:AL9)</f>
        <v>#NAME?</v>
      </c>
      <c r="AO8" s="436"/>
      <c r="AP8" s="436" t="str">
        <f t="shared" si="0"/>
        <v/>
      </c>
      <c r="AQ8" s="436"/>
      <c r="AR8" s="436"/>
      <c r="AS8" s="1081">
        <v>0</v>
      </c>
    </row>
    <row r="9" spans="1:45" ht="0.75" hidden="1" customHeight="1">
      <c r="A9" s="1289"/>
      <c r="B9" s="1289"/>
      <c r="C9" s="1289"/>
      <c r="D9" s="1289"/>
      <c r="E9" s="24089"/>
      <c r="F9" s="24089"/>
      <c r="G9" s="24089"/>
      <c r="H9" s="24089"/>
      <c r="I9" s="24091"/>
      <c r="J9" s="24091"/>
      <c r="K9" s="24090"/>
      <c r="L9" s="1290"/>
      <c r="M9" s="473"/>
      <c r="N9" s="1292"/>
      <c r="O9" s="1292"/>
      <c r="P9" s="24092"/>
      <c r="Q9" s="24092"/>
      <c r="R9" s="293"/>
      <c r="S9" s="1268"/>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436"/>
      <c r="AP9" s="436" t="str">
        <f t="shared" si="0"/>
        <v/>
      </c>
      <c r="AQ9" s="436"/>
      <c r="AR9" s="436"/>
      <c r="AS9" s="1081">
        <v>0</v>
      </c>
    </row>
    <row r="10" spans="1:45" ht="11.25" hidden="1" customHeight="1">
      <c r="A10" s="1289"/>
      <c r="B10" s="1289"/>
      <c r="C10" s="1289"/>
      <c r="D10" s="1289"/>
      <c r="E10" s="24089"/>
      <c r="F10" s="24089"/>
      <c r="G10" s="24089"/>
      <c r="H10" s="24089"/>
      <c r="I10" s="24091"/>
      <c r="J10" s="24090"/>
      <c r="K10" s="1289"/>
      <c r="L10" s="1290"/>
      <c r="M10" s="473"/>
      <c r="N10" s="1292"/>
      <c r="P10" s="24092"/>
      <c r="Q10" s="24092"/>
      <c r="R10" s="292"/>
      <c r="S10" s="1204"/>
      <c r="T10" s="223" t="s">
        <v>640</v>
      </c>
      <c r="U10" s="303"/>
      <c r="V10" s="303"/>
      <c r="W10" s="303"/>
      <c r="X10" s="303"/>
      <c r="Y10" s="303"/>
      <c r="Z10" s="303"/>
      <c r="AA10" s="303"/>
      <c r="AB10" s="303"/>
      <c r="AC10" s="303"/>
      <c r="AD10" s="303"/>
      <c r="AE10" s="303"/>
      <c r="AF10" s="303"/>
      <c r="AG10" s="303"/>
      <c r="AH10" s="303"/>
      <c r="AI10" s="303"/>
      <c r="AJ10" s="303"/>
      <c r="AK10" s="303"/>
      <c r="AL10" s="260"/>
      <c r="AM10" s="2411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089"/>
      <c r="F11" s="24089"/>
      <c r="G11" s="24089"/>
      <c r="H11" s="24089"/>
      <c r="I11" s="24090"/>
      <c r="J11" s="1289"/>
      <c r="K11" s="1289"/>
      <c r="L11" s="1290"/>
      <c r="M11" s="473"/>
      <c r="P11" s="24092"/>
      <c r="Q11" s="1257"/>
      <c r="R11" s="292"/>
      <c r="S11" s="1204"/>
      <c r="T11" s="301" t="s">
        <v>641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0.75" hidden="1" customHeight="1">
      <c r="A12" s="1289"/>
      <c r="B12" s="1289"/>
      <c r="C12" s="1289"/>
      <c r="D12" s="1289"/>
      <c r="E12" s="24089"/>
      <c r="F12" s="24089"/>
      <c r="G12" s="24089"/>
      <c r="H12" s="240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4089"/>
      <c r="F13" s="24089"/>
      <c r="G13" s="24088"/>
      <c r="H13" s="1240"/>
      <c r="I13" s="1240"/>
      <c r="J13" s="1240"/>
      <c r="K13" s="1240"/>
      <c r="L13" s="1265"/>
      <c r="M13" s="1241"/>
      <c r="N13" s="124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4089"/>
      <c r="F14" s="24088"/>
      <c r="G14" s="1240"/>
      <c r="H14" s="1240"/>
      <c r="I14" s="1240"/>
      <c r="J14" s="1240"/>
      <c r="K14" s="1240"/>
      <c r="L14" s="1265"/>
      <c r="M14" s="1247"/>
      <c r="N14" s="124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4088"/>
      <c r="F15" s="1240"/>
      <c r="G15" s="1240"/>
      <c r="H15" s="1240"/>
      <c r="I15" s="1240"/>
      <c r="J15" s="1240"/>
      <c r="K15" s="1240"/>
      <c r="L15" s="1265"/>
      <c r="M15" s="1247"/>
      <c r="N15" s="124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4086"/>
      <c r="AI17" s="24085" t="s">
        <v>59</v>
      </c>
      <c r="AJ17" s="24086"/>
      <c r="AK17" s="24085" t="s">
        <v>59</v>
      </c>
      <c r="AS17" s="1081">
        <v>0</v>
      </c>
    </row>
    <row r="18" spans="1:45" ht="14.25" hidden="1" customHeight="1">
      <c r="AD18" s="1286"/>
      <c r="AE18" s="1286"/>
      <c r="AF18" s="1286"/>
      <c r="AG18" s="264" t="str">
        <f>AH17&amp;"-"&amp;AJ17</f>
        <v>-</v>
      </c>
      <c r="AH18" s="24085"/>
      <c r="AI18" s="24085"/>
      <c r="AJ18" s="24085"/>
      <c r="AK18" s="24085"/>
      <c r="AS18" s="1081">
        <v>0</v>
      </c>
    </row>
    <row r="19" spans="1:45" ht="14.25" hidden="1" customHeight="1">
      <c r="AK19" s="263"/>
      <c r="AS19" s="1081">
        <v>0</v>
      </c>
    </row>
    <row r="20" spans="1:45" s="1292" customFormat="1" ht="22.5" hidden="1" customHeight="1">
      <c r="L20" s="1255"/>
      <c r="M20" s="1288"/>
      <c r="N20" s="1288"/>
      <c r="O20" s="1293" t="s">
        <v>644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645</v>
      </c>
      <c r="P22" s="1288"/>
      <c r="Q22" s="1297"/>
      <c r="R22" s="1297"/>
      <c r="S22" s="665"/>
      <c r="T22" s="1086" t="s">
        <v>646</v>
      </c>
      <c r="AA22" s="123" t="s">
        <v>647</v>
      </c>
      <c r="AC22" s="123" t="s">
        <v>648</v>
      </c>
      <c r="AD22" s="1086" t="s">
        <v>646</v>
      </c>
      <c r="AI22" s="123" t="s">
        <v>649</v>
      </c>
      <c r="AK22" s="123" t="s">
        <v>648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402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21"/>
      <c r="U26" s="24021"/>
      <c r="V26" s="24021"/>
      <c r="W26" s="24021"/>
      <c r="X26" s="24021"/>
      <c r="Y26" s="24021"/>
      <c r="Z26" s="24021"/>
      <c r="AA26" s="24021"/>
      <c r="AB26" s="24021"/>
      <c r="AC26" s="24021"/>
      <c r="AD26" s="24021"/>
      <c r="AE26" s="24021"/>
      <c r="AF26" s="24021"/>
      <c r="AG26" s="24021"/>
      <c r="AH26" s="24021"/>
      <c r="AI26" s="24021"/>
      <c r="AJ26" s="24021"/>
      <c r="AK26" s="1169"/>
      <c r="AS26" s="1081">
        <v>52</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50" customFormat="1" ht="25.5" customHeight="1">
      <c r="A29" s="1294"/>
      <c r="B29" s="1294"/>
      <c r="C29" s="1294"/>
      <c r="D29" s="1294"/>
      <c r="E29" s="1294"/>
      <c r="F29" s="1294"/>
      <c r="G29" s="1294"/>
      <c r="H29" s="1294"/>
      <c r="I29" s="1294"/>
      <c r="J29" s="1294"/>
      <c r="K29" s="1294"/>
      <c r="L29" s="1295"/>
      <c r="M29" s="1294"/>
      <c r="N29" s="1294"/>
      <c r="O29" s="129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262"/>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262"/>
      <c r="AL29" s="262"/>
      <c r="AM29" s="216"/>
      <c r="AN29" s="304"/>
      <c r="AO29" s="304"/>
      <c r="AP29" s="304"/>
      <c r="AQ29" s="304"/>
      <c r="AR29" s="304"/>
      <c r="AS29" s="354">
        <v>0</v>
      </c>
    </row>
    <row r="30" spans="1:45" s="1750" customFormat="1" ht="18.75" customHeight="1">
      <c r="A30" s="1294"/>
      <c r="B30" s="1294"/>
      <c r="C30" s="1294"/>
      <c r="D30" s="1294"/>
      <c r="E30" s="1294"/>
      <c r="F30" s="1294"/>
      <c r="G30" s="1294"/>
      <c r="H30" s="1294"/>
      <c r="I30" s="1294"/>
      <c r="J30" s="1294"/>
      <c r="K30" s="1294"/>
      <c r="L30" s="1295"/>
      <c r="M30" s="1294"/>
      <c r="N30" s="1294"/>
      <c r="O30" s="1294"/>
      <c r="S30" s="24079" t="s">
        <v>650</v>
      </c>
      <c r="T30" s="24079"/>
      <c r="U30" s="1298"/>
      <c r="V30" s="24080" t="str">
        <f>IF(TITLE_DATE_PR_CHANGE="",IF(TITLE_DATE_PR="","",TITLE_DATE_PR),TITLE_DATE_PR_CHANGE)</f>
        <v>20.12.2024</v>
      </c>
      <c r="W30" s="24080"/>
      <c r="X30" s="24080"/>
      <c r="Y30" s="24080"/>
      <c r="Z30" s="24080"/>
      <c r="AA30" s="24080"/>
      <c r="AB30" s="24080"/>
      <c r="AC30" s="262"/>
      <c r="AD30" s="24080" t="str">
        <f>IF(TITLE_DATE_PR_CHANGE="",IF(TITLE_DATE_PR="","",TITLE_DATE_PR),TITLE_DATE_PR_CHANGE)</f>
        <v>20.12.2024</v>
      </c>
      <c r="AE30" s="24080"/>
      <c r="AF30" s="24080"/>
      <c r="AG30" s="24080"/>
      <c r="AH30" s="24080"/>
      <c r="AI30" s="24080"/>
      <c r="AJ30" s="24080"/>
      <c r="AK30" s="262"/>
      <c r="AL30" s="262"/>
      <c r="AM30" s="216"/>
      <c r="AN30" s="304"/>
      <c r="AO30" s="304"/>
      <c r="AP30" s="304"/>
      <c r="AQ30" s="304"/>
      <c r="AR30" s="304"/>
      <c r="AS30" s="354">
        <v>0</v>
      </c>
    </row>
    <row r="31" spans="1:45" s="1750" customFormat="1" ht="18.75" customHeight="1">
      <c r="A31" s="1294"/>
      <c r="B31" s="1294"/>
      <c r="C31" s="1294"/>
      <c r="D31" s="1294"/>
      <c r="E31" s="1294"/>
      <c r="F31" s="1294"/>
      <c r="G31" s="1294"/>
      <c r="H31" s="1294"/>
      <c r="I31" s="1294"/>
      <c r="J31" s="1294"/>
      <c r="K31" s="1294"/>
      <c r="L31" s="1295"/>
      <c r="M31" s="1294"/>
      <c r="N31" s="1294"/>
      <c r="O31" s="1294"/>
      <c r="S31" s="24079" t="s">
        <v>651</v>
      </c>
      <c r="T31" s="24079"/>
      <c r="U31" s="1298"/>
      <c r="V31" s="24081" t="str">
        <f>IF(TITLE_NUMBER_PR_CHANGE="",IF(TITLE_NUMBER_PR="","",TITLE_NUMBER_PR),TITLE_NUMBER_PR_CHANGE)</f>
        <v>403, 404</v>
      </c>
      <c r="W31" s="24081"/>
      <c r="X31" s="24081"/>
      <c r="Y31" s="24081"/>
      <c r="Z31" s="24081"/>
      <c r="AA31" s="24081"/>
      <c r="AB31" s="24081"/>
      <c r="AC31" s="262"/>
      <c r="AD31" s="24081" t="str">
        <f>IF(TITLE_NUMBER_PR_CHANGE="",IF(TITLE_NUMBER_PR="","",TITLE_NUMBER_PR),TITLE_NUMBER_PR_CHANGE)</f>
        <v>403, 404</v>
      </c>
      <c r="AE31" s="24081"/>
      <c r="AF31" s="24081"/>
      <c r="AG31" s="24081"/>
      <c r="AH31" s="24081"/>
      <c r="AI31" s="24081"/>
      <c r="AJ31" s="24081"/>
      <c r="AK31" s="262"/>
      <c r="AL31" s="262"/>
      <c r="AM31" s="216"/>
      <c r="AN31" s="304"/>
      <c r="AO31" s="304"/>
      <c r="AP31" s="304"/>
      <c r="AQ31" s="304"/>
      <c r="AR31" s="304"/>
      <c r="AS31" s="354">
        <v>0</v>
      </c>
    </row>
    <row r="32" spans="1:45" s="1750" customFormat="1" ht="18.75" customHeight="1">
      <c r="A32" s="1294"/>
      <c r="B32" s="1294"/>
      <c r="C32" s="1294"/>
      <c r="D32" s="1294"/>
      <c r="E32" s="1294"/>
      <c r="F32" s="1294"/>
      <c r="G32" s="1294"/>
      <c r="H32" s="1294"/>
      <c r="I32" s="1294"/>
      <c r="J32" s="1294"/>
      <c r="K32" s="1294"/>
      <c r="L32" s="1295"/>
      <c r="M32" s="1294"/>
      <c r="N32" s="1294"/>
      <c r="O32" s="1294"/>
      <c r="S32" s="24079" t="s">
        <v>33</v>
      </c>
      <c r="T32" s="24079"/>
      <c r="U32" s="1298"/>
      <c r="V32" s="24081" t="str">
        <f>IF(TITLE_IST_PUB_CHANGE="",IF(TITLE_IST_PUB="","",TITLE_IST_PUB),TITLE_IST_PUB_CHANGE)</f>
        <v>Смоленская газета</v>
      </c>
      <c r="W32" s="24081"/>
      <c r="X32" s="24081"/>
      <c r="Y32" s="24081"/>
      <c r="Z32" s="24081"/>
      <c r="AA32" s="24081"/>
      <c r="AB32" s="24081"/>
      <c r="AC32" s="262"/>
      <c r="AD32" s="24081" t="str">
        <f>IF(TITLE_IST_PUB_CHANGE="",IF(TITLE_IST_PUB="","",TITLE_IST_PUB),TITLE_IST_PUB_CHANGE)</f>
        <v>Смоленская газета</v>
      </c>
      <c r="AE32" s="24081"/>
      <c r="AF32" s="24081"/>
      <c r="AG32" s="24081"/>
      <c r="AH32" s="24081"/>
      <c r="AI32" s="24081"/>
      <c r="AJ32" s="2408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4079" t="s">
        <v>652</v>
      </c>
      <c r="T34" s="24079"/>
      <c r="U34" s="1298"/>
      <c r="V34" s="24080" t="str">
        <f>IF(TITLE_DATE_PR_CHANGE="",IF(TITLE_DATE_PR="","",TITLE_DATE_PR),TITLE_DATE_PR_CHANGE)</f>
        <v>20.12.2024</v>
      </c>
      <c r="W34" s="24080"/>
      <c r="X34" s="24080"/>
      <c r="Y34" s="24080"/>
      <c r="Z34" s="24080"/>
      <c r="AA34" s="24080"/>
      <c r="AB34" s="24080"/>
      <c r="AC34" s="262"/>
      <c r="AD34" s="24080" t="str">
        <f>IF(TITLE_DATE_PR_CHANGE="",IF(TITLE_DATE_PR="","",TITLE_DATE_PR),TITLE_DATE_PR_CHANGE)</f>
        <v>20.12.2024</v>
      </c>
      <c r="AE34" s="24080"/>
      <c r="AF34" s="24080"/>
      <c r="AG34" s="24080"/>
      <c r="AH34" s="24080"/>
      <c r="AI34" s="24080"/>
      <c r="AJ34" s="24080"/>
      <c r="AK34" s="262"/>
      <c r="AL34" s="262"/>
      <c r="AM34" s="216"/>
      <c r="AN34" s="304"/>
      <c r="AO34" s="304"/>
      <c r="AP34" s="304"/>
      <c r="AQ34" s="304"/>
      <c r="AR34" s="304"/>
      <c r="AS34" s="354">
        <v>0</v>
      </c>
    </row>
    <row r="35" spans="1:45" s="1750" customFormat="1" ht="18.75" hidden="1" customHeight="1">
      <c r="A35" s="1294"/>
      <c r="B35" s="1294"/>
      <c r="C35" s="1294"/>
      <c r="D35" s="1294"/>
      <c r="E35" s="1294"/>
      <c r="F35" s="1294"/>
      <c r="G35" s="1294"/>
      <c r="H35" s="1294"/>
      <c r="I35" s="1294"/>
      <c r="J35" s="1294"/>
      <c r="K35" s="1294"/>
      <c r="L35" s="1295"/>
      <c r="M35" s="1294"/>
      <c r="N35" s="1294"/>
      <c r="O35" s="1294"/>
      <c r="S35" s="24079" t="s">
        <v>653</v>
      </c>
      <c r="T35" s="24079"/>
      <c r="U35" s="1298"/>
      <c r="V35" s="24081" t="str">
        <f>IF(TITLE_NUMBER_PR_CHANGE="",IF(TITLE_NUMBER_PR="","",TITLE_NUMBER_PR),TITLE_NUMBER_PR_CHANGE)</f>
        <v>403, 404</v>
      </c>
      <c r="W35" s="24081"/>
      <c r="X35" s="24081"/>
      <c r="Y35" s="24081"/>
      <c r="Z35" s="24081"/>
      <c r="AA35" s="24081"/>
      <c r="AB35" s="24081"/>
      <c r="AC35" s="262"/>
      <c r="AD35" s="24081" t="str">
        <f>IF(TITLE_NUMBER_PR_CHANGE="",IF(TITLE_NUMBER_PR="","",TITLE_NUMBER_PR),TITLE_NUMBER_PR_CHANGE)</f>
        <v>403, 404</v>
      </c>
      <c r="AE35" s="24081"/>
      <c r="AF35" s="24081"/>
      <c r="AG35" s="24081"/>
      <c r="AH35" s="24081"/>
      <c r="AI35" s="24081"/>
      <c r="AJ35" s="24081"/>
      <c r="AK35" s="262"/>
      <c r="AL35" s="262"/>
      <c r="AM35" s="216"/>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654</v>
      </c>
      <c r="AD36" s="262"/>
      <c r="AE36" s="262"/>
      <c r="AF36" s="262"/>
      <c r="AG36" s="262"/>
      <c r="AH36" s="262"/>
      <c r="AI36" s="262"/>
      <c r="AJ36" s="262"/>
      <c r="AK36" s="214" t="s">
        <v>654</v>
      </c>
      <c r="AN36" s="304"/>
      <c r="AO36" s="304"/>
      <c r="AP36" s="304"/>
      <c r="AQ36" s="304"/>
      <c r="AR36" s="304"/>
      <c r="AS36" s="354">
        <v>0</v>
      </c>
    </row>
    <row r="37" spans="1:45" ht="14.65" customHeight="1">
      <c r="Q37" s="312"/>
      <c r="R37" s="312"/>
      <c r="S37" s="1201"/>
      <c r="T37" s="299"/>
      <c r="U37" s="1170"/>
      <c r="V37" s="24100"/>
      <c r="W37" s="24100"/>
      <c r="X37" s="24100"/>
      <c r="Y37" s="24100"/>
      <c r="Z37" s="24100"/>
      <c r="AA37" s="24100"/>
      <c r="AB37" s="24100"/>
      <c r="AC37" s="24100"/>
      <c r="AD37" s="24100"/>
      <c r="AE37" s="24100"/>
      <c r="AF37" s="24100"/>
      <c r="AG37" s="24100"/>
      <c r="AH37" s="24100"/>
      <c r="AI37" s="24100"/>
      <c r="AJ37" s="24100"/>
      <c r="AK37" s="24100"/>
      <c r="AS37" s="1081">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081">
        <v>14</v>
      </c>
    </row>
    <row r="39" spans="1:45" ht="14.65" customHeight="1">
      <c r="Q39" s="312"/>
      <c r="R39" s="312"/>
      <c r="S39" s="24101" t="s">
        <v>79</v>
      </c>
      <c r="T39" s="24050" t="s">
        <v>655</v>
      </c>
      <c r="U39" s="237"/>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081">
        <v>14</v>
      </c>
    </row>
    <row r="40" spans="1:45" ht="35.65" customHeight="1">
      <c r="Q40" s="312"/>
      <c r="R40" s="312"/>
      <c r="S40" s="24101"/>
      <c r="T40" s="24050"/>
      <c r="U40" s="960"/>
      <c r="V40" s="24022" t="s">
        <v>660</v>
      </c>
      <c r="W40" s="24097"/>
      <c r="X40" s="23928" t="s">
        <v>662</v>
      </c>
      <c r="Y40" s="23927"/>
      <c r="Z40" s="23928" t="s">
        <v>663</v>
      </c>
      <c r="AA40" s="23933"/>
      <c r="AB40" s="23927"/>
      <c r="AC40" s="24106"/>
      <c r="AD40" s="24022" t="s">
        <v>676</v>
      </c>
      <c r="AE40" s="24097"/>
      <c r="AF40" s="23928" t="s">
        <v>662</v>
      </c>
      <c r="AG40" s="23927"/>
      <c r="AH40" s="23928" t="s">
        <v>663</v>
      </c>
      <c r="AI40" s="23933"/>
      <c r="AJ40" s="23927"/>
      <c r="AK40" s="24106"/>
      <c r="AL40" s="24109"/>
      <c r="AM40" s="23947"/>
      <c r="AS40" s="1081">
        <v>34</v>
      </c>
    </row>
    <row r="41" spans="1:45" ht="35.65" customHeight="1">
      <c r="A41" s="1296"/>
      <c r="B41" s="1296" t="s">
        <v>241</v>
      </c>
      <c r="C41" s="1296" t="s">
        <v>242</v>
      </c>
      <c r="D41" s="1296" t="s">
        <v>243</v>
      </c>
      <c r="E41" s="1290" t="s">
        <v>664</v>
      </c>
      <c r="F41" s="1290" t="s">
        <v>665</v>
      </c>
      <c r="G41" s="1290" t="s">
        <v>666</v>
      </c>
      <c r="H41" s="1290" t="s">
        <v>667</v>
      </c>
      <c r="I41" s="1290" t="s">
        <v>668</v>
      </c>
      <c r="J41" s="1290" t="s">
        <v>669</v>
      </c>
      <c r="K41" s="1290" t="s">
        <v>670</v>
      </c>
      <c r="L41" s="1290" t="s">
        <v>645</v>
      </c>
      <c r="Q41" s="312"/>
      <c r="R41" s="312"/>
      <c r="S41" s="24101"/>
      <c r="T41" s="24050"/>
      <c r="U41" s="238"/>
      <c r="V41" s="24074"/>
      <c r="W41" s="24098"/>
      <c r="X41" s="1148" t="s">
        <v>671</v>
      </c>
      <c r="Y41" s="1148" t="s">
        <v>672</v>
      </c>
      <c r="Z41" s="1264" t="s">
        <v>673</v>
      </c>
      <c r="AA41" s="24055" t="s">
        <v>674</v>
      </c>
      <c r="AB41" s="24068"/>
      <c r="AC41" s="24107"/>
      <c r="AD41" s="24074"/>
      <c r="AE41" s="24098"/>
      <c r="AF41" s="1148" t="s">
        <v>671</v>
      </c>
      <c r="AG41" s="1148" t="s">
        <v>672</v>
      </c>
      <c r="AH41" s="1264" t="s">
        <v>673</v>
      </c>
      <c r="AI41" s="24055" t="s">
        <v>674</v>
      </c>
      <c r="AJ41" s="24068"/>
      <c r="AK41" s="24107"/>
      <c r="AL41" s="24110"/>
      <c r="AM41" s="2394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218</v>
      </c>
      <c r="T42" s="1181" t="s">
        <v>95</v>
      </c>
      <c r="U42" s="1171" t="str">
        <f ca="1">OFFSET(U42,0,-1)</f>
        <v>2</v>
      </c>
      <c r="V42" s="1261">
        <f ca="1">OFFSET(V42,0,-1)+1</f>
        <v>3</v>
      </c>
      <c r="W42" s="1261"/>
      <c r="X42" s="1261">
        <f ca="1">OFFSET(X42,0,-1)+1</f>
        <v>1</v>
      </c>
      <c r="Y42" s="1261">
        <f ca="1">OFFSET(Y42,0,-1)+1</f>
        <v>2</v>
      </c>
      <c r="Z42" s="1261">
        <f ca="1">OFFSET(Z42,0,-1)+1</f>
        <v>3</v>
      </c>
      <c r="AA42" s="24099">
        <f ca="1">OFFSET(AA42,0,-1)+1</f>
        <v>4</v>
      </c>
      <c r="AB42" s="24099"/>
      <c r="AC42" s="1261">
        <f ca="1">OFFSET(AC42,0,-2)+1</f>
        <v>5</v>
      </c>
      <c r="AD42" s="1261">
        <f ca="1">OFFSET(AD42,0,-1)+1</f>
        <v>6</v>
      </c>
      <c r="AE42" s="1261"/>
      <c r="AF42" s="1261">
        <f ca="1">OFFSET(AF42,0,-1)+1</f>
        <v>1</v>
      </c>
      <c r="AG42" s="1261">
        <f ca="1">OFFSET(AG42,0,-1)+1</f>
        <v>2</v>
      </c>
      <c r="AH42" s="1261">
        <f ca="1">OFFSET(AH42,0,-1)+1</f>
        <v>3</v>
      </c>
      <c r="AI42" s="24099">
        <f ca="1">OFFSET(AI42,0,-1)+1</f>
        <v>4</v>
      </c>
      <c r="AJ42" s="24099"/>
      <c r="AK42" s="1261">
        <f ca="1">OFFSET(AK42,0,-2)+1</f>
        <v>5</v>
      </c>
      <c r="AL42" s="1171">
        <f ca="1">OFFSET(AL42,0,-1)</f>
        <v>5</v>
      </c>
      <c r="AM42" s="1261">
        <f ca="1">OFFSET(AM42,0,-1)+1</f>
        <v>6</v>
      </c>
      <c r="AN42" s="447"/>
      <c r="AO42" s="447"/>
      <c r="AP42" s="447"/>
      <c r="AQ42" s="447"/>
      <c r="AR42" s="447"/>
      <c r="AS42" s="432">
        <v>0</v>
      </c>
    </row>
    <row r="43" spans="1:45" ht="21.95" customHeight="1">
      <c r="A43" s="1289" t="s">
        <v>280</v>
      </c>
      <c r="B43" s="1289"/>
      <c r="C43" s="1289"/>
      <c r="D43" s="1289"/>
      <c r="E43" s="24088">
        <v>1</v>
      </c>
      <c r="F43" s="1289"/>
      <c r="G43" s="1289"/>
      <c r="H43" s="1289"/>
      <c r="I43" s="1289"/>
      <c r="J43" s="1289"/>
      <c r="K43" s="1289"/>
      <c r="L43" s="1290"/>
      <c r="M43" s="1291"/>
      <c r="N43" s="1291"/>
      <c r="O43" s="1291"/>
      <c r="P43" s="297"/>
      <c r="Q43" s="296"/>
      <c r="R43" s="291"/>
      <c r="S43" s="1262">
        <f>INDEX(PT_DIFFERENTIATION_NUM_NTAR,MATCH(A43,PT_DIFFERENTIATION_NTAR_ID,0))</f>
        <v>0</v>
      </c>
      <c r="T43" s="234"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280</v>
      </c>
      <c r="B44" s="1289" t="s">
        <v>281</v>
      </c>
      <c r="C44" s="1289"/>
      <c r="D44" s="1289"/>
      <c r="E44" s="24089"/>
      <c r="F44" s="24088">
        <v>1</v>
      </c>
      <c r="G44" s="1289"/>
      <c r="H44" s="1289"/>
      <c r="I44" s="1289"/>
      <c r="J44" s="1289"/>
      <c r="K44" s="1289"/>
      <c r="L44" s="1290"/>
      <c r="M44" s="1291"/>
      <c r="N44" s="1291"/>
      <c r="O44" s="1291"/>
      <c r="P44" s="1258"/>
      <c r="Q44" s="288"/>
      <c r="R44" s="289"/>
      <c r="S44" s="1262" t="str">
        <f>INDEX(PT_DIFFERENTIATION_NUM_TER,MATCH(B44,PT_DIFFERENTIATION_TER_ID,0))</f>
        <v>.</v>
      </c>
      <c r="T44" s="244"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436"/>
      <c r="AP44" s="436" t="str">
        <f t="shared" si="1"/>
        <v>Территория действия тарифа</v>
      </c>
      <c r="AQ44" s="436"/>
      <c r="AR44" s="436"/>
      <c r="AS44" s="1081">
        <v>21</v>
      </c>
    </row>
    <row r="45" spans="1:45" ht="24" customHeight="1">
      <c r="A45" s="1289" t="s">
        <v>280</v>
      </c>
      <c r="B45" s="1289" t="s">
        <v>281</v>
      </c>
      <c r="C45" s="1289" t="s">
        <v>282</v>
      </c>
      <c r="D45" s="1289"/>
      <c r="E45" s="24089"/>
      <c r="F45" s="24089"/>
      <c r="G45" s="24088">
        <v>1</v>
      </c>
      <c r="H45" s="1289"/>
      <c r="I45" s="1289"/>
      <c r="J45" s="1289"/>
      <c r="K45" s="1289"/>
      <c r="L45" s="1290"/>
      <c r="M45" s="1291"/>
      <c r="N45" s="1291"/>
      <c r="O45" s="1291"/>
      <c r="P45" s="290"/>
      <c r="Q45" s="288"/>
      <c r="R45" s="289"/>
      <c r="S45" s="126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436"/>
      <c r="AP45" s="436" t="str">
        <f t="shared" si="1"/>
        <v xml:space="preserve">Наименование системы теплоснабжения </v>
      </c>
      <c r="AQ45" s="436"/>
      <c r="AR45" s="436"/>
      <c r="AS45" s="1081">
        <v>23</v>
      </c>
    </row>
    <row r="46" spans="1:45" ht="21.95" customHeight="1">
      <c r="A46" s="1289" t="s">
        <v>280</v>
      </c>
      <c r="B46" s="1289" t="s">
        <v>281</v>
      </c>
      <c r="C46" s="1289" t="s">
        <v>282</v>
      </c>
      <c r="D46" s="1289" t="s">
        <v>283</v>
      </c>
      <c r="E46" s="24089"/>
      <c r="F46" s="24089"/>
      <c r="G46" s="24089"/>
      <c r="H46" s="24088">
        <v>1</v>
      </c>
      <c r="I46" s="1289"/>
      <c r="J46" s="1289"/>
      <c r="K46" s="1289"/>
      <c r="L46" s="1290"/>
      <c r="M46" s="1291"/>
      <c r="N46" s="1291"/>
      <c r="O46" s="1291"/>
      <c r="P46" s="290"/>
      <c r="Q46" s="288"/>
      <c r="R46" s="289"/>
      <c r="S46" s="126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436"/>
      <c r="AP46" s="436" t="str">
        <f t="shared" si="1"/>
        <v xml:space="preserve">Источник тепловой энергии  </v>
      </c>
      <c r="AQ46" s="436"/>
      <c r="AR46" s="436"/>
      <c r="AS46" s="1081">
        <v>21</v>
      </c>
    </row>
    <row r="47" spans="1:45" s="1568" customFormat="1" ht="0" hidden="1" customHeight="1">
      <c r="A47" s="1269" t="s">
        <v>280</v>
      </c>
      <c r="B47" s="1269" t="s">
        <v>281</v>
      </c>
      <c r="C47" s="1269" t="s">
        <v>282</v>
      </c>
      <c r="D47" s="1269" t="s">
        <v>283</v>
      </c>
      <c r="E47" s="24089"/>
      <c r="F47" s="24089"/>
      <c r="G47" s="24089"/>
      <c r="H47" s="24089"/>
      <c r="I47" s="24090" t="str">
        <f>S46&amp;".1"</f>
        <v>....1</v>
      </c>
      <c r="J47" s="1269"/>
      <c r="K47" s="1269"/>
      <c r="L47" s="1272" t="s">
        <v>632</v>
      </c>
      <c r="M47" s="446"/>
      <c r="N47" s="446"/>
      <c r="O47" s="446"/>
      <c r="P47" s="24092">
        <v>1</v>
      </c>
      <c r="Q47" s="1257"/>
      <c r="R47" s="292"/>
      <c r="S47" s="971"/>
      <c r="T47" s="1309"/>
      <c r="U47" s="1310"/>
      <c r="V47" s="24119"/>
      <c r="W47" s="24120"/>
      <c r="X47" s="24120"/>
      <c r="Y47" s="24120"/>
      <c r="Z47" s="24120"/>
      <c r="AA47" s="24120"/>
      <c r="AB47" s="24120"/>
      <c r="AC47" s="24121"/>
      <c r="AD47" s="24119"/>
      <c r="AE47" s="24120"/>
      <c r="AF47" s="24120"/>
      <c r="AG47" s="24120"/>
      <c r="AH47" s="24120"/>
      <c r="AI47" s="24120"/>
      <c r="AJ47" s="24120"/>
      <c r="AK47" s="24120"/>
      <c r="AL47" s="24121"/>
      <c r="AM47" s="1311"/>
      <c r="AO47" s="436"/>
      <c r="AP47" s="436" t="str">
        <f t="shared" si="1"/>
        <v/>
      </c>
      <c r="AQ47" s="436"/>
      <c r="AR47" s="436"/>
      <c r="AS47" s="447">
        <v>0</v>
      </c>
    </row>
    <row r="48" spans="1:45" ht="21.95" customHeight="1">
      <c r="A48" s="1289" t="s">
        <v>280</v>
      </c>
      <c r="B48" s="1289" t="s">
        <v>281</v>
      </c>
      <c r="C48" s="1289" t="s">
        <v>282</v>
      </c>
      <c r="D48" s="1289" t="s">
        <v>283</v>
      </c>
      <c r="E48" s="24089"/>
      <c r="F48" s="24089"/>
      <c r="G48" s="24089"/>
      <c r="H48" s="24089"/>
      <c r="I48" s="24091"/>
      <c r="J48" s="24090" t="str">
        <f>S46&amp;".1"</f>
        <v>....1</v>
      </c>
      <c r="K48" s="1289"/>
      <c r="L48" s="1290" t="s">
        <v>635</v>
      </c>
      <c r="P48" s="24092"/>
      <c r="Q48" s="24092">
        <v>1</v>
      </c>
      <c r="R48" s="293"/>
      <c r="S48" s="1262" t="str">
        <f>$J48</f>
        <v>....1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436"/>
      <c r="AP48" s="436" t="str">
        <f t="shared" si="1"/>
        <v>Группа потребителей</v>
      </c>
      <c r="AQ48" s="436"/>
      <c r="AR48" s="436"/>
      <c r="AS48" s="1081">
        <v>21</v>
      </c>
    </row>
    <row r="49" spans="1:45" ht="21.95" customHeight="1">
      <c r="A49" s="1289" t="s">
        <v>280</v>
      </c>
      <c r="B49" s="1289" t="s">
        <v>281</v>
      </c>
      <c r="C49" s="1289" t="s">
        <v>282</v>
      </c>
      <c r="D49" s="1289" t="s">
        <v>283</v>
      </c>
      <c r="E49" s="24089"/>
      <c r="F49" s="24089"/>
      <c r="G49" s="24089"/>
      <c r="H49" s="24089"/>
      <c r="I49" s="24091"/>
      <c r="J49" s="24091"/>
      <c r="K49" s="24090" t="str">
        <f>J48&amp;".1"</f>
        <v>....1.1</v>
      </c>
      <c r="L49" s="1290" t="s">
        <v>638</v>
      </c>
      <c r="P49" s="24092"/>
      <c r="Q49" s="24092"/>
      <c r="R49" s="293">
        <v>1</v>
      </c>
      <c r="S49" s="1262" t="str">
        <f>$K49</f>
        <v>....1.1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677</v>
      </c>
      <c r="AN49" s="447" t="e">
        <f ca="1">STRCHECKDATE(V50:AL50)</f>
        <v>#NAME?</v>
      </c>
      <c r="AO49" s="436"/>
      <c r="AP49" s="436" t="str">
        <f t="shared" si="1"/>
        <v/>
      </c>
      <c r="AQ49" s="436"/>
      <c r="AR49" s="436"/>
      <c r="AS49" s="1081">
        <v>21</v>
      </c>
    </row>
    <row r="50" spans="1:45" ht="1.1499999999999999" customHeight="1">
      <c r="A50" s="1289" t="s">
        <v>280</v>
      </c>
      <c r="B50" s="1289" t="s">
        <v>281</v>
      </c>
      <c r="C50" s="1289" t="s">
        <v>282</v>
      </c>
      <c r="D50" s="1289" t="s">
        <v>283</v>
      </c>
      <c r="E50" s="24089"/>
      <c r="F50" s="24089"/>
      <c r="G50" s="24089"/>
      <c r="H50" s="24089"/>
      <c r="I50" s="24091"/>
      <c r="J50" s="24091"/>
      <c r="K50" s="24090"/>
      <c r="L50" s="1290"/>
      <c r="P50" s="24092"/>
      <c r="Q50" s="24092"/>
      <c r="R50" s="293"/>
      <c r="S50" s="1268"/>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436"/>
      <c r="AP50" s="436" t="str">
        <f t="shared" si="1"/>
        <v/>
      </c>
      <c r="AQ50" s="436"/>
      <c r="AR50" s="436"/>
      <c r="AS50" s="1081">
        <v>1</v>
      </c>
    </row>
    <row r="51" spans="1:45" ht="11.45" customHeight="1">
      <c r="A51" s="1289" t="s">
        <v>280</v>
      </c>
      <c r="B51" s="1289" t="s">
        <v>281</v>
      </c>
      <c r="C51" s="1289" t="s">
        <v>282</v>
      </c>
      <c r="D51" s="1289" t="s">
        <v>283</v>
      </c>
      <c r="E51" s="24089"/>
      <c r="F51" s="24089"/>
      <c r="G51" s="24089"/>
      <c r="H51" s="24089"/>
      <c r="I51" s="24091"/>
      <c r="J51" s="24090"/>
      <c r="K51" s="1289"/>
      <c r="L51" s="1290"/>
      <c r="P51" s="24092"/>
      <c r="Q51" s="24092"/>
      <c r="R51" s="292"/>
      <c r="S51" s="1204"/>
      <c r="T51" s="223" t="s">
        <v>640</v>
      </c>
      <c r="U51" s="303"/>
      <c r="V51" s="303"/>
      <c r="W51" s="303"/>
      <c r="X51" s="303"/>
      <c r="Y51" s="303"/>
      <c r="Z51" s="303"/>
      <c r="AA51" s="303"/>
      <c r="AB51" s="303"/>
      <c r="AC51" s="303"/>
      <c r="AD51" s="303"/>
      <c r="AE51" s="303"/>
      <c r="AF51" s="303"/>
      <c r="AG51" s="303"/>
      <c r="AH51" s="303"/>
      <c r="AI51" s="303"/>
      <c r="AJ51" s="303"/>
      <c r="AK51" s="303"/>
      <c r="AL51" s="260"/>
      <c r="AM51" s="24113"/>
      <c r="AO51" s="436"/>
      <c r="AP51" s="436" t="str">
        <f t="shared" si="1"/>
        <v>Добавить вид теплоносителя (параметры теплоносителя)</v>
      </c>
      <c r="AQ51" s="436"/>
      <c r="AR51" s="436"/>
      <c r="AS51" s="1081">
        <v>11</v>
      </c>
    </row>
    <row r="52" spans="1:45" ht="11.45" customHeight="1">
      <c r="A52" s="1289" t="s">
        <v>280</v>
      </c>
      <c r="B52" s="1289" t="s">
        <v>281</v>
      </c>
      <c r="C52" s="1289" t="s">
        <v>282</v>
      </c>
      <c r="D52" s="1289" t="s">
        <v>283</v>
      </c>
      <c r="E52" s="24089"/>
      <c r="F52" s="24089"/>
      <c r="G52" s="24089"/>
      <c r="H52" s="24089"/>
      <c r="I52" s="24090"/>
      <c r="J52" s="1289"/>
      <c r="K52" s="1289"/>
      <c r="L52" s="1290"/>
      <c r="P52" s="24092"/>
      <c r="Q52" s="1257"/>
      <c r="R52" s="292"/>
      <c r="S52" s="1204"/>
      <c r="T52" s="301" t="s">
        <v>641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280</v>
      </c>
      <c r="B53" s="1289" t="s">
        <v>281</v>
      </c>
      <c r="C53" s="1289" t="s">
        <v>282</v>
      </c>
      <c r="D53" s="1289" t="s">
        <v>283</v>
      </c>
      <c r="E53" s="24089"/>
      <c r="F53" s="24089"/>
      <c r="G53" s="24089"/>
      <c r="H53" s="240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280</v>
      </c>
      <c r="B54" s="1269" t="s">
        <v>281</v>
      </c>
      <c r="C54" s="1269" t="s">
        <v>282</v>
      </c>
      <c r="D54" s="1240"/>
      <c r="E54" s="24089"/>
      <c r="F54" s="24089"/>
      <c r="G54" s="24088"/>
      <c r="H54" s="1240"/>
      <c r="I54" s="1240"/>
      <c r="J54" s="1240"/>
      <c r="K54" s="1240"/>
      <c r="L54" s="1265"/>
      <c r="M54" s="1241"/>
      <c r="N54" s="124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280</v>
      </c>
      <c r="B55" s="1269" t="s">
        <v>281</v>
      </c>
      <c r="C55" s="1240"/>
      <c r="D55" s="1240"/>
      <c r="E55" s="24089"/>
      <c r="F55" s="24088"/>
      <c r="G55" s="1240"/>
      <c r="H55" s="1240"/>
      <c r="I55" s="1240"/>
      <c r="J55" s="1240"/>
      <c r="K55" s="1240"/>
      <c r="L55" s="1265"/>
      <c r="M55" s="1247"/>
      <c r="N55" s="124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280</v>
      </c>
      <c r="B56" s="1269"/>
      <c r="C56" s="1269"/>
      <c r="D56" s="1269"/>
      <c r="E56" s="24088"/>
      <c r="F56" s="1269"/>
      <c r="G56" s="1269"/>
      <c r="H56" s="1269"/>
      <c r="I56" s="1269"/>
      <c r="J56" s="1269"/>
      <c r="K56" s="1269"/>
      <c r="L56" s="1272"/>
      <c r="M56" s="1247"/>
      <c r="N56" s="1247"/>
      <c r="O56" s="454"/>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081">
        <v>22</v>
      </c>
    </row>
    <row r="60" spans="1:45" ht="30.4" customHeight="1">
      <c r="O60" s="473"/>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081">
        <v>29</v>
      </c>
    </row>
    <row r="61" spans="1:45" ht="42" customHeight="1">
      <c r="O61" s="473"/>
      <c r="T61" s="24087"/>
      <c r="U61" s="24087"/>
      <c r="V61" s="24087"/>
      <c r="W61" s="24087"/>
      <c r="X61" s="24087"/>
      <c r="Y61" s="24087"/>
      <c r="Z61" s="24087"/>
      <c r="AA61" s="24087"/>
      <c r="AB61" s="24087"/>
      <c r="AC61" s="24087"/>
      <c r="AD61" s="24087"/>
      <c r="AE61" s="24087"/>
      <c r="AF61" s="24087"/>
      <c r="AG61" s="24087"/>
      <c r="AH61" s="24087"/>
      <c r="AI61" s="24087"/>
      <c r="AJ61" s="24087"/>
      <c r="AK61" s="24087"/>
      <c r="AL61" s="24087"/>
      <c r="AM61" s="24087"/>
      <c r="AS61" s="1081">
        <v>40</v>
      </c>
    </row>
    <row r="62" spans="1:45" ht="14.65" customHeight="1">
      <c r="O62" s="473"/>
      <c r="AS62" s="1081">
        <v>14</v>
      </c>
    </row>
    <row r="63" spans="1:45" ht="21" customHeight="1">
      <c r="O63" s="473"/>
      <c r="S63" s="1179"/>
      <c r="T63" s="23992"/>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081">
        <v>20</v>
      </c>
    </row>
    <row r="64" spans="1:45" ht="29.25" customHeight="1">
      <c r="O64" s="473"/>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081">
        <v>28</v>
      </c>
    </row>
    <row r="65" spans="1:45" ht="35.65" customHeight="1">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S65" s="1081">
        <v>34</v>
      </c>
    </row>
    <row r="66" spans="1:45" ht="22.5" hidden="1" customHeight="1">
      <c r="A66" s="1086" t="s">
        <v>73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7109375" style="1979" hidden="1" customWidth="1"/>
    <col min="17" max="18" width="3" style="280" customWidth="1"/>
    <col min="19" max="19" width="12" style="1981"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3"/>
      <c r="Z1" s="263"/>
      <c r="AG1" s="263"/>
      <c r="AH1" s="263"/>
      <c r="AS1" s="1081" t="s">
        <v>1</v>
      </c>
    </row>
    <row r="2" spans="1:45" ht="21" hidden="1" customHeight="1">
      <c r="A2" s="1289"/>
      <c r="B2" s="1289"/>
      <c r="C2" s="1289"/>
      <c r="D2" s="1289"/>
      <c r="E2" s="24088">
        <v>1</v>
      </c>
      <c r="F2" s="1289"/>
      <c r="G2" s="1289"/>
      <c r="H2" s="1289"/>
      <c r="I2" s="1289"/>
      <c r="J2" s="1289"/>
      <c r="K2" s="1289"/>
      <c r="L2" s="1290"/>
      <c r="M2" s="1291"/>
      <c r="N2" s="1291"/>
      <c r="O2" s="1291"/>
      <c r="P2" s="297"/>
      <c r="Q2" s="296"/>
      <c r="R2" s="291"/>
      <c r="S2" s="1262" t="e">
        <f>INDEX(PT_DIFFERENTIATION_NUM_NTAR,MATCH(A2,PT_DIFFERENTIATION_NTAR_ID,0))</f>
        <v>#N/A</v>
      </c>
      <c r="T2" s="234" t="s">
        <v>229</v>
      </c>
      <c r="U2" s="236"/>
      <c r="V2" s="24082"/>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4"/>
      <c r="AM2" s="1184" t="s">
        <v>625</v>
      </c>
      <c r="AO2" s="436"/>
      <c r="AP2" s="436" t="str">
        <f t="shared" ref="AP2:AP15" si="0">IF(T2="","",T2)</f>
        <v>Наименование тарифа</v>
      </c>
      <c r="AQ2" s="436"/>
      <c r="AR2" s="436"/>
      <c r="AS2" s="1081">
        <v>0</v>
      </c>
    </row>
    <row r="3" spans="1:45" ht="21" hidden="1" customHeight="1">
      <c r="A3" s="1289"/>
      <c r="B3" s="1289"/>
      <c r="C3" s="1289"/>
      <c r="D3" s="1289"/>
      <c r="E3" s="24089"/>
      <c r="F3" s="24088">
        <v>1</v>
      </c>
      <c r="G3" s="1289"/>
      <c r="H3" s="1289"/>
      <c r="I3" s="1289"/>
      <c r="J3" s="1289"/>
      <c r="K3" s="1289"/>
      <c r="L3" s="1290"/>
      <c r="M3" s="1291"/>
      <c r="N3" s="1291"/>
      <c r="O3" s="1291"/>
      <c r="P3" s="1258"/>
      <c r="Q3" s="288"/>
      <c r="R3" s="289"/>
      <c r="S3" s="1262" t="e">
        <f>INDEX(PT_DIFFERENTIATION_NUM_TER,MATCH(B3,PT_DIFFERENTIATION_TER_ID,0))</f>
        <v>#N/A</v>
      </c>
      <c r="T3" s="244" t="s">
        <v>626</v>
      </c>
      <c r="U3" s="236"/>
      <c r="V3" s="24082"/>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4"/>
      <c r="AM3" s="1184" t="s">
        <v>627</v>
      </c>
      <c r="AO3" s="436"/>
      <c r="AP3" s="436" t="str">
        <f t="shared" si="0"/>
        <v>Территория действия тарифа</v>
      </c>
      <c r="AQ3" s="436"/>
      <c r="AR3" s="436"/>
      <c r="AS3" s="1081">
        <v>0</v>
      </c>
    </row>
    <row r="4" spans="1:45" ht="23.25" hidden="1" customHeight="1">
      <c r="A4" s="1289"/>
      <c r="B4" s="1289"/>
      <c r="C4" s="1289"/>
      <c r="D4" s="1289"/>
      <c r="E4" s="24089"/>
      <c r="F4" s="24089"/>
      <c r="G4" s="24088">
        <v>1</v>
      </c>
      <c r="H4" s="1289"/>
      <c r="I4" s="1289"/>
      <c r="J4" s="1289"/>
      <c r="K4" s="1289"/>
      <c r="L4" s="1290"/>
      <c r="M4" s="1291"/>
      <c r="N4" s="1291"/>
      <c r="O4" s="1291"/>
      <c r="P4" s="290"/>
      <c r="Q4" s="288"/>
      <c r="R4" s="289"/>
      <c r="S4" s="1262" t="e">
        <f>INDEX(PT_DIFFERENTIATION_NUM_CS,MATCH(C4,PT_DIFFERENTIATION_CS_ID,0))</f>
        <v>#N/A</v>
      </c>
      <c r="T4" s="245" t="s">
        <v>628</v>
      </c>
      <c r="U4" s="236"/>
      <c r="V4" s="24082"/>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4"/>
      <c r="AM4" s="1184" t="s">
        <v>629</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4089"/>
      <c r="F5" s="24089"/>
      <c r="G5" s="24089"/>
      <c r="H5" s="24088">
        <v>1</v>
      </c>
      <c r="I5" s="1289"/>
      <c r="J5" s="1289"/>
      <c r="K5" s="1289"/>
      <c r="L5" s="1290"/>
      <c r="M5" s="1291"/>
      <c r="N5" s="1291"/>
      <c r="O5" s="1291"/>
      <c r="P5" s="290"/>
      <c r="Q5" s="288"/>
      <c r="R5" s="289"/>
      <c r="S5" s="1262" t="e">
        <f>INDEX(PT_DIFFERENTIATION_NUM_IST_TE,MATCH(D5,PT_DIFFERENTIATION_IST_TE_ID,0))</f>
        <v>#N/A</v>
      </c>
      <c r="T5" s="246" t="s">
        <v>630</v>
      </c>
      <c r="U5" s="236"/>
      <c r="V5" s="24082"/>
      <c r="W5" s="24083"/>
      <c r="X5" s="24083"/>
      <c r="Y5" s="24083"/>
      <c r="Z5" s="24083"/>
      <c r="AA5" s="24083"/>
      <c r="AB5" s="24083"/>
      <c r="AC5" s="24084"/>
      <c r="AD5" s="24082" t="e">
        <f>INDEX(PT_DIFFERENTIATION_IST_TE,MATCH(D5,PT_DIFFERENTIATION_IST_TE_ID,0))</f>
        <v>#N/A</v>
      </c>
      <c r="AE5" s="24083"/>
      <c r="AF5" s="24083"/>
      <c r="AG5" s="24083"/>
      <c r="AH5" s="24083"/>
      <c r="AI5" s="24083"/>
      <c r="AJ5" s="24083"/>
      <c r="AK5" s="24083"/>
      <c r="AL5" s="24084"/>
      <c r="AM5" s="1184" t="s">
        <v>631</v>
      </c>
      <c r="AO5" s="436"/>
      <c r="AP5" s="436" t="str">
        <f t="shared" si="0"/>
        <v xml:space="preserve">Источник тепловой энергии  </v>
      </c>
      <c r="AQ5" s="436"/>
      <c r="AR5" s="436"/>
      <c r="AS5" s="1081">
        <v>0</v>
      </c>
    </row>
    <row r="6" spans="1:45" ht="14.25" hidden="1" customHeight="1">
      <c r="A6" s="1289"/>
      <c r="B6" s="1289"/>
      <c r="C6" s="1289"/>
      <c r="D6" s="1289"/>
      <c r="E6" s="24089"/>
      <c r="F6" s="24089"/>
      <c r="G6" s="24089"/>
      <c r="H6" s="24089"/>
      <c r="I6" s="24090" t="e">
        <f>S5&amp;".1"</f>
        <v>#N/A</v>
      </c>
      <c r="J6" s="1289"/>
      <c r="K6" s="1289"/>
      <c r="L6" s="1290" t="s">
        <v>632</v>
      </c>
      <c r="M6" s="473"/>
      <c r="P6" s="24092">
        <v>1</v>
      </c>
      <c r="Q6" s="1257"/>
      <c r="R6" s="292"/>
      <c r="S6" s="971"/>
      <c r="T6" s="1309"/>
      <c r="U6" s="1310"/>
      <c r="V6" s="24119"/>
      <c r="W6" s="24120"/>
      <c r="X6" s="24120"/>
      <c r="Y6" s="24120"/>
      <c r="Z6" s="24120"/>
      <c r="AA6" s="24120"/>
      <c r="AB6" s="24120"/>
      <c r="AC6" s="24121"/>
      <c r="AD6" s="24119"/>
      <c r="AE6" s="24120"/>
      <c r="AF6" s="24120"/>
      <c r="AG6" s="24120"/>
      <c r="AH6" s="24120"/>
      <c r="AI6" s="24120"/>
      <c r="AJ6" s="24120"/>
      <c r="AK6" s="24120"/>
      <c r="AL6" s="24121"/>
      <c r="AM6" s="1311"/>
      <c r="AO6" s="436"/>
      <c r="AP6" s="436" t="str">
        <f t="shared" si="0"/>
        <v/>
      </c>
      <c r="AQ6" s="436"/>
      <c r="AR6" s="436"/>
      <c r="AS6" s="1081">
        <v>0</v>
      </c>
    </row>
    <row r="7" spans="1:45" ht="21" hidden="1" customHeight="1">
      <c r="A7" s="1289"/>
      <c r="B7" s="1289"/>
      <c r="C7" s="1289"/>
      <c r="D7" s="1289"/>
      <c r="E7" s="24089"/>
      <c r="F7" s="24089"/>
      <c r="G7" s="24089"/>
      <c r="H7" s="24089"/>
      <c r="I7" s="24091"/>
      <c r="J7" s="24090" t="e">
        <f>I6&amp;".1"</f>
        <v>#N/A</v>
      </c>
      <c r="K7" s="1289"/>
      <c r="L7" s="1290" t="s">
        <v>635</v>
      </c>
      <c r="M7" s="473"/>
      <c r="N7" s="1292"/>
      <c r="P7" s="24092"/>
      <c r="Q7" s="24092">
        <v>1</v>
      </c>
      <c r="R7" s="293"/>
      <c r="S7" s="1262" t="e">
        <f>$J7</f>
        <v>#N/A</v>
      </c>
      <c r="T7" s="222" t="s">
        <v>636</v>
      </c>
      <c r="U7" s="236"/>
      <c r="V7" s="24076"/>
      <c r="W7" s="24077"/>
      <c r="X7" s="24077"/>
      <c r="Y7" s="24077"/>
      <c r="Z7" s="24077"/>
      <c r="AA7" s="24077"/>
      <c r="AB7" s="24077"/>
      <c r="AC7" s="24078"/>
      <c r="AD7" s="24076"/>
      <c r="AE7" s="24077"/>
      <c r="AF7" s="24077"/>
      <c r="AG7" s="24077"/>
      <c r="AH7" s="24077"/>
      <c r="AI7" s="24077"/>
      <c r="AJ7" s="24077"/>
      <c r="AK7" s="24077"/>
      <c r="AL7" s="24078"/>
      <c r="AM7" s="1184" t="s">
        <v>637</v>
      </c>
      <c r="AO7" s="436"/>
      <c r="AP7" s="436" t="str">
        <f t="shared" si="0"/>
        <v>Группа потребителей</v>
      </c>
      <c r="AQ7" s="436"/>
      <c r="AR7" s="436"/>
      <c r="AS7" s="1081">
        <v>0</v>
      </c>
    </row>
    <row r="8" spans="1:45" ht="21" hidden="1" customHeight="1">
      <c r="A8" s="1289"/>
      <c r="B8" s="1289"/>
      <c r="C8" s="1289"/>
      <c r="D8" s="1289"/>
      <c r="E8" s="24089"/>
      <c r="F8" s="24089"/>
      <c r="G8" s="24089"/>
      <c r="H8" s="24089"/>
      <c r="I8" s="24091"/>
      <c r="J8" s="24091"/>
      <c r="K8" s="24090" t="e">
        <f>J7&amp;".1"</f>
        <v>#N/A</v>
      </c>
      <c r="L8" s="1290" t="s">
        <v>638</v>
      </c>
      <c r="M8" s="473"/>
      <c r="N8" s="1292"/>
      <c r="O8" s="1292"/>
      <c r="P8" s="24092"/>
      <c r="Q8" s="24092"/>
      <c r="R8" s="293">
        <v>1</v>
      </c>
      <c r="S8" s="1262" t="e">
        <f>$K8</f>
        <v>#N/A</v>
      </c>
      <c r="T8" s="1273"/>
      <c r="U8" s="236"/>
      <c r="V8" s="687"/>
      <c r="W8" s="261"/>
      <c r="X8" s="687"/>
      <c r="Y8" s="1183"/>
      <c r="Z8" s="24093"/>
      <c r="AA8" s="23957" t="s">
        <v>59</v>
      </c>
      <c r="AB8" s="24093"/>
      <c r="AC8" s="23957" t="s">
        <v>59</v>
      </c>
      <c r="AD8" s="687"/>
      <c r="AE8" s="261"/>
      <c r="AF8" s="687"/>
      <c r="AG8" s="1183"/>
      <c r="AH8" s="24093"/>
      <c r="AI8" s="23957" t="s">
        <v>59</v>
      </c>
      <c r="AJ8" s="24093"/>
      <c r="AK8" s="23957" t="s">
        <v>59</v>
      </c>
      <c r="AL8" s="261"/>
      <c r="AM8" s="24111" t="s">
        <v>639</v>
      </c>
      <c r="AN8" s="447" t="e">
        <f ca="1">STRCHECKDATE(V9:AL9)</f>
        <v>#NAME?</v>
      </c>
      <c r="AO8" s="436"/>
      <c r="AP8" s="436" t="str">
        <f t="shared" si="0"/>
        <v/>
      </c>
      <c r="AQ8" s="436"/>
      <c r="AR8" s="436"/>
      <c r="AS8" s="1081">
        <v>0</v>
      </c>
    </row>
    <row r="9" spans="1:45" ht="14.25" hidden="1" customHeight="1">
      <c r="A9" s="1289"/>
      <c r="B9" s="1289"/>
      <c r="C9" s="1289"/>
      <c r="D9" s="1289"/>
      <c r="E9" s="24089"/>
      <c r="F9" s="24089"/>
      <c r="G9" s="24089"/>
      <c r="H9" s="24089"/>
      <c r="I9" s="24091"/>
      <c r="J9" s="24091"/>
      <c r="K9" s="24090"/>
      <c r="L9" s="1290"/>
      <c r="M9" s="473"/>
      <c r="N9" s="1292"/>
      <c r="O9" s="1292"/>
      <c r="P9" s="24092"/>
      <c r="Q9" s="24092"/>
      <c r="R9" s="293"/>
      <c r="S9" s="1268"/>
      <c r="T9" s="236"/>
      <c r="U9" s="236"/>
      <c r="V9" s="261"/>
      <c r="W9" s="261"/>
      <c r="X9" s="261"/>
      <c r="Y9" s="264" t="str">
        <f>Z8&amp;"-"&amp;AB8</f>
        <v>-</v>
      </c>
      <c r="Z9" s="24094"/>
      <c r="AA9" s="23957"/>
      <c r="AB9" s="24094"/>
      <c r="AC9" s="23957"/>
      <c r="AD9" s="261"/>
      <c r="AE9" s="261"/>
      <c r="AF9" s="261"/>
      <c r="AG9" s="264" t="str">
        <f>AH8&amp;"-"&amp;AJ8</f>
        <v>-</v>
      </c>
      <c r="AH9" s="24094"/>
      <c r="AI9" s="23957"/>
      <c r="AJ9" s="24094"/>
      <c r="AK9" s="23957"/>
      <c r="AL9" s="261"/>
      <c r="AM9" s="24112"/>
      <c r="AO9" s="436"/>
      <c r="AP9" s="436" t="str">
        <f t="shared" si="0"/>
        <v/>
      </c>
      <c r="AQ9" s="436"/>
      <c r="AR9" s="436"/>
      <c r="AS9" s="1081">
        <v>0</v>
      </c>
    </row>
    <row r="10" spans="1:45" ht="15" hidden="1" customHeight="1">
      <c r="A10" s="1289"/>
      <c r="B10" s="1289"/>
      <c r="C10" s="1289"/>
      <c r="D10" s="1289"/>
      <c r="E10" s="24089"/>
      <c r="F10" s="24089"/>
      <c r="G10" s="24089"/>
      <c r="H10" s="24089"/>
      <c r="I10" s="24091"/>
      <c r="J10" s="24090"/>
      <c r="K10" s="1289"/>
      <c r="L10" s="1290"/>
      <c r="M10" s="473"/>
      <c r="N10" s="1292"/>
      <c r="P10" s="24092"/>
      <c r="Q10" s="24092"/>
      <c r="R10" s="292"/>
      <c r="S10" s="1204"/>
      <c r="T10" s="223" t="s">
        <v>640</v>
      </c>
      <c r="U10" s="303"/>
      <c r="V10" s="303"/>
      <c r="W10" s="303"/>
      <c r="X10" s="303"/>
      <c r="Y10" s="303"/>
      <c r="Z10" s="303"/>
      <c r="AA10" s="303"/>
      <c r="AB10" s="303"/>
      <c r="AC10" s="303"/>
      <c r="AD10" s="303"/>
      <c r="AE10" s="303"/>
      <c r="AF10" s="303"/>
      <c r="AG10" s="303"/>
      <c r="AH10" s="303"/>
      <c r="AI10" s="303"/>
      <c r="AJ10" s="303"/>
      <c r="AK10" s="303"/>
      <c r="AL10" s="260"/>
      <c r="AM10" s="2411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4089"/>
      <c r="F11" s="24089"/>
      <c r="G11" s="24089"/>
      <c r="H11" s="24089"/>
      <c r="I11" s="24090"/>
      <c r="J11" s="1289"/>
      <c r="K11" s="1289"/>
      <c r="L11" s="1290"/>
      <c r="M11" s="473"/>
      <c r="P11" s="24092"/>
      <c r="Q11" s="1257"/>
      <c r="R11" s="292"/>
      <c r="S11" s="1204"/>
      <c r="T11" s="301" t="s">
        <v>641</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81">
        <v>0</v>
      </c>
    </row>
    <row r="12" spans="1:45" ht="14.25" hidden="1" customHeight="1">
      <c r="A12" s="1289"/>
      <c r="B12" s="1289"/>
      <c r="C12" s="1289"/>
      <c r="D12" s="1289"/>
      <c r="E12" s="24089"/>
      <c r="F12" s="24089"/>
      <c r="G12" s="24089"/>
      <c r="H12" s="2408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4089"/>
      <c r="F13" s="24089"/>
      <c r="G13" s="24088"/>
      <c r="H13" s="1240"/>
      <c r="I13" s="1240"/>
      <c r="J13" s="1240"/>
      <c r="K13" s="1240"/>
      <c r="L13" s="1265"/>
      <c r="M13" s="1241"/>
      <c r="N13" s="1241"/>
      <c r="P13" s="1242"/>
      <c r="Q13" s="1243"/>
      <c r="R13" s="1242"/>
      <c r="S13" s="1244"/>
      <c r="T13" s="1245" t="s">
        <v>643</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4089"/>
      <c r="F14" s="24088"/>
      <c r="G14" s="1240"/>
      <c r="H14" s="1240"/>
      <c r="I14" s="1240"/>
      <c r="J14" s="1240"/>
      <c r="K14" s="1240"/>
      <c r="L14" s="1265"/>
      <c r="M14" s="1247"/>
      <c r="N14" s="1247"/>
      <c r="P14" s="1242"/>
      <c r="Q14" s="1243"/>
      <c r="R14" s="1242"/>
      <c r="S14" s="1248"/>
      <c r="T14" s="1249" t="s">
        <v>370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4088"/>
      <c r="F15" s="1240"/>
      <c r="G15" s="1240"/>
      <c r="H15" s="1240"/>
      <c r="I15" s="1240"/>
      <c r="J15" s="1240"/>
      <c r="K15" s="1240"/>
      <c r="L15" s="1265"/>
      <c r="M15" s="1247"/>
      <c r="N15" s="1247"/>
      <c r="P15" s="1242"/>
      <c r="Q15" s="1243"/>
      <c r="R15" s="1242"/>
      <c r="S15" s="1248"/>
      <c r="T15" s="1251" t="s">
        <v>481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3"/>
      <c r="AK16" s="263"/>
      <c r="AS16" s="1081">
        <v>0</v>
      </c>
    </row>
    <row r="17" spans="1:45" ht="14.25" hidden="1" customHeight="1">
      <c r="AD17" s="1286"/>
      <c r="AE17" s="1286"/>
      <c r="AF17" s="1286"/>
      <c r="AG17" s="1287"/>
      <c r="AH17" s="24086"/>
      <c r="AI17" s="24085" t="s">
        <v>59</v>
      </c>
      <c r="AJ17" s="24086"/>
      <c r="AK17" s="24085" t="s">
        <v>59</v>
      </c>
      <c r="AS17" s="1081">
        <v>0</v>
      </c>
    </row>
    <row r="18" spans="1:45" ht="14.25" hidden="1" customHeight="1">
      <c r="AD18" s="1286"/>
      <c r="AE18" s="1286"/>
      <c r="AF18" s="1286"/>
      <c r="AG18" s="264" t="str">
        <f>AH17&amp;"-"&amp;AJ17</f>
        <v>-</v>
      </c>
      <c r="AH18" s="24085"/>
      <c r="AI18" s="24085"/>
      <c r="AJ18" s="24085"/>
      <c r="AK18" s="24085"/>
      <c r="AS18" s="1081">
        <v>0</v>
      </c>
    </row>
    <row r="19" spans="1:45" ht="14.25" hidden="1" customHeight="1">
      <c r="AK19" s="263"/>
      <c r="AS19" s="1081">
        <v>0</v>
      </c>
    </row>
    <row r="20" spans="1:45" s="1292" customFormat="1" ht="22.5" hidden="1" customHeight="1">
      <c r="L20" s="1255"/>
      <c r="M20" s="1288"/>
      <c r="N20" s="1288"/>
      <c r="O20" s="1293" t="s">
        <v>644</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645</v>
      </c>
      <c r="P22" s="1288"/>
      <c r="Q22" s="1297"/>
      <c r="R22" s="1297"/>
      <c r="S22" s="665"/>
      <c r="T22" s="1086" t="s">
        <v>646</v>
      </c>
      <c r="AA22" s="123" t="s">
        <v>647</v>
      </c>
      <c r="AC22" s="123" t="s">
        <v>648</v>
      </c>
      <c r="AD22" s="1086" t="s">
        <v>646</v>
      </c>
      <c r="AI22" s="123" t="s">
        <v>649</v>
      </c>
      <c r="AK22" s="123" t="s">
        <v>648</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4069"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069"/>
      <c r="U26" s="24069"/>
      <c r="V26" s="24069"/>
      <c r="W26" s="24069"/>
      <c r="X26" s="24069"/>
      <c r="Y26" s="24069"/>
      <c r="Z26" s="24069"/>
      <c r="AA26" s="24069"/>
      <c r="AB26" s="24069"/>
      <c r="AC26" s="24069"/>
      <c r="AD26" s="24069"/>
      <c r="AE26" s="24069"/>
      <c r="AF26" s="24069"/>
      <c r="AG26" s="24069"/>
      <c r="AH26" s="24069"/>
      <c r="AI26" s="24069"/>
      <c r="AJ26" s="24069"/>
      <c r="AK26" s="1169"/>
      <c r="AS26" s="1081">
        <v>51</v>
      </c>
    </row>
    <row r="27" spans="1:45" ht="14.65" customHeight="1">
      <c r="Q27" s="312"/>
      <c r="R27" s="312"/>
      <c r="S27" s="24042" t="str">
        <f>IF(org=0,"Не определено",org)</f>
        <v>ООО "Смоленскрегионтеплоэнерго"</v>
      </c>
      <c r="T27" s="24042"/>
      <c r="U27" s="24042"/>
      <c r="V27" s="24042"/>
      <c r="W27" s="24042"/>
      <c r="X27" s="24042"/>
      <c r="Y27" s="24042"/>
      <c r="Z27" s="24042"/>
      <c r="AA27" s="24042"/>
      <c r="AB27" s="24042"/>
      <c r="AC27" s="24042"/>
      <c r="AD27" s="24042"/>
      <c r="AE27" s="24042"/>
      <c r="AF27" s="24042"/>
      <c r="AG27" s="24042"/>
      <c r="AH27" s="24042"/>
      <c r="AI27" s="24042"/>
      <c r="AJ27" s="24042"/>
      <c r="AK27" s="1169"/>
      <c r="AS27" s="1081">
        <v>14</v>
      </c>
    </row>
    <row r="28" spans="1:45" ht="14.25" customHeight="1">
      <c r="Q28" s="312"/>
      <c r="R28" s="312"/>
      <c r="S28" s="1201"/>
      <c r="T28" s="299"/>
      <c r="U28" s="299"/>
      <c r="V28" s="258"/>
      <c r="W28" s="258"/>
      <c r="X28" s="258"/>
      <c r="Y28" s="258"/>
      <c r="Z28" s="258"/>
      <c r="AA28" s="258"/>
      <c r="AB28" s="258"/>
      <c r="AC28" s="258"/>
      <c r="AD28" s="258"/>
      <c r="AE28" s="258"/>
      <c r="AF28" s="258"/>
      <c r="AG28" s="258"/>
      <c r="AH28" s="258"/>
      <c r="AI28" s="258"/>
      <c r="AJ28" s="258"/>
      <c r="AK28" s="258"/>
      <c r="AL28" s="445"/>
      <c r="AS28" s="1081">
        <v>0</v>
      </c>
    </row>
    <row r="29" spans="1:45" s="1750" customFormat="1" ht="25.5" customHeight="1">
      <c r="A29" s="1294"/>
      <c r="B29" s="1294"/>
      <c r="C29" s="1294"/>
      <c r="D29" s="1294"/>
      <c r="E29" s="1294"/>
      <c r="F29" s="1294"/>
      <c r="G29" s="1294"/>
      <c r="H29" s="1294"/>
      <c r="I29" s="1294"/>
      <c r="J29" s="1294"/>
      <c r="K29" s="1294"/>
      <c r="L29" s="1295"/>
      <c r="M29" s="1294"/>
      <c r="N29" s="1294"/>
      <c r="O29" s="1294"/>
      <c r="S29" s="24079" t="s">
        <v>31</v>
      </c>
      <c r="T29" s="24079"/>
      <c r="U29" s="1298"/>
      <c r="V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9" s="24081"/>
      <c r="X29" s="24081"/>
      <c r="Y29" s="24081"/>
      <c r="Z29" s="24081"/>
      <c r="AA29" s="24081"/>
      <c r="AB29" s="24081"/>
      <c r="AC29" s="262"/>
      <c r="AD29"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29" s="24081"/>
      <c r="AF29" s="24081"/>
      <c r="AG29" s="24081"/>
      <c r="AH29" s="24081"/>
      <c r="AI29" s="24081"/>
      <c r="AJ29" s="24081"/>
      <c r="AK29" s="262"/>
      <c r="AL29" s="262"/>
      <c r="AM29" s="216"/>
      <c r="AN29" s="304"/>
      <c r="AO29" s="304"/>
      <c r="AP29" s="304"/>
      <c r="AQ29" s="304"/>
      <c r="AR29" s="304"/>
      <c r="AS29" s="354">
        <v>0</v>
      </c>
    </row>
    <row r="30" spans="1:45" s="1750" customFormat="1" ht="18.75" customHeight="1">
      <c r="A30" s="1294"/>
      <c r="B30" s="1294"/>
      <c r="C30" s="1294"/>
      <c r="D30" s="1294"/>
      <c r="E30" s="1294"/>
      <c r="F30" s="1294"/>
      <c r="G30" s="1294"/>
      <c r="H30" s="1294"/>
      <c r="I30" s="1294"/>
      <c r="J30" s="1294"/>
      <c r="K30" s="1294"/>
      <c r="L30" s="1295"/>
      <c r="M30" s="1294"/>
      <c r="N30" s="1294"/>
      <c r="O30" s="1294"/>
      <c r="S30" s="24079" t="s">
        <v>650</v>
      </c>
      <c r="T30" s="24079"/>
      <c r="U30" s="1298"/>
      <c r="V30" s="24080" t="str">
        <f>IF(TITLE_DATE_PR_CHANGE="",IF(TITLE_DATE_PR="","",TITLE_DATE_PR),TITLE_DATE_PR_CHANGE)</f>
        <v>20.12.2024</v>
      </c>
      <c r="W30" s="24080"/>
      <c r="X30" s="24080"/>
      <c r="Y30" s="24080"/>
      <c r="Z30" s="24080"/>
      <c r="AA30" s="24080"/>
      <c r="AB30" s="24080"/>
      <c r="AC30" s="262"/>
      <c r="AD30" s="24080" t="str">
        <f>IF(TITLE_DATE_PR_CHANGE="",IF(TITLE_DATE_PR="","",TITLE_DATE_PR),TITLE_DATE_PR_CHANGE)</f>
        <v>20.12.2024</v>
      </c>
      <c r="AE30" s="24080"/>
      <c r="AF30" s="24080"/>
      <c r="AG30" s="24080"/>
      <c r="AH30" s="24080"/>
      <c r="AI30" s="24080"/>
      <c r="AJ30" s="24080"/>
      <c r="AK30" s="262"/>
      <c r="AL30" s="262"/>
      <c r="AM30" s="216"/>
      <c r="AN30" s="304"/>
      <c r="AO30" s="304"/>
      <c r="AP30" s="304"/>
      <c r="AQ30" s="304"/>
      <c r="AR30" s="304"/>
      <c r="AS30" s="354">
        <v>0</v>
      </c>
    </row>
    <row r="31" spans="1:45" s="1750" customFormat="1" ht="18.75" customHeight="1">
      <c r="A31" s="1294"/>
      <c r="B31" s="1294"/>
      <c r="C31" s="1294"/>
      <c r="D31" s="1294"/>
      <c r="E31" s="1294"/>
      <c r="F31" s="1294"/>
      <c r="G31" s="1294"/>
      <c r="H31" s="1294"/>
      <c r="I31" s="1294"/>
      <c r="J31" s="1294"/>
      <c r="K31" s="1294"/>
      <c r="L31" s="1295"/>
      <c r="M31" s="1294"/>
      <c r="N31" s="1294"/>
      <c r="O31" s="1294"/>
      <c r="S31" s="24079" t="s">
        <v>651</v>
      </c>
      <c r="T31" s="24079"/>
      <c r="U31" s="1298"/>
      <c r="V31" s="24081" t="str">
        <f>IF(TITLE_NUMBER_PR_CHANGE="",IF(TITLE_NUMBER_PR="","",TITLE_NUMBER_PR),TITLE_NUMBER_PR_CHANGE)</f>
        <v>403, 404</v>
      </c>
      <c r="W31" s="24081"/>
      <c r="X31" s="24081"/>
      <c r="Y31" s="24081"/>
      <c r="Z31" s="24081"/>
      <c r="AA31" s="24081"/>
      <c r="AB31" s="24081"/>
      <c r="AC31" s="262"/>
      <c r="AD31" s="24081" t="str">
        <f>IF(TITLE_NUMBER_PR_CHANGE="",IF(TITLE_NUMBER_PR="","",TITLE_NUMBER_PR),TITLE_NUMBER_PR_CHANGE)</f>
        <v>403, 404</v>
      </c>
      <c r="AE31" s="24081"/>
      <c r="AF31" s="24081"/>
      <c r="AG31" s="24081"/>
      <c r="AH31" s="24081"/>
      <c r="AI31" s="24081"/>
      <c r="AJ31" s="24081"/>
      <c r="AK31" s="262"/>
      <c r="AL31" s="262"/>
      <c r="AM31" s="216"/>
      <c r="AN31" s="304"/>
      <c r="AO31" s="304"/>
      <c r="AP31" s="304"/>
      <c r="AQ31" s="304"/>
      <c r="AR31" s="304"/>
      <c r="AS31" s="354">
        <v>0</v>
      </c>
    </row>
    <row r="32" spans="1:45" s="1750" customFormat="1" ht="18.75" customHeight="1">
      <c r="A32" s="1294"/>
      <c r="B32" s="1294"/>
      <c r="C32" s="1294"/>
      <c r="D32" s="1294"/>
      <c r="E32" s="1294"/>
      <c r="F32" s="1294"/>
      <c r="G32" s="1294"/>
      <c r="H32" s="1294"/>
      <c r="I32" s="1294"/>
      <c r="J32" s="1294"/>
      <c r="K32" s="1294"/>
      <c r="L32" s="1295"/>
      <c r="M32" s="1294"/>
      <c r="N32" s="1294"/>
      <c r="O32" s="1294"/>
      <c r="S32" s="24079" t="s">
        <v>33</v>
      </c>
      <c r="T32" s="24079"/>
      <c r="U32" s="1298"/>
      <c r="V32" s="24081" t="str">
        <f>IF(TITLE_IST_PUB_CHANGE="",IF(TITLE_IST_PUB="","",TITLE_IST_PUB),TITLE_IST_PUB_CHANGE)</f>
        <v>Смоленская газета</v>
      </c>
      <c r="W32" s="24081"/>
      <c r="X32" s="24081"/>
      <c r="Y32" s="24081"/>
      <c r="Z32" s="24081"/>
      <c r="AA32" s="24081"/>
      <c r="AB32" s="24081"/>
      <c r="AC32" s="262"/>
      <c r="AD32" s="24081" t="str">
        <f>IF(TITLE_IST_PUB_CHANGE="",IF(TITLE_IST_PUB="","",TITLE_IST_PUB),TITLE_IST_PUB_CHANGE)</f>
        <v>Смоленская газета</v>
      </c>
      <c r="AE32" s="24081"/>
      <c r="AF32" s="24081"/>
      <c r="AG32" s="24081"/>
      <c r="AH32" s="24081"/>
      <c r="AI32" s="24081"/>
      <c r="AJ32" s="24081"/>
      <c r="AK32" s="262"/>
      <c r="AL32" s="262"/>
      <c r="AM32" s="216"/>
      <c r="AN32" s="304"/>
      <c r="AO32" s="304"/>
      <c r="AP32" s="304"/>
      <c r="AQ32" s="304"/>
      <c r="AR32" s="304"/>
      <c r="AS32" s="354">
        <v>0</v>
      </c>
    </row>
    <row r="33" spans="1:45" ht="14.25" hidden="1" customHeight="1">
      <c r="Q33" s="312"/>
      <c r="R33" s="312"/>
      <c r="S33" s="1201"/>
      <c r="T33" s="299"/>
      <c r="U33" s="299"/>
      <c r="V33" s="258"/>
      <c r="W33" s="258"/>
      <c r="X33" s="258"/>
      <c r="Y33" s="258"/>
      <c r="Z33" s="258"/>
      <c r="AA33" s="258"/>
      <c r="AB33" s="258"/>
      <c r="AC33" s="258"/>
      <c r="AD33" s="258"/>
      <c r="AE33" s="258"/>
      <c r="AF33" s="258"/>
      <c r="AG33" s="258"/>
      <c r="AH33" s="258"/>
      <c r="AI33" s="258"/>
      <c r="AJ33" s="258"/>
      <c r="AK33" s="258"/>
      <c r="AL33" s="445"/>
      <c r="AS33" s="1081">
        <v>0</v>
      </c>
    </row>
    <row r="34" spans="1:45" s="1750" customFormat="1" ht="18.75" hidden="1" customHeight="1">
      <c r="A34" s="1294"/>
      <c r="B34" s="1294"/>
      <c r="C34" s="1294"/>
      <c r="D34" s="1294"/>
      <c r="E34" s="1294"/>
      <c r="F34" s="1294"/>
      <c r="G34" s="1294"/>
      <c r="H34" s="1294"/>
      <c r="I34" s="1294"/>
      <c r="J34" s="1294"/>
      <c r="K34" s="1294"/>
      <c r="L34" s="1295"/>
      <c r="M34" s="1294"/>
      <c r="N34" s="1294"/>
      <c r="O34" s="1294"/>
      <c r="S34" s="24079" t="s">
        <v>652</v>
      </c>
      <c r="T34" s="24079"/>
      <c r="U34" s="1298"/>
      <c r="V34" s="24080" t="str">
        <f>IF(TITLE_DATE_PR_CHANGE="",IF(TITLE_DATE_PR="","",TITLE_DATE_PR),TITLE_DATE_PR_CHANGE)</f>
        <v>20.12.2024</v>
      </c>
      <c r="W34" s="24080"/>
      <c r="X34" s="24080"/>
      <c r="Y34" s="24080"/>
      <c r="Z34" s="24080"/>
      <c r="AA34" s="24080"/>
      <c r="AB34" s="24080"/>
      <c r="AC34" s="262"/>
      <c r="AD34" s="24080" t="str">
        <f>IF(TITLE_DATE_PR_CHANGE="",IF(TITLE_DATE_PR="","",TITLE_DATE_PR),TITLE_DATE_PR_CHANGE)</f>
        <v>20.12.2024</v>
      </c>
      <c r="AE34" s="24080"/>
      <c r="AF34" s="24080"/>
      <c r="AG34" s="24080"/>
      <c r="AH34" s="24080"/>
      <c r="AI34" s="24080"/>
      <c r="AJ34" s="24080"/>
      <c r="AK34" s="262"/>
      <c r="AL34" s="262"/>
      <c r="AM34" s="216"/>
      <c r="AN34" s="304"/>
      <c r="AO34" s="304"/>
      <c r="AP34" s="304"/>
      <c r="AQ34" s="304"/>
      <c r="AR34" s="304"/>
      <c r="AS34" s="354">
        <v>0</v>
      </c>
    </row>
    <row r="35" spans="1:45" s="1750" customFormat="1" ht="25.5" hidden="1" customHeight="1">
      <c r="A35" s="1294"/>
      <c r="B35" s="1294"/>
      <c r="C35" s="1294"/>
      <c r="D35" s="1294"/>
      <c r="E35" s="1294"/>
      <c r="F35" s="1294"/>
      <c r="G35" s="1294"/>
      <c r="H35" s="1294"/>
      <c r="I35" s="1294"/>
      <c r="J35" s="1294"/>
      <c r="K35" s="1294"/>
      <c r="L35" s="1295"/>
      <c r="M35" s="1294"/>
      <c r="N35" s="1294"/>
      <c r="O35" s="1294"/>
      <c r="S35" s="24079" t="s">
        <v>653</v>
      </c>
      <c r="T35" s="24079"/>
      <c r="U35" s="1298"/>
      <c r="V35" s="24081" t="str">
        <f>IF(TITLE_NUMBER_PR_CHANGE="",IF(TITLE_NUMBER_PR="","",TITLE_NUMBER_PR),TITLE_NUMBER_PR_CHANGE)</f>
        <v>403, 404</v>
      </c>
      <c r="W35" s="24081"/>
      <c r="X35" s="24081"/>
      <c r="Y35" s="24081"/>
      <c r="Z35" s="24081"/>
      <c r="AA35" s="24081"/>
      <c r="AB35" s="24081"/>
      <c r="AC35" s="262"/>
      <c r="AD35" s="24081" t="str">
        <f>IF(TITLE_NUMBER_PR_CHANGE="",IF(TITLE_NUMBER_PR="","",TITLE_NUMBER_PR),TITLE_NUMBER_PR_CHANGE)</f>
        <v>403, 404</v>
      </c>
      <c r="AE35" s="24081"/>
      <c r="AF35" s="24081"/>
      <c r="AG35" s="24081"/>
      <c r="AH35" s="24081"/>
      <c r="AI35" s="24081"/>
      <c r="AJ35" s="24081"/>
      <c r="AK35" s="262"/>
      <c r="AL35" s="262"/>
      <c r="AM35" s="216"/>
      <c r="AN35" s="304"/>
      <c r="AO35" s="304"/>
      <c r="AP35" s="304"/>
      <c r="AQ35" s="304"/>
      <c r="AR35" s="304"/>
      <c r="AS35" s="354">
        <v>0</v>
      </c>
    </row>
    <row r="36" spans="1:45" s="1750" customFormat="1" ht="0" hidden="1" customHeight="1">
      <c r="A36" s="1294"/>
      <c r="B36" s="1294"/>
      <c r="C36" s="1294"/>
      <c r="D36" s="1294"/>
      <c r="E36" s="1294"/>
      <c r="F36" s="1294"/>
      <c r="G36" s="1294"/>
      <c r="H36" s="1294"/>
      <c r="I36" s="1294"/>
      <c r="J36" s="1294"/>
      <c r="K36" s="1294"/>
      <c r="L36" s="1295"/>
      <c r="M36" s="1294"/>
      <c r="N36" s="1294"/>
      <c r="O36" s="1294"/>
      <c r="S36" s="259"/>
      <c r="T36" s="259"/>
      <c r="U36" s="1266"/>
      <c r="V36" s="262"/>
      <c r="W36" s="262"/>
      <c r="X36" s="262"/>
      <c r="Y36" s="262"/>
      <c r="Z36" s="262"/>
      <c r="AA36" s="262"/>
      <c r="AB36" s="262"/>
      <c r="AC36" s="214" t="s">
        <v>654</v>
      </c>
      <c r="AD36" s="262"/>
      <c r="AE36" s="262"/>
      <c r="AF36" s="262"/>
      <c r="AG36" s="262"/>
      <c r="AH36" s="262"/>
      <c r="AI36" s="262"/>
      <c r="AJ36" s="262"/>
      <c r="AK36" s="214" t="s">
        <v>654</v>
      </c>
      <c r="AN36" s="304"/>
      <c r="AO36" s="304"/>
      <c r="AP36" s="304"/>
      <c r="AQ36" s="304"/>
      <c r="AR36" s="304"/>
      <c r="AS36" s="354">
        <v>0</v>
      </c>
    </row>
    <row r="37" spans="1:45" ht="14.65" customHeight="1">
      <c r="Q37" s="312"/>
      <c r="R37" s="312"/>
      <c r="S37" s="1201"/>
      <c r="T37" s="299"/>
      <c r="U37" s="1170"/>
      <c r="V37" s="24100"/>
      <c r="W37" s="24100"/>
      <c r="X37" s="24100"/>
      <c r="Y37" s="24100"/>
      <c r="Z37" s="24100"/>
      <c r="AA37" s="24100"/>
      <c r="AB37" s="24100"/>
      <c r="AC37" s="24100"/>
      <c r="AD37" s="24100"/>
      <c r="AE37" s="24100"/>
      <c r="AF37" s="24100"/>
      <c r="AG37" s="24100"/>
      <c r="AH37" s="24100"/>
      <c r="AI37" s="24100"/>
      <c r="AJ37" s="24100"/>
      <c r="AK37" s="24100"/>
      <c r="AS37" s="1081">
        <v>14</v>
      </c>
    </row>
    <row r="38" spans="1:45" ht="14.65" customHeight="1">
      <c r="Q38" s="312"/>
      <c r="R38" s="312"/>
      <c r="S38" s="23947" t="s">
        <v>529</v>
      </c>
      <c r="T38" s="23947"/>
      <c r="U38" s="23947"/>
      <c r="V38" s="23947"/>
      <c r="W38" s="23947"/>
      <c r="X38" s="23947"/>
      <c r="Y38" s="23947"/>
      <c r="Z38" s="23947"/>
      <c r="AA38" s="23947"/>
      <c r="AB38" s="23947"/>
      <c r="AC38" s="23947"/>
      <c r="AD38" s="23947"/>
      <c r="AE38" s="23947"/>
      <c r="AF38" s="23947"/>
      <c r="AG38" s="23947"/>
      <c r="AH38" s="23947"/>
      <c r="AI38" s="23947"/>
      <c r="AJ38" s="23947"/>
      <c r="AK38" s="23947"/>
      <c r="AL38" s="23947"/>
      <c r="AM38" s="23947" t="s">
        <v>530</v>
      </c>
      <c r="AS38" s="1081">
        <v>14</v>
      </c>
    </row>
    <row r="39" spans="1:45" ht="14.65" customHeight="1">
      <c r="Q39" s="312"/>
      <c r="R39" s="312"/>
      <c r="S39" s="24101" t="s">
        <v>79</v>
      </c>
      <c r="T39" s="24050" t="s">
        <v>655</v>
      </c>
      <c r="U39" s="237"/>
      <c r="V39" s="24102" t="s">
        <v>656</v>
      </c>
      <c r="W39" s="24103"/>
      <c r="X39" s="24103"/>
      <c r="Y39" s="24103"/>
      <c r="Z39" s="24103"/>
      <c r="AA39" s="24103"/>
      <c r="AB39" s="24104"/>
      <c r="AC39" s="24105" t="s">
        <v>657</v>
      </c>
      <c r="AD39" s="24102" t="s">
        <v>656</v>
      </c>
      <c r="AE39" s="24103"/>
      <c r="AF39" s="24103"/>
      <c r="AG39" s="24103"/>
      <c r="AH39" s="24103"/>
      <c r="AI39" s="24103"/>
      <c r="AJ39" s="24104"/>
      <c r="AK39" s="24105" t="s">
        <v>658</v>
      </c>
      <c r="AL39" s="24108" t="s">
        <v>659</v>
      </c>
      <c r="AM39" s="23947"/>
      <c r="AS39" s="1081">
        <v>14</v>
      </c>
    </row>
    <row r="40" spans="1:45" ht="35.65" customHeight="1">
      <c r="Q40" s="312"/>
      <c r="R40" s="312"/>
      <c r="S40" s="24101"/>
      <c r="T40" s="24050"/>
      <c r="U40" s="960"/>
      <c r="V40" s="24022" t="s">
        <v>660</v>
      </c>
      <c r="W40" s="24097"/>
      <c r="X40" s="23928" t="s">
        <v>662</v>
      </c>
      <c r="Y40" s="23927"/>
      <c r="Z40" s="23928" t="s">
        <v>663</v>
      </c>
      <c r="AA40" s="23933"/>
      <c r="AB40" s="23927"/>
      <c r="AC40" s="24106"/>
      <c r="AD40" s="24022" t="s">
        <v>676</v>
      </c>
      <c r="AE40" s="24097"/>
      <c r="AF40" s="23928" t="s">
        <v>662</v>
      </c>
      <c r="AG40" s="23927"/>
      <c r="AH40" s="23928" t="s">
        <v>663</v>
      </c>
      <c r="AI40" s="23933"/>
      <c r="AJ40" s="23927"/>
      <c r="AK40" s="24106"/>
      <c r="AL40" s="24109"/>
      <c r="AM40" s="23947"/>
      <c r="AS40" s="1081">
        <v>34</v>
      </c>
    </row>
    <row r="41" spans="1:45" ht="35.65" customHeight="1">
      <c r="A41" s="1296"/>
      <c r="B41" s="1296" t="s">
        <v>241</v>
      </c>
      <c r="C41" s="1296" t="s">
        <v>242</v>
      </c>
      <c r="D41" s="1296" t="s">
        <v>243</v>
      </c>
      <c r="E41" s="1290" t="s">
        <v>664</v>
      </c>
      <c r="F41" s="1290" t="s">
        <v>665</v>
      </c>
      <c r="G41" s="1290" t="s">
        <v>666</v>
      </c>
      <c r="H41" s="1290" t="s">
        <v>667</v>
      </c>
      <c r="I41" s="1290" t="s">
        <v>668</v>
      </c>
      <c r="J41" s="1290" t="s">
        <v>669</v>
      </c>
      <c r="K41" s="1290" t="s">
        <v>670</v>
      </c>
      <c r="L41" s="1290" t="s">
        <v>645</v>
      </c>
      <c r="Q41" s="312"/>
      <c r="R41" s="312"/>
      <c r="S41" s="24101"/>
      <c r="T41" s="24050"/>
      <c r="U41" s="238"/>
      <c r="V41" s="24074"/>
      <c r="W41" s="24098"/>
      <c r="X41" s="1148" t="s">
        <v>671</v>
      </c>
      <c r="Y41" s="1148" t="s">
        <v>672</v>
      </c>
      <c r="Z41" s="1264" t="s">
        <v>673</v>
      </c>
      <c r="AA41" s="24055" t="s">
        <v>674</v>
      </c>
      <c r="AB41" s="24068"/>
      <c r="AC41" s="24107"/>
      <c r="AD41" s="24074"/>
      <c r="AE41" s="24098"/>
      <c r="AF41" s="1148" t="s">
        <v>671</v>
      </c>
      <c r="AG41" s="1148" t="s">
        <v>672</v>
      </c>
      <c r="AH41" s="1264" t="s">
        <v>673</v>
      </c>
      <c r="AI41" s="24055" t="s">
        <v>674</v>
      </c>
      <c r="AJ41" s="24068"/>
      <c r="AK41" s="24107"/>
      <c r="AL41" s="24110"/>
      <c r="AM41" s="23947"/>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218</v>
      </c>
      <c r="T42" s="1181" t="s">
        <v>95</v>
      </c>
      <c r="U42" s="1171" t="str">
        <f ca="1">OFFSET(U42,0,-1)</f>
        <v>2</v>
      </c>
      <c r="V42" s="1261">
        <f ca="1">OFFSET(V42,0,-1)+1</f>
        <v>3</v>
      </c>
      <c r="W42" s="1261"/>
      <c r="X42" s="1261">
        <f ca="1">OFFSET(X42,0,-1)+1</f>
        <v>1</v>
      </c>
      <c r="Y42" s="1261">
        <f ca="1">OFFSET(Y42,0,-1)+1</f>
        <v>2</v>
      </c>
      <c r="Z42" s="1261">
        <f ca="1">OFFSET(Z42,0,-1)+1</f>
        <v>3</v>
      </c>
      <c r="AA42" s="24099">
        <f ca="1">OFFSET(AA42,0,-1)+1</f>
        <v>4</v>
      </c>
      <c r="AB42" s="24099"/>
      <c r="AC42" s="1261">
        <f ca="1">OFFSET(AC42,0,-2)+1</f>
        <v>5</v>
      </c>
      <c r="AD42" s="1261">
        <f ca="1">OFFSET(AD42,0,-1)+1</f>
        <v>6</v>
      </c>
      <c r="AE42" s="1261"/>
      <c r="AF42" s="1261">
        <f ca="1">OFFSET(AF42,0,-1)+1</f>
        <v>1</v>
      </c>
      <c r="AG42" s="1261">
        <f ca="1">OFFSET(AG42,0,-1)+1</f>
        <v>2</v>
      </c>
      <c r="AH42" s="1261">
        <f ca="1">OFFSET(AH42,0,-1)+1</f>
        <v>3</v>
      </c>
      <c r="AI42" s="24099">
        <f ca="1">OFFSET(AI42,0,-1)+1</f>
        <v>4</v>
      </c>
      <c r="AJ42" s="24099"/>
      <c r="AK42" s="1261">
        <f ca="1">OFFSET(AK42,0,-2)+1</f>
        <v>5</v>
      </c>
      <c r="AL42" s="1171">
        <f ca="1">OFFSET(AL42,0,-1)</f>
        <v>5</v>
      </c>
      <c r="AM42" s="1261">
        <f ca="1">OFFSET(AM42,0,-1)+1</f>
        <v>6</v>
      </c>
      <c r="AN42" s="447"/>
      <c r="AO42" s="447"/>
      <c r="AP42" s="447"/>
      <c r="AQ42" s="447"/>
      <c r="AR42" s="447"/>
      <c r="AS42" s="432">
        <v>0</v>
      </c>
    </row>
    <row r="43" spans="1:45" ht="21.95" customHeight="1">
      <c r="A43" s="1289" t="s">
        <v>286</v>
      </c>
      <c r="B43" s="1289"/>
      <c r="C43" s="1289"/>
      <c r="D43" s="1289"/>
      <c r="E43" s="24088">
        <v>1</v>
      </c>
      <c r="F43" s="1289"/>
      <c r="G43" s="1289"/>
      <c r="H43" s="1289"/>
      <c r="I43" s="1289"/>
      <c r="J43" s="1289"/>
      <c r="K43" s="1289"/>
      <c r="L43" s="1290"/>
      <c r="M43" s="1291"/>
      <c r="N43" s="1291"/>
      <c r="O43" s="1291"/>
      <c r="P43" s="297"/>
      <c r="Q43" s="296"/>
      <c r="R43" s="291"/>
      <c r="S43" s="1262">
        <f>INDEX(PT_DIFFERENTIATION_NUM_NTAR,MATCH(A43,PT_DIFFERENTIATION_NTAR_ID,0))</f>
        <v>0</v>
      </c>
      <c r="T43" s="234" t="s">
        <v>229</v>
      </c>
      <c r="U43" s="236"/>
      <c r="V43" s="24082"/>
      <c r="W43" s="24083"/>
      <c r="X43" s="24083"/>
      <c r="Y43" s="24083"/>
      <c r="Z43" s="24083"/>
      <c r="AA43" s="24083"/>
      <c r="AB43" s="24083"/>
      <c r="AC43" s="24084"/>
      <c r="AD43" s="24082" t="str">
        <f>INDEX(PT_DIFFERENTIATION_NTAR,MATCH(A43,PT_DIFFERENTIATION_NTAR_ID,0))</f>
        <v/>
      </c>
      <c r="AE43" s="24083"/>
      <c r="AF43" s="24083"/>
      <c r="AG43" s="24083"/>
      <c r="AH43" s="24083"/>
      <c r="AI43" s="24083"/>
      <c r="AJ43" s="24083"/>
      <c r="AK43" s="24083"/>
      <c r="AL43" s="2408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6"/>
      <c r="AP43" s="436" t="str">
        <f t="shared" ref="AP43:AP57" si="1">IF(T43="","",T43)</f>
        <v>Наименование тарифа</v>
      </c>
      <c r="AQ43" s="436"/>
      <c r="AR43" s="436"/>
      <c r="AS43" s="1081">
        <v>21</v>
      </c>
    </row>
    <row r="44" spans="1:45" ht="21.95" customHeight="1">
      <c r="A44" s="1289" t="s">
        <v>286</v>
      </c>
      <c r="B44" s="1289" t="s">
        <v>287</v>
      </c>
      <c r="C44" s="1289"/>
      <c r="D44" s="1289"/>
      <c r="E44" s="24089"/>
      <c r="F44" s="24088">
        <v>1</v>
      </c>
      <c r="G44" s="1289"/>
      <c r="H44" s="1289"/>
      <c r="I44" s="1289"/>
      <c r="J44" s="1289"/>
      <c r="K44" s="1289"/>
      <c r="L44" s="1290"/>
      <c r="M44" s="1291"/>
      <c r="N44" s="1291"/>
      <c r="O44" s="1291"/>
      <c r="P44" s="1258"/>
      <c r="Q44" s="288"/>
      <c r="R44" s="289"/>
      <c r="S44" s="1262" t="str">
        <f>INDEX(PT_DIFFERENTIATION_NUM_TER,MATCH(B44,PT_DIFFERENTIATION_TER_ID,0))</f>
        <v>.</v>
      </c>
      <c r="T44" s="244" t="s">
        <v>626</v>
      </c>
      <c r="U44" s="236"/>
      <c r="V44" s="24082"/>
      <c r="W44" s="24083"/>
      <c r="X44" s="24083"/>
      <c r="Y44" s="24083"/>
      <c r="Z44" s="24083"/>
      <c r="AA44" s="24083"/>
      <c r="AB44" s="24083"/>
      <c r="AC44" s="24084"/>
      <c r="AD44" s="24082" t="str">
        <f>INDEX(PT_DIFFERENTIATION_TER,MATCH(B44,PT_DIFFERENTIATION_TER_ID,0))</f>
        <v/>
      </c>
      <c r="AE44" s="24083"/>
      <c r="AF44" s="24083"/>
      <c r="AG44" s="24083"/>
      <c r="AH44" s="24083"/>
      <c r="AI44" s="24083"/>
      <c r="AJ44" s="24083"/>
      <c r="AK44" s="24083"/>
      <c r="AL44" s="24084"/>
      <c r="AM44" s="1184" t="s">
        <v>627</v>
      </c>
      <c r="AO44" s="436"/>
      <c r="AP44" s="436" t="str">
        <f t="shared" si="1"/>
        <v>Территория действия тарифа</v>
      </c>
      <c r="AQ44" s="436"/>
      <c r="AR44" s="436"/>
      <c r="AS44" s="1081">
        <v>21</v>
      </c>
    </row>
    <row r="45" spans="1:45" ht="24" customHeight="1">
      <c r="A45" s="1289" t="s">
        <v>286</v>
      </c>
      <c r="B45" s="1289" t="s">
        <v>287</v>
      </c>
      <c r="C45" s="1289" t="s">
        <v>288</v>
      </c>
      <c r="D45" s="1289"/>
      <c r="E45" s="24089"/>
      <c r="F45" s="24089"/>
      <c r="G45" s="24088">
        <v>1</v>
      </c>
      <c r="H45" s="1289"/>
      <c r="I45" s="1289"/>
      <c r="J45" s="1289"/>
      <c r="K45" s="1289"/>
      <c r="L45" s="1290"/>
      <c r="M45" s="1291"/>
      <c r="N45" s="1291"/>
      <c r="O45" s="1291"/>
      <c r="P45" s="290"/>
      <c r="Q45" s="288"/>
      <c r="R45" s="289"/>
      <c r="S45" s="1262" t="str">
        <f>INDEX(PT_DIFFERENTIATION_NUM_CS,MATCH(C45,PT_DIFFERENTIATION_CS_ID,0))</f>
        <v>..</v>
      </c>
      <c r="T45" s="245" t="s">
        <v>628</v>
      </c>
      <c r="U45" s="236"/>
      <c r="V45" s="24082"/>
      <c r="W45" s="24083"/>
      <c r="X45" s="24083"/>
      <c r="Y45" s="24083"/>
      <c r="Z45" s="24083"/>
      <c r="AA45" s="24083"/>
      <c r="AB45" s="24083"/>
      <c r="AC45" s="24084"/>
      <c r="AD45" s="24082" t="str">
        <f>INDEX(PT_DIFFERENTIATION_CS,MATCH(C45,PT_DIFFERENTIATION_CS_ID,0))</f>
        <v/>
      </c>
      <c r="AE45" s="24083"/>
      <c r="AF45" s="24083"/>
      <c r="AG45" s="24083"/>
      <c r="AH45" s="24083"/>
      <c r="AI45" s="24083"/>
      <c r="AJ45" s="24083"/>
      <c r="AK45" s="24083"/>
      <c r="AL45" s="24084"/>
      <c r="AM45" s="1184" t="s">
        <v>629</v>
      </c>
      <c r="AO45" s="436"/>
      <c r="AP45" s="436" t="str">
        <f t="shared" si="1"/>
        <v xml:space="preserve">Наименование системы теплоснабжения </v>
      </c>
      <c r="AQ45" s="436"/>
      <c r="AR45" s="436"/>
      <c r="AS45" s="1081">
        <v>23</v>
      </c>
    </row>
    <row r="46" spans="1:45" ht="21.95" customHeight="1">
      <c r="A46" s="1289" t="s">
        <v>286</v>
      </c>
      <c r="B46" s="1289" t="s">
        <v>287</v>
      </c>
      <c r="C46" s="1289" t="s">
        <v>288</v>
      </c>
      <c r="D46" s="1289" t="s">
        <v>289</v>
      </c>
      <c r="E46" s="24089"/>
      <c r="F46" s="24089"/>
      <c r="G46" s="24089"/>
      <c r="H46" s="24088">
        <v>1</v>
      </c>
      <c r="I46" s="1289"/>
      <c r="J46" s="1289"/>
      <c r="K46" s="1289"/>
      <c r="L46" s="1290"/>
      <c r="M46" s="1291"/>
      <c r="N46" s="1291"/>
      <c r="O46" s="1291"/>
      <c r="P46" s="290"/>
      <c r="Q46" s="288"/>
      <c r="R46" s="289"/>
      <c r="S46" s="1262" t="str">
        <f>INDEX(PT_DIFFERENTIATION_NUM_IST_TE,MATCH(D46,PT_DIFFERENTIATION_IST_TE_ID,0))</f>
        <v>...</v>
      </c>
      <c r="T46" s="246" t="s">
        <v>630</v>
      </c>
      <c r="U46" s="236"/>
      <c r="V46" s="24082"/>
      <c r="W46" s="24083"/>
      <c r="X46" s="24083"/>
      <c r="Y46" s="24083"/>
      <c r="Z46" s="24083"/>
      <c r="AA46" s="24083"/>
      <c r="AB46" s="24083"/>
      <c r="AC46" s="24084"/>
      <c r="AD46" s="24082" t="str">
        <f>INDEX(PT_DIFFERENTIATION_IST_TE,MATCH(D46,PT_DIFFERENTIATION_IST_TE_ID,0))</f>
        <v/>
      </c>
      <c r="AE46" s="24083"/>
      <c r="AF46" s="24083"/>
      <c r="AG46" s="24083"/>
      <c r="AH46" s="24083"/>
      <c r="AI46" s="24083"/>
      <c r="AJ46" s="24083"/>
      <c r="AK46" s="24083"/>
      <c r="AL46" s="24084"/>
      <c r="AM46" s="1184" t="s">
        <v>631</v>
      </c>
      <c r="AO46" s="436"/>
      <c r="AP46" s="436" t="str">
        <f t="shared" si="1"/>
        <v xml:space="preserve">Источник тепловой энергии  </v>
      </c>
      <c r="AQ46" s="436"/>
      <c r="AR46" s="436"/>
      <c r="AS46" s="1081">
        <v>21</v>
      </c>
    </row>
    <row r="47" spans="1:45" s="1568" customFormat="1" ht="0" hidden="1" customHeight="1">
      <c r="A47" s="1269" t="s">
        <v>286</v>
      </c>
      <c r="B47" s="1269" t="s">
        <v>287</v>
      </c>
      <c r="C47" s="1269" t="s">
        <v>288</v>
      </c>
      <c r="D47" s="1269" t="s">
        <v>289</v>
      </c>
      <c r="E47" s="24089"/>
      <c r="F47" s="24089"/>
      <c r="G47" s="24089"/>
      <c r="H47" s="24089"/>
      <c r="I47" s="24090" t="str">
        <f>S46&amp;".1"</f>
        <v>....1</v>
      </c>
      <c r="J47" s="1269"/>
      <c r="K47" s="1269"/>
      <c r="L47" s="1272" t="s">
        <v>632</v>
      </c>
      <c r="M47" s="446"/>
      <c r="N47" s="446"/>
      <c r="O47" s="446"/>
      <c r="P47" s="24092">
        <v>1</v>
      </c>
      <c r="Q47" s="1257"/>
      <c r="R47" s="292"/>
      <c r="S47" s="971"/>
      <c r="T47" s="1309"/>
      <c r="U47" s="1310"/>
      <c r="V47" s="24119"/>
      <c r="W47" s="24120"/>
      <c r="X47" s="24120"/>
      <c r="Y47" s="24120"/>
      <c r="Z47" s="24120"/>
      <c r="AA47" s="24120"/>
      <c r="AB47" s="24120"/>
      <c r="AC47" s="24121"/>
      <c r="AD47" s="24119"/>
      <c r="AE47" s="24120"/>
      <c r="AF47" s="24120"/>
      <c r="AG47" s="24120"/>
      <c r="AH47" s="24120"/>
      <c r="AI47" s="24120"/>
      <c r="AJ47" s="24120"/>
      <c r="AK47" s="24120"/>
      <c r="AL47" s="24121"/>
      <c r="AM47" s="1311"/>
      <c r="AO47" s="436"/>
      <c r="AP47" s="436" t="str">
        <f t="shared" si="1"/>
        <v/>
      </c>
      <c r="AQ47" s="436"/>
      <c r="AR47" s="436"/>
      <c r="AS47" s="447">
        <v>0</v>
      </c>
    </row>
    <row r="48" spans="1:45" ht="21.95" customHeight="1">
      <c r="A48" s="1289" t="s">
        <v>286</v>
      </c>
      <c r="B48" s="1289" t="s">
        <v>287</v>
      </c>
      <c r="C48" s="1289" t="s">
        <v>288</v>
      </c>
      <c r="D48" s="1289" t="s">
        <v>289</v>
      </c>
      <c r="E48" s="24089"/>
      <c r="F48" s="24089"/>
      <c r="G48" s="24089"/>
      <c r="H48" s="24089"/>
      <c r="I48" s="24091"/>
      <c r="J48" s="24090" t="str">
        <f>S46&amp;".1"</f>
        <v>....1</v>
      </c>
      <c r="K48" s="1289"/>
      <c r="L48" s="1290" t="s">
        <v>635</v>
      </c>
      <c r="P48" s="24092"/>
      <c r="Q48" s="24092">
        <v>1</v>
      </c>
      <c r="R48" s="293"/>
      <c r="S48" s="1262" t="str">
        <f>$J48</f>
        <v>....1</v>
      </c>
      <c r="T48" s="222" t="s">
        <v>636</v>
      </c>
      <c r="U48" s="236"/>
      <c r="V48" s="24076"/>
      <c r="W48" s="24077"/>
      <c r="X48" s="24077"/>
      <c r="Y48" s="24077"/>
      <c r="Z48" s="24077"/>
      <c r="AA48" s="24077"/>
      <c r="AB48" s="24077"/>
      <c r="AC48" s="24078"/>
      <c r="AD48" s="24076"/>
      <c r="AE48" s="24077"/>
      <c r="AF48" s="24077"/>
      <c r="AG48" s="24077"/>
      <c r="AH48" s="24077"/>
      <c r="AI48" s="24077"/>
      <c r="AJ48" s="24077"/>
      <c r="AK48" s="24077"/>
      <c r="AL48" s="24078"/>
      <c r="AM48" s="1184" t="s">
        <v>637</v>
      </c>
      <c r="AO48" s="436"/>
      <c r="AP48" s="436" t="str">
        <f t="shared" si="1"/>
        <v>Группа потребителей</v>
      </c>
      <c r="AQ48" s="436"/>
      <c r="AR48" s="436"/>
      <c r="AS48" s="1081">
        <v>21</v>
      </c>
    </row>
    <row r="49" spans="1:45" ht="21.95" customHeight="1">
      <c r="A49" s="1289" t="s">
        <v>286</v>
      </c>
      <c r="B49" s="1289" t="s">
        <v>287</v>
      </c>
      <c r="C49" s="1289" t="s">
        <v>288</v>
      </c>
      <c r="D49" s="1289" t="s">
        <v>289</v>
      </c>
      <c r="E49" s="24089"/>
      <c r="F49" s="24089"/>
      <c r="G49" s="24089"/>
      <c r="H49" s="24089"/>
      <c r="I49" s="24091"/>
      <c r="J49" s="24091"/>
      <c r="K49" s="24090" t="str">
        <f>J48&amp;".1"</f>
        <v>....1.1</v>
      </c>
      <c r="L49" s="1290" t="s">
        <v>638</v>
      </c>
      <c r="P49" s="24092"/>
      <c r="Q49" s="24092"/>
      <c r="R49" s="293">
        <v>1</v>
      </c>
      <c r="S49" s="1262" t="str">
        <f>$K49</f>
        <v>....1.1</v>
      </c>
      <c r="T49" s="1273"/>
      <c r="U49" s="236"/>
      <c r="V49" s="687"/>
      <c r="W49" s="261"/>
      <c r="X49" s="687"/>
      <c r="Y49" s="1183"/>
      <c r="Z49" s="24093"/>
      <c r="AA49" s="23957" t="s">
        <v>59</v>
      </c>
      <c r="AB49" s="24093"/>
      <c r="AC49" s="23957" t="s">
        <v>59</v>
      </c>
      <c r="AD49" s="687"/>
      <c r="AE49" s="261"/>
      <c r="AF49" s="687"/>
      <c r="AG49" s="1183"/>
      <c r="AH49" s="24093"/>
      <c r="AI49" s="23957" t="s">
        <v>59</v>
      </c>
      <c r="AJ49" s="24095"/>
      <c r="AK49" s="23957" t="s">
        <v>59</v>
      </c>
      <c r="AL49" s="1274"/>
      <c r="AM49" s="24111" t="s">
        <v>677</v>
      </c>
      <c r="AN49" s="447" t="e">
        <f ca="1">STRCHECKDATE(V50:AL50)</f>
        <v>#NAME?</v>
      </c>
      <c r="AO49" s="436"/>
      <c r="AP49" s="436" t="str">
        <f t="shared" si="1"/>
        <v/>
      </c>
      <c r="AQ49" s="436"/>
      <c r="AR49" s="436"/>
      <c r="AS49" s="1081">
        <v>21</v>
      </c>
    </row>
    <row r="50" spans="1:45" ht="0" hidden="1" customHeight="1">
      <c r="A50" s="1289" t="s">
        <v>286</v>
      </c>
      <c r="B50" s="1289" t="s">
        <v>287</v>
      </c>
      <c r="C50" s="1289" t="s">
        <v>288</v>
      </c>
      <c r="D50" s="1289" t="s">
        <v>289</v>
      </c>
      <c r="E50" s="24089"/>
      <c r="F50" s="24089"/>
      <c r="G50" s="24089"/>
      <c r="H50" s="24089"/>
      <c r="I50" s="24091"/>
      <c r="J50" s="24091"/>
      <c r="K50" s="24090"/>
      <c r="L50" s="1290"/>
      <c r="P50" s="24092"/>
      <c r="Q50" s="24092"/>
      <c r="R50" s="293"/>
      <c r="S50" s="1268"/>
      <c r="T50" s="236"/>
      <c r="U50" s="236"/>
      <c r="V50" s="261"/>
      <c r="W50" s="261"/>
      <c r="X50" s="261"/>
      <c r="Y50" s="264" t="str">
        <f>Z49&amp;"-"&amp;AB49</f>
        <v>-</v>
      </c>
      <c r="Z50" s="24094"/>
      <c r="AA50" s="23957"/>
      <c r="AB50" s="24094"/>
      <c r="AC50" s="23957"/>
      <c r="AD50" s="261"/>
      <c r="AE50" s="261"/>
      <c r="AF50" s="261"/>
      <c r="AG50" s="264" t="str">
        <f>AH49&amp;"-"&amp;AJ49</f>
        <v>-</v>
      </c>
      <c r="AH50" s="24094"/>
      <c r="AI50" s="23957"/>
      <c r="AJ50" s="24096"/>
      <c r="AK50" s="23957"/>
      <c r="AL50" s="1275"/>
      <c r="AM50" s="24112"/>
      <c r="AO50" s="436"/>
      <c r="AP50" s="436" t="str">
        <f t="shared" si="1"/>
        <v/>
      </c>
      <c r="AQ50" s="436"/>
      <c r="AR50" s="436"/>
      <c r="AS50" s="1081">
        <v>0</v>
      </c>
    </row>
    <row r="51" spans="1:45" ht="11.45" customHeight="1">
      <c r="A51" s="1289" t="s">
        <v>286</v>
      </c>
      <c r="B51" s="1289" t="s">
        <v>287</v>
      </c>
      <c r="C51" s="1289" t="s">
        <v>288</v>
      </c>
      <c r="D51" s="1289" t="s">
        <v>289</v>
      </c>
      <c r="E51" s="24089"/>
      <c r="F51" s="24089"/>
      <c r="G51" s="24089"/>
      <c r="H51" s="24089"/>
      <c r="I51" s="24091"/>
      <c r="J51" s="24090"/>
      <c r="K51" s="1289"/>
      <c r="L51" s="1290"/>
      <c r="P51" s="24092"/>
      <c r="Q51" s="24092"/>
      <c r="R51" s="292"/>
      <c r="S51" s="1204"/>
      <c r="T51" s="223" t="s">
        <v>640</v>
      </c>
      <c r="U51" s="303"/>
      <c r="V51" s="303"/>
      <c r="W51" s="303"/>
      <c r="X51" s="303"/>
      <c r="Y51" s="303"/>
      <c r="Z51" s="303"/>
      <c r="AA51" s="303"/>
      <c r="AB51" s="303"/>
      <c r="AC51" s="303"/>
      <c r="AD51" s="303"/>
      <c r="AE51" s="303"/>
      <c r="AF51" s="303"/>
      <c r="AG51" s="303"/>
      <c r="AH51" s="303"/>
      <c r="AI51" s="303"/>
      <c r="AJ51" s="303"/>
      <c r="AK51" s="303"/>
      <c r="AL51" s="260"/>
      <c r="AM51" s="24113"/>
      <c r="AO51" s="436"/>
      <c r="AP51" s="436" t="str">
        <f t="shared" si="1"/>
        <v>Добавить вид теплоносителя (параметры теплоносителя)</v>
      </c>
      <c r="AQ51" s="436"/>
      <c r="AR51" s="436"/>
      <c r="AS51" s="1081">
        <v>11</v>
      </c>
    </row>
    <row r="52" spans="1:45" ht="11.45" customHeight="1">
      <c r="A52" s="1289" t="s">
        <v>286</v>
      </c>
      <c r="B52" s="1289" t="s">
        <v>287</v>
      </c>
      <c r="C52" s="1289" t="s">
        <v>288</v>
      </c>
      <c r="D52" s="1289" t="s">
        <v>289</v>
      </c>
      <c r="E52" s="24089"/>
      <c r="F52" s="24089"/>
      <c r="G52" s="24089"/>
      <c r="H52" s="24089"/>
      <c r="I52" s="24090"/>
      <c r="J52" s="1289"/>
      <c r="K52" s="1289"/>
      <c r="L52" s="1290"/>
      <c r="P52" s="24092"/>
      <c r="Q52" s="1257"/>
      <c r="R52" s="292"/>
      <c r="S52" s="1204"/>
      <c r="T52" s="301" t="s">
        <v>641</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81">
        <v>11</v>
      </c>
    </row>
    <row r="53" spans="1:45" ht="0" hidden="1" customHeight="1">
      <c r="A53" s="1289" t="s">
        <v>286</v>
      </c>
      <c r="B53" s="1289" t="s">
        <v>287</v>
      </c>
      <c r="C53" s="1289" t="s">
        <v>288</v>
      </c>
      <c r="D53" s="1289" t="s">
        <v>289</v>
      </c>
      <c r="E53" s="24089"/>
      <c r="F53" s="24089"/>
      <c r="G53" s="24089"/>
      <c r="H53" s="2408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286</v>
      </c>
      <c r="B54" s="1269" t="s">
        <v>287</v>
      </c>
      <c r="C54" s="1269" t="s">
        <v>288</v>
      </c>
      <c r="D54" s="1240"/>
      <c r="E54" s="24089"/>
      <c r="F54" s="24089"/>
      <c r="G54" s="24088"/>
      <c r="H54" s="1240"/>
      <c r="I54" s="1240"/>
      <c r="J54" s="1240"/>
      <c r="K54" s="1240"/>
      <c r="L54" s="1265"/>
      <c r="M54" s="1241"/>
      <c r="N54" s="1241"/>
      <c r="P54" s="1242"/>
      <c r="Q54" s="1243"/>
      <c r="R54" s="1242"/>
      <c r="S54" s="1248"/>
      <c r="T54" s="1251" t="s">
        <v>643</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286</v>
      </c>
      <c r="B55" s="1269" t="s">
        <v>287</v>
      </c>
      <c r="C55" s="1240"/>
      <c r="D55" s="1240"/>
      <c r="E55" s="24089"/>
      <c r="F55" s="24088"/>
      <c r="G55" s="1240"/>
      <c r="H55" s="1240"/>
      <c r="I55" s="1240"/>
      <c r="J55" s="1240"/>
      <c r="K55" s="1240"/>
      <c r="L55" s="1265"/>
      <c r="M55" s="1247"/>
      <c r="N55" s="1247"/>
      <c r="P55" s="1242"/>
      <c r="Q55" s="1243"/>
      <c r="R55" s="1242"/>
      <c r="S55" s="1248"/>
      <c r="T55" s="1251" t="s">
        <v>370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286</v>
      </c>
      <c r="B56" s="1269"/>
      <c r="C56" s="1269"/>
      <c r="D56" s="1269"/>
      <c r="E56" s="24088"/>
      <c r="F56" s="1269"/>
      <c r="G56" s="1269"/>
      <c r="H56" s="1269"/>
      <c r="I56" s="1269"/>
      <c r="J56" s="1269"/>
      <c r="K56" s="1269"/>
      <c r="L56" s="1272"/>
      <c r="M56" s="1247"/>
      <c r="N56" s="1247"/>
      <c r="O56" s="454"/>
      <c r="P56" s="316"/>
      <c r="Q56" s="1270"/>
      <c r="R56" s="316"/>
      <c r="S56" s="1248"/>
      <c r="T56" s="1251" t="s">
        <v>481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482</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4087"/>
      <c r="U59" s="24087"/>
      <c r="V59" s="24087"/>
      <c r="W59" s="24087"/>
      <c r="X59" s="24087"/>
      <c r="Y59" s="24087"/>
      <c r="Z59" s="24087"/>
      <c r="AA59" s="24087"/>
      <c r="AB59" s="24087"/>
      <c r="AC59" s="24087"/>
      <c r="AD59" s="24087"/>
      <c r="AE59" s="24087"/>
      <c r="AF59" s="24087"/>
      <c r="AG59" s="24087"/>
      <c r="AH59" s="24087"/>
      <c r="AI59" s="24087"/>
      <c r="AJ59" s="24087"/>
      <c r="AK59" s="24087"/>
      <c r="AL59" s="24087"/>
      <c r="AM59" s="24087"/>
      <c r="AS59" s="1081">
        <v>14</v>
      </c>
    </row>
    <row r="60" spans="1:45" ht="14.65" customHeight="1">
      <c r="O60" s="473"/>
      <c r="T60" s="24087"/>
      <c r="U60" s="24087"/>
      <c r="V60" s="24087"/>
      <c r="W60" s="24087"/>
      <c r="X60" s="24087"/>
      <c r="Y60" s="24087"/>
      <c r="Z60" s="24087"/>
      <c r="AA60" s="24087"/>
      <c r="AB60" s="24087"/>
      <c r="AC60" s="24087"/>
      <c r="AD60" s="24087"/>
      <c r="AE60" s="24087"/>
      <c r="AF60" s="24087"/>
      <c r="AG60" s="24087"/>
      <c r="AH60" s="24087"/>
      <c r="AI60" s="24087"/>
      <c r="AJ60" s="24087"/>
      <c r="AK60" s="24087"/>
      <c r="AL60" s="24087"/>
      <c r="AM60" s="24087"/>
      <c r="AS60" s="1081">
        <v>14</v>
      </c>
    </row>
    <row r="61" spans="1:45" ht="14.65" customHeight="1">
      <c r="O61" s="473"/>
      <c r="T61" s="24087"/>
      <c r="U61" s="24087"/>
      <c r="V61" s="24087"/>
      <c r="W61" s="24087"/>
      <c r="X61" s="24087"/>
      <c r="Y61" s="24087"/>
      <c r="Z61" s="24087"/>
      <c r="AA61" s="24087"/>
      <c r="AB61" s="24087"/>
      <c r="AC61" s="24087"/>
      <c r="AD61" s="24087"/>
      <c r="AE61" s="24087"/>
      <c r="AF61" s="24087"/>
      <c r="AG61" s="24087"/>
      <c r="AH61" s="24087"/>
      <c r="AI61" s="24087"/>
      <c r="AJ61" s="24087"/>
      <c r="AK61" s="24087"/>
      <c r="AL61" s="24087"/>
      <c r="AM61" s="24087"/>
      <c r="AS61" s="1081">
        <v>14</v>
      </c>
    </row>
    <row r="62" spans="1:45" ht="14.65" customHeight="1">
      <c r="O62" s="473"/>
      <c r="AS62" s="1081">
        <v>14</v>
      </c>
    </row>
    <row r="63" spans="1:45" ht="14.65" customHeight="1">
      <c r="O63" s="473"/>
      <c r="S63" s="1179"/>
      <c r="T63" s="23992"/>
      <c r="U63" s="24087"/>
      <c r="V63" s="24087"/>
      <c r="W63" s="24087"/>
      <c r="X63" s="24087"/>
      <c r="Y63" s="24087"/>
      <c r="Z63" s="24087"/>
      <c r="AA63" s="24087"/>
      <c r="AB63" s="24087"/>
      <c r="AC63" s="24087"/>
      <c r="AD63" s="24087"/>
      <c r="AE63" s="24087"/>
      <c r="AF63" s="24087"/>
      <c r="AG63" s="24087"/>
      <c r="AH63" s="24087"/>
      <c r="AI63" s="24087"/>
      <c r="AJ63" s="24087"/>
      <c r="AK63" s="24087"/>
      <c r="AL63" s="24087"/>
      <c r="AM63" s="24087"/>
      <c r="AS63" s="1081">
        <v>14</v>
      </c>
    </row>
    <row r="64" spans="1:45" ht="14.65" customHeight="1">
      <c r="O64" s="473"/>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S64" s="1081">
        <v>14</v>
      </c>
    </row>
    <row r="65" spans="1:45" ht="14.65" customHeight="1">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S65" s="1081">
        <v>14</v>
      </c>
    </row>
    <row r="66" spans="1:45" ht="22.5" hidden="1" customHeight="1">
      <c r="A66" s="1086" t="s">
        <v>73</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0">
        <v>3</v>
      </c>
      <c r="R66" s="280">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1971" hidden="1" customWidth="1"/>
    <col min="14" max="15" width="12.28515625" style="1979" hidden="1" customWidth="1"/>
    <col min="16" max="16" width="23.42578125" style="1979" hidden="1" customWidth="1"/>
    <col min="17" max="17" width="3.7109375" style="1979" hidden="1" customWidth="1"/>
    <col min="18" max="20" width="3" style="280" customWidth="1"/>
    <col min="21" max="21" width="12" style="1981"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3"/>
      <c r="AC1" s="263"/>
      <c r="AK1" s="263"/>
      <c r="AL1" s="263"/>
      <c r="AW1" s="1081" t="s">
        <v>1</v>
      </c>
    </row>
    <row r="2" spans="1:49" ht="21" hidden="1" customHeight="1">
      <c r="A2" s="1193"/>
      <c r="B2" s="1193"/>
      <c r="C2" s="1193"/>
      <c r="D2" s="1193"/>
      <c r="E2" s="2411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4" t="s">
        <v>229</v>
      </c>
      <c r="W2" s="236"/>
      <c r="X2" s="24082"/>
      <c r="Y2" s="24083"/>
      <c r="Z2" s="24083"/>
      <c r="AA2" s="24083"/>
      <c r="AB2" s="24083"/>
      <c r="AC2" s="24083"/>
      <c r="AD2" s="24083"/>
      <c r="AE2" s="24083"/>
      <c r="AF2" s="24084"/>
      <c r="AG2" s="24082" t="e">
        <f>INDEX(PT_DIFFERENTIATION_NTAR,MATCH(A2,PT_DIFFERENTIATION_NTAR_ID,0))</f>
        <v>#N/A</v>
      </c>
      <c r="AH2" s="24083"/>
      <c r="AI2" s="24083"/>
      <c r="AJ2" s="24083"/>
      <c r="AK2" s="24083"/>
      <c r="AL2" s="24083"/>
      <c r="AM2" s="24083"/>
      <c r="AN2" s="24083"/>
      <c r="AO2" s="24083"/>
      <c r="AP2" s="24084"/>
      <c r="AQ2" s="1184" t="s">
        <v>625</v>
      </c>
      <c r="AS2" s="436"/>
      <c r="AT2" s="436" t="str">
        <f t="shared" ref="AT2:AT8" si="0">IF(V2="","",V2)</f>
        <v>Наименование тарифа</v>
      </c>
      <c r="AU2" s="436"/>
      <c r="AV2" s="436"/>
      <c r="AW2" s="1081">
        <v>0</v>
      </c>
    </row>
    <row r="3" spans="1:49" ht="21" hidden="1" customHeight="1">
      <c r="A3" s="1193"/>
      <c r="B3" s="1193"/>
      <c r="C3" s="1193"/>
      <c r="D3" s="1193"/>
      <c r="E3" s="24115"/>
      <c r="F3" s="24114">
        <v>1</v>
      </c>
      <c r="G3" s="1193"/>
      <c r="H3" s="1193"/>
      <c r="I3" s="1193"/>
      <c r="J3" s="1193"/>
      <c r="K3" s="1193"/>
      <c r="L3" s="1193"/>
      <c r="M3" s="1236"/>
      <c r="N3" s="624"/>
      <c r="O3" s="624"/>
      <c r="P3" s="624"/>
      <c r="Q3" s="1258"/>
      <c r="R3" s="288"/>
      <c r="S3" s="445"/>
      <c r="T3" s="289"/>
      <c r="U3" s="1262" t="e">
        <f>INDEX(PT_DIFFERENTIATION_NUM_TER,MATCH(B3,PT_DIFFERENTIATION_TER_ID,0))</f>
        <v>#N/A</v>
      </c>
      <c r="V3" s="244" t="s">
        <v>626</v>
      </c>
      <c r="W3" s="236"/>
      <c r="X3" s="24082"/>
      <c r="Y3" s="24083"/>
      <c r="Z3" s="24083"/>
      <c r="AA3" s="24083"/>
      <c r="AB3" s="24083"/>
      <c r="AC3" s="24083"/>
      <c r="AD3" s="24083"/>
      <c r="AE3" s="24083"/>
      <c r="AF3" s="24084"/>
      <c r="AG3" s="24082" t="e">
        <f>INDEX(PT_DIFFERENTIATION_TER,MATCH(B3,PT_DIFFERENTIATION_TER_ID,0))</f>
        <v>#N/A</v>
      </c>
      <c r="AH3" s="24083"/>
      <c r="AI3" s="24083"/>
      <c r="AJ3" s="24083"/>
      <c r="AK3" s="24083"/>
      <c r="AL3" s="24083"/>
      <c r="AM3" s="24083"/>
      <c r="AN3" s="24083"/>
      <c r="AO3" s="24083"/>
      <c r="AP3" s="24084"/>
      <c r="AQ3" s="1184" t="s">
        <v>627</v>
      </c>
      <c r="AS3" s="436"/>
      <c r="AT3" s="436" t="str">
        <f t="shared" si="0"/>
        <v>Территория действия тарифа</v>
      </c>
      <c r="AU3" s="436"/>
      <c r="AV3" s="436"/>
      <c r="AW3" s="1081">
        <v>0</v>
      </c>
    </row>
    <row r="4" spans="1:49" ht="22.5" hidden="1" customHeight="1">
      <c r="A4" s="1193"/>
      <c r="B4" s="1193"/>
      <c r="C4" s="1193"/>
      <c r="D4" s="1193"/>
      <c r="E4" s="24115"/>
      <c r="F4" s="24115"/>
      <c r="G4" s="24114">
        <v>1</v>
      </c>
      <c r="H4" s="1193"/>
      <c r="I4" s="1193"/>
      <c r="J4" s="1193"/>
      <c r="K4" s="1193"/>
      <c r="L4" s="1193"/>
      <c r="M4" s="1236"/>
      <c r="N4" s="624"/>
      <c r="O4" s="624"/>
      <c r="P4" s="624"/>
      <c r="Q4" s="290"/>
      <c r="R4" s="288"/>
      <c r="S4" s="445"/>
      <c r="T4" s="289"/>
      <c r="U4" s="1262" t="e">
        <f>INDEX(PT_DIFFERENTIATION_NUM_CS,MATCH(C4,PT_DIFFERENTIATION_CS_ID,0))</f>
        <v>#N/A</v>
      </c>
      <c r="V4" s="245" t="s">
        <v>628</v>
      </c>
      <c r="W4" s="236"/>
      <c r="X4" s="24082"/>
      <c r="Y4" s="24083"/>
      <c r="Z4" s="24083"/>
      <c r="AA4" s="24083"/>
      <c r="AB4" s="24083"/>
      <c r="AC4" s="24083"/>
      <c r="AD4" s="24083"/>
      <c r="AE4" s="24083"/>
      <c r="AF4" s="24084"/>
      <c r="AG4" s="24082" t="e">
        <f>INDEX(PT_DIFFERENTIATION_CS,MATCH(C4,PT_DIFFERENTIATION_CS_ID,0))</f>
        <v>#N/A</v>
      </c>
      <c r="AH4" s="24083"/>
      <c r="AI4" s="24083"/>
      <c r="AJ4" s="24083"/>
      <c r="AK4" s="24083"/>
      <c r="AL4" s="24083"/>
      <c r="AM4" s="24083"/>
      <c r="AN4" s="24083"/>
      <c r="AO4" s="24083"/>
      <c r="AP4" s="24084"/>
      <c r="AQ4" s="1184" t="s">
        <v>629</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4115"/>
      <c r="F5" s="24115"/>
      <c r="G5" s="24115"/>
      <c r="H5" s="24114">
        <v>1</v>
      </c>
      <c r="I5" s="1193"/>
      <c r="J5" s="1193"/>
      <c r="K5" s="1193"/>
      <c r="L5" s="1193"/>
      <c r="M5" s="1236"/>
      <c r="N5" s="624"/>
      <c r="O5" s="624"/>
      <c r="P5" s="624"/>
      <c r="Q5" s="290"/>
      <c r="R5" s="288"/>
      <c r="S5" s="445"/>
      <c r="T5" s="289"/>
      <c r="U5" s="1262" t="e">
        <f>INDEX(PT_DIFFERENTIATION_NUM_IST_TE,MATCH(D5,PT_DIFFERENTIATION_IST_TE_ID,0))</f>
        <v>#N/A</v>
      </c>
      <c r="V5" s="246" t="s">
        <v>630</v>
      </c>
      <c r="W5" s="236"/>
      <c r="X5" s="24082"/>
      <c r="Y5" s="24083"/>
      <c r="Z5" s="24083"/>
      <c r="AA5" s="24083"/>
      <c r="AB5" s="24083"/>
      <c r="AC5" s="24083"/>
      <c r="AD5" s="24083"/>
      <c r="AE5" s="24083"/>
      <c r="AF5" s="24084"/>
      <c r="AG5" s="24082" t="e">
        <f>INDEX(PT_DIFFERENTIATION_IST_TE,MATCH(D5,PT_DIFFERENTIATION_IST_TE_ID,0))</f>
        <v>#N/A</v>
      </c>
      <c r="AH5" s="24083"/>
      <c r="AI5" s="24083"/>
      <c r="AJ5" s="24083"/>
      <c r="AK5" s="24083"/>
      <c r="AL5" s="24083"/>
      <c r="AM5" s="24083"/>
      <c r="AN5" s="24083"/>
      <c r="AO5" s="24083"/>
      <c r="AP5" s="24084"/>
      <c r="AQ5" s="1184" t="s">
        <v>631</v>
      </c>
      <c r="AS5" s="436"/>
      <c r="AT5" s="436" t="str">
        <f t="shared" si="0"/>
        <v xml:space="preserve">Источник тепловой энергии  </v>
      </c>
      <c r="AU5" s="436"/>
      <c r="AV5" s="436"/>
      <c r="AW5" s="1081">
        <v>0</v>
      </c>
    </row>
    <row r="6" spans="1:49" ht="14.25" hidden="1" customHeight="1">
      <c r="A6" s="1193"/>
      <c r="B6" s="1193"/>
      <c r="C6" s="1193"/>
      <c r="D6" s="1193"/>
      <c r="E6" s="24115"/>
      <c r="F6" s="24115"/>
      <c r="G6" s="24115"/>
      <c r="H6" s="24115"/>
      <c r="I6" s="23947" t="e">
        <f>U5&amp;".1"</f>
        <v>#N/A</v>
      </c>
      <c r="J6" s="1193"/>
      <c r="K6" s="1193"/>
      <c r="L6" s="1193"/>
      <c r="M6" s="1236" t="s">
        <v>632</v>
      </c>
      <c r="N6" s="445"/>
      <c r="Q6" s="24092">
        <v>1</v>
      </c>
      <c r="R6" s="1257"/>
      <c r="S6" s="1257"/>
      <c r="T6" s="292"/>
      <c r="U6" s="971"/>
      <c r="V6" s="1309"/>
      <c r="W6" s="1310"/>
      <c r="X6" s="24119"/>
      <c r="Y6" s="24120"/>
      <c r="Z6" s="24120"/>
      <c r="AA6" s="24120"/>
      <c r="AB6" s="24120"/>
      <c r="AC6" s="24120"/>
      <c r="AD6" s="24120"/>
      <c r="AE6" s="24120"/>
      <c r="AF6" s="24121"/>
      <c r="AG6" s="24119"/>
      <c r="AH6" s="24120"/>
      <c r="AI6" s="24120"/>
      <c r="AJ6" s="24120"/>
      <c r="AK6" s="24120"/>
      <c r="AL6" s="24120"/>
      <c r="AM6" s="24120"/>
      <c r="AN6" s="24120"/>
      <c r="AO6" s="24120"/>
      <c r="AP6" s="24121"/>
      <c r="AQ6" s="1311"/>
      <c r="AS6" s="436"/>
      <c r="AT6" s="436" t="str">
        <f t="shared" si="0"/>
        <v/>
      </c>
      <c r="AU6" s="436"/>
      <c r="AV6" s="436"/>
      <c r="AW6" s="1081">
        <v>0</v>
      </c>
    </row>
    <row r="7" spans="1:49" ht="21" hidden="1" customHeight="1">
      <c r="A7" s="1193"/>
      <c r="B7" s="1193"/>
      <c r="C7" s="1193"/>
      <c r="D7" s="1193"/>
      <c r="E7" s="24115"/>
      <c r="F7" s="24115"/>
      <c r="G7" s="24115"/>
      <c r="H7" s="24115"/>
      <c r="I7" s="23928"/>
      <c r="J7" s="23947" t="e">
        <f>I6&amp;".1"</f>
        <v>#N/A</v>
      </c>
      <c r="K7" s="1193"/>
      <c r="L7" s="1193"/>
      <c r="M7" s="1236" t="s">
        <v>635</v>
      </c>
      <c r="N7" s="445"/>
      <c r="O7" s="263"/>
      <c r="Q7" s="24092"/>
      <c r="R7" s="24092">
        <v>1</v>
      </c>
      <c r="S7" s="454"/>
      <c r="T7" s="293"/>
      <c r="U7" s="1262" t="e">
        <f>$J7</f>
        <v>#N/A</v>
      </c>
      <c r="V7" s="222" t="s">
        <v>636</v>
      </c>
      <c r="W7" s="236"/>
      <c r="X7" s="24076"/>
      <c r="Y7" s="24077"/>
      <c r="Z7" s="24077"/>
      <c r="AA7" s="24077"/>
      <c r="AB7" s="24077"/>
      <c r="AC7" s="24072"/>
      <c r="AD7" s="24072"/>
      <c r="AE7" s="24072"/>
      <c r="AF7" s="24132"/>
      <c r="AG7" s="24076"/>
      <c r="AH7" s="24077"/>
      <c r="AI7" s="24077"/>
      <c r="AJ7" s="24077"/>
      <c r="AK7" s="24077"/>
      <c r="AL7" s="24077"/>
      <c r="AM7" s="24077"/>
      <c r="AN7" s="24077"/>
      <c r="AO7" s="24077"/>
      <c r="AP7" s="24078"/>
      <c r="AQ7" s="1184" t="s">
        <v>637</v>
      </c>
      <c r="AS7" s="436"/>
      <c r="AT7" s="436" t="str">
        <f t="shared" si="0"/>
        <v>Группа потребителей</v>
      </c>
      <c r="AU7" s="436"/>
      <c r="AV7" s="436"/>
      <c r="AW7" s="1081">
        <v>0</v>
      </c>
    </row>
    <row r="8" spans="1:49" ht="21" hidden="1" customHeight="1">
      <c r="A8" s="1193"/>
      <c r="B8" s="1193"/>
      <c r="C8" s="1193"/>
      <c r="D8" s="1193"/>
      <c r="E8" s="24115"/>
      <c r="F8" s="24115"/>
      <c r="G8" s="24115"/>
      <c r="H8" s="24115"/>
      <c r="I8" s="23928"/>
      <c r="J8" s="23928"/>
      <c r="K8" s="23947" t="e">
        <f>J7&amp;".1"</f>
        <v>#N/A</v>
      </c>
      <c r="L8" s="77"/>
      <c r="M8" s="1236" t="s">
        <v>638</v>
      </c>
      <c r="N8" s="445"/>
      <c r="O8" s="263"/>
      <c r="P8" s="263"/>
      <c r="Q8" s="24092"/>
      <c r="R8" s="24092"/>
      <c r="S8" s="24092">
        <v>1</v>
      </c>
      <c r="T8" s="293"/>
      <c r="U8" s="1262" t="e">
        <f>$K8</f>
        <v>#N/A</v>
      </c>
      <c r="V8" s="1273"/>
      <c r="W8" s="236"/>
      <c r="X8" s="687"/>
      <c r="Y8" s="687"/>
      <c r="Z8" s="687"/>
      <c r="AA8" s="687"/>
      <c r="AB8" s="1331"/>
      <c r="AC8" s="24093"/>
      <c r="AD8" s="23957" t="s">
        <v>59</v>
      </c>
      <c r="AE8" s="24093"/>
      <c r="AF8" s="23957" t="s">
        <v>59</v>
      </c>
      <c r="AG8" s="1333"/>
      <c r="AH8" s="687"/>
      <c r="AI8" s="687"/>
      <c r="AJ8" s="687"/>
      <c r="AK8" s="1183"/>
      <c r="AL8" s="24093"/>
      <c r="AM8" s="23957" t="s">
        <v>59</v>
      </c>
      <c r="AN8" s="24093"/>
      <c r="AO8" s="23957" t="s">
        <v>59</v>
      </c>
      <c r="AP8" s="261"/>
      <c r="AQ8" s="1233" t="s">
        <v>678</v>
      </c>
      <c r="AR8" s="447" t="e">
        <f ca="1">STRCHECKDATE(X10:AP10)</f>
        <v>#NAME?</v>
      </c>
      <c r="AS8" s="436"/>
      <c r="AT8" s="436" t="str">
        <f t="shared" si="0"/>
        <v/>
      </c>
      <c r="AU8" s="436"/>
      <c r="AV8" s="436"/>
      <c r="AW8" s="1081">
        <v>0</v>
      </c>
    </row>
    <row r="9" spans="1:49" ht="21" hidden="1" customHeight="1">
      <c r="A9" s="1193"/>
      <c r="B9" s="1193"/>
      <c r="C9" s="1193"/>
      <c r="D9" s="1193"/>
      <c r="E9" s="24115"/>
      <c r="F9" s="24115"/>
      <c r="G9" s="24115"/>
      <c r="H9" s="24115"/>
      <c r="I9" s="23928"/>
      <c r="J9" s="23928"/>
      <c r="K9" s="23928"/>
      <c r="L9" s="23947" t="e">
        <f>K8&amp;".1"</f>
        <v>#N/A</v>
      </c>
      <c r="M9" s="1236"/>
      <c r="N9" s="445"/>
      <c r="O9" s="263"/>
      <c r="P9" s="263"/>
      <c r="Q9" s="24092"/>
      <c r="R9" s="24092"/>
      <c r="S9" s="24092"/>
      <c r="T9" s="293"/>
      <c r="U9" s="1262" t="e">
        <f>$L9</f>
        <v>#N/A</v>
      </c>
      <c r="V9" s="1317"/>
      <c r="W9" s="236"/>
      <c r="X9" s="261"/>
      <c r="Y9" s="687"/>
      <c r="Z9" s="687"/>
      <c r="AA9" s="687"/>
      <c r="AB9" s="1331"/>
      <c r="AC9" s="24094"/>
      <c r="AD9" s="23957"/>
      <c r="AE9" s="24094"/>
      <c r="AF9" s="23957"/>
      <c r="AG9" s="1333"/>
      <c r="AH9" s="687"/>
      <c r="AI9" s="687"/>
      <c r="AJ9" s="687"/>
      <c r="AK9" s="1183"/>
      <c r="AL9" s="24094"/>
      <c r="AM9" s="23957"/>
      <c r="AN9" s="24094"/>
      <c r="AO9" s="23957"/>
      <c r="AP9" s="261"/>
      <c r="AQ9" s="24111" t="s">
        <v>679</v>
      </c>
      <c r="AS9" s="436"/>
      <c r="AT9" s="436"/>
      <c r="AU9" s="436"/>
      <c r="AV9" s="436"/>
      <c r="AW9" s="1081">
        <v>0</v>
      </c>
    </row>
    <row r="10" spans="1:49" ht="14.25" hidden="1" customHeight="1">
      <c r="A10" s="1193"/>
      <c r="B10" s="1193"/>
      <c r="C10" s="1193"/>
      <c r="D10" s="1193"/>
      <c r="E10" s="24115"/>
      <c r="F10" s="24115"/>
      <c r="G10" s="24115"/>
      <c r="H10" s="24115"/>
      <c r="I10" s="23928"/>
      <c r="J10" s="23928"/>
      <c r="K10" s="23928"/>
      <c r="L10" s="23947"/>
      <c r="M10" s="1236"/>
      <c r="N10" s="445"/>
      <c r="O10" s="263"/>
      <c r="P10" s="263"/>
      <c r="Q10" s="24092"/>
      <c r="R10" s="24092"/>
      <c r="S10" s="24092"/>
      <c r="T10" s="293"/>
      <c r="U10" s="1268"/>
      <c r="V10" s="236"/>
      <c r="W10" s="236"/>
      <c r="X10" s="261"/>
      <c r="Y10" s="261"/>
      <c r="Z10" s="261"/>
      <c r="AA10" s="261"/>
      <c r="AB10" s="1332" t="str">
        <f>AC8&amp;"-"&amp;AE8</f>
        <v>-</v>
      </c>
      <c r="AC10" s="24094"/>
      <c r="AD10" s="23957"/>
      <c r="AE10" s="24094"/>
      <c r="AF10" s="23957"/>
      <c r="AG10" s="1308"/>
      <c r="AH10" s="261"/>
      <c r="AI10" s="261"/>
      <c r="AJ10" s="261"/>
      <c r="AK10" s="264" t="str">
        <f>AL8&amp;"-"&amp;AN8</f>
        <v>-</v>
      </c>
      <c r="AL10" s="24094"/>
      <c r="AM10" s="23957"/>
      <c r="AN10" s="24094"/>
      <c r="AO10" s="23957"/>
      <c r="AP10" s="261"/>
      <c r="AQ10" s="24112"/>
      <c r="AS10" s="436"/>
      <c r="AT10" s="436" t="str">
        <f>IF(V10="","",V10)</f>
        <v/>
      </c>
      <c r="AU10" s="436"/>
      <c r="AV10" s="436"/>
      <c r="AW10" s="1081">
        <v>0</v>
      </c>
    </row>
    <row r="11" spans="1:49" ht="11.25" hidden="1" customHeight="1">
      <c r="A11" s="1193"/>
      <c r="B11" s="1193"/>
      <c r="C11" s="1193"/>
      <c r="D11" s="1193"/>
      <c r="E11" s="24115"/>
      <c r="F11" s="24115"/>
      <c r="G11" s="24115"/>
      <c r="H11" s="24115"/>
      <c r="I11" s="23928"/>
      <c r="J11" s="23928"/>
      <c r="K11" s="23947"/>
      <c r="L11" s="1193"/>
      <c r="M11" s="1236"/>
      <c r="N11" s="445"/>
      <c r="O11" s="263"/>
      <c r="P11" s="263"/>
      <c r="Q11" s="24092"/>
      <c r="R11" s="24092"/>
      <c r="S11" s="24092"/>
      <c r="T11" s="293"/>
      <c r="U11" s="1204"/>
      <c r="V11" s="224" t="s">
        <v>680</v>
      </c>
      <c r="W11" s="1318"/>
      <c r="X11" s="1319"/>
      <c r="Y11" s="1319"/>
      <c r="Z11" s="1319"/>
      <c r="AA11" s="1319"/>
      <c r="AB11" s="1320"/>
      <c r="AC11" s="24094"/>
      <c r="AD11" s="23957"/>
      <c r="AE11" s="24094"/>
      <c r="AF11" s="23957"/>
      <c r="AG11" s="1319"/>
      <c r="AH11" s="1319"/>
      <c r="AI11" s="1319"/>
      <c r="AJ11" s="1319"/>
      <c r="AK11" s="1320"/>
      <c r="AL11" s="24094"/>
      <c r="AM11" s="23957"/>
      <c r="AN11" s="24094"/>
      <c r="AO11" s="23957"/>
      <c r="AP11" s="1321"/>
      <c r="AQ11" s="24112"/>
      <c r="AS11" s="436"/>
      <c r="AT11" s="436"/>
      <c r="AU11" s="436"/>
      <c r="AV11" s="436"/>
      <c r="AW11" s="1081">
        <v>0</v>
      </c>
    </row>
    <row r="12" spans="1:49" ht="15" hidden="1" customHeight="1">
      <c r="A12" s="1193"/>
      <c r="B12" s="1193"/>
      <c r="C12" s="1193"/>
      <c r="D12" s="1193"/>
      <c r="E12" s="24115"/>
      <c r="F12" s="24115"/>
      <c r="G12" s="24115"/>
      <c r="H12" s="24115"/>
      <c r="I12" s="23928"/>
      <c r="J12" s="23947"/>
      <c r="K12" s="1193"/>
      <c r="L12" s="1193"/>
      <c r="M12" s="1236"/>
      <c r="N12" s="445"/>
      <c r="O12" s="263"/>
      <c r="Q12" s="24092"/>
      <c r="R12" s="24092"/>
      <c r="S12" s="1257"/>
      <c r="T12" s="292"/>
      <c r="U12" s="1204"/>
      <c r="V12" s="223" t="s">
        <v>640</v>
      </c>
      <c r="W12" s="303"/>
      <c r="X12" s="303"/>
      <c r="Y12" s="303"/>
      <c r="Z12" s="303"/>
      <c r="AA12" s="303"/>
      <c r="AB12" s="303"/>
      <c r="AC12" s="1334"/>
      <c r="AD12" s="1334"/>
      <c r="AE12" s="1334"/>
      <c r="AF12" s="1334"/>
      <c r="AG12" s="303"/>
      <c r="AH12" s="303"/>
      <c r="AI12" s="303"/>
      <c r="AJ12" s="303"/>
      <c r="AK12" s="303"/>
      <c r="AL12" s="303"/>
      <c r="AM12" s="303"/>
      <c r="AN12" s="303"/>
      <c r="AO12" s="303"/>
      <c r="AP12" s="260"/>
      <c r="AQ12" s="2411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4115"/>
      <c r="F13" s="24115"/>
      <c r="G13" s="24115"/>
      <c r="H13" s="24115"/>
      <c r="I13" s="23947"/>
      <c r="J13" s="1193"/>
      <c r="K13" s="1193"/>
      <c r="L13" s="1193"/>
      <c r="M13" s="1236"/>
      <c r="N13" s="445"/>
      <c r="Q13" s="24092"/>
      <c r="R13" s="1257"/>
      <c r="S13" s="1257"/>
      <c r="T13" s="292"/>
      <c r="U13" s="1204"/>
      <c r="V13" s="301" t="s">
        <v>641</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81">
        <v>0</v>
      </c>
    </row>
    <row r="14" spans="1:49" ht="14.25" hidden="1" customHeight="1">
      <c r="A14" s="1193"/>
      <c r="B14" s="1193"/>
      <c r="C14" s="1193"/>
      <c r="D14" s="1193"/>
      <c r="E14" s="24115"/>
      <c r="F14" s="24115"/>
      <c r="G14" s="24115"/>
      <c r="H14" s="2411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4115"/>
      <c r="F15" s="24115"/>
      <c r="G15" s="24114"/>
      <c r="H15" s="1300"/>
      <c r="I15" s="1300"/>
      <c r="J15" s="1300"/>
      <c r="K15" s="1300"/>
      <c r="L15" s="1300"/>
      <c r="M15" s="1303"/>
      <c r="N15" s="1304"/>
      <c r="O15" s="1304"/>
      <c r="P15" s="287"/>
      <c r="Q15" s="1242"/>
      <c r="R15" s="1243"/>
      <c r="S15" s="1242"/>
      <c r="T15" s="1242"/>
      <c r="U15" s="1244"/>
      <c r="V15" s="1245" t="s">
        <v>643</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4115"/>
      <c r="F16" s="24114"/>
      <c r="G16" s="1300"/>
      <c r="H16" s="1300"/>
      <c r="I16" s="1300"/>
      <c r="J16" s="1300"/>
      <c r="K16" s="1300"/>
      <c r="L16" s="1300"/>
      <c r="M16" s="1303"/>
      <c r="N16" s="1305"/>
      <c r="O16" s="1305"/>
      <c r="P16" s="287"/>
      <c r="Q16" s="1242"/>
      <c r="R16" s="1243"/>
      <c r="S16" s="1242"/>
      <c r="T16" s="1242"/>
      <c r="U16" s="1248"/>
      <c r="V16" s="1249" t="s">
        <v>370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4114"/>
      <c r="F17" s="1300"/>
      <c r="G17" s="1300"/>
      <c r="H17" s="1300"/>
      <c r="I17" s="1300"/>
      <c r="J17" s="1300"/>
      <c r="K17" s="1300"/>
      <c r="L17" s="1300"/>
      <c r="M17" s="1303"/>
      <c r="N17" s="1305"/>
      <c r="O17" s="1305"/>
      <c r="P17" s="287"/>
      <c r="Q17" s="1242"/>
      <c r="R17" s="1243"/>
      <c r="S17" s="1242"/>
      <c r="T17" s="1242"/>
      <c r="U17" s="1248"/>
      <c r="V17" s="1251" t="s">
        <v>481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3"/>
      <c r="AO18" s="263"/>
      <c r="AW18" s="1081">
        <v>0</v>
      </c>
    </row>
    <row r="19" spans="1:49" ht="14.25" hidden="1" customHeight="1">
      <c r="AG19" s="1286"/>
      <c r="AH19" s="1286"/>
      <c r="AI19" s="1286"/>
      <c r="AJ19" s="1286"/>
      <c r="AK19" s="1287"/>
      <c r="AL19" s="24086"/>
      <c r="AM19" s="24085" t="s">
        <v>59</v>
      </c>
      <c r="AN19" s="24086"/>
      <c r="AO19" s="24085" t="s">
        <v>59</v>
      </c>
      <c r="AW19" s="1081">
        <v>0</v>
      </c>
    </row>
    <row r="20" spans="1:49" ht="14.25" hidden="1" customHeight="1">
      <c r="AG20" s="1286"/>
      <c r="AH20" s="1286"/>
      <c r="AI20" s="1286"/>
      <c r="AJ20" s="1286"/>
      <c r="AK20" s="1287"/>
      <c r="AL20" s="24086"/>
      <c r="AM20" s="24085"/>
      <c r="AN20" s="24086"/>
      <c r="AO20" s="24085"/>
      <c r="AW20" s="1081">
        <v>0</v>
      </c>
    </row>
    <row r="21" spans="1:49" ht="14.25" hidden="1" customHeight="1">
      <c r="AG21" s="1286"/>
      <c r="AH21" s="1286"/>
      <c r="AI21" s="1286"/>
      <c r="AJ21" s="1286"/>
      <c r="AK21" s="1287"/>
      <c r="AL21" s="24086"/>
      <c r="AM21" s="24085"/>
      <c r="AN21" s="24086"/>
      <c r="AO21" s="24085"/>
      <c r="AW21" s="1081">
        <v>0</v>
      </c>
    </row>
    <row r="22" spans="1:49" ht="14.25" hidden="1" customHeight="1">
      <c r="AG22" s="1286"/>
      <c r="AH22" s="1286"/>
      <c r="AI22" s="1286"/>
      <c r="AJ22" s="1286"/>
      <c r="AK22" s="264" t="str">
        <f>AL19&amp;"-"&amp;AN19</f>
        <v>-</v>
      </c>
      <c r="AL22" s="24085"/>
      <c r="AM22" s="24085"/>
      <c r="AN22" s="24085"/>
      <c r="AO22" s="24085"/>
      <c r="AW22" s="1081">
        <v>0</v>
      </c>
    </row>
    <row r="23" spans="1:49" ht="14.25" hidden="1" customHeight="1">
      <c r="AO23" s="263"/>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644</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645</v>
      </c>
      <c r="Q26" s="1288"/>
      <c r="R26" s="1297"/>
      <c r="S26" s="1297"/>
      <c r="T26" s="1297"/>
      <c r="U26" s="665"/>
      <c r="V26" s="1086" t="s">
        <v>646</v>
      </c>
      <c r="AD26" s="123" t="s">
        <v>647</v>
      </c>
      <c r="AF26" s="123" t="s">
        <v>648</v>
      </c>
      <c r="AG26" s="1086" t="s">
        <v>646</v>
      </c>
      <c r="AM26" s="123" t="s">
        <v>649</v>
      </c>
      <c r="AO26" s="123" t="s">
        <v>648</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4069"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069"/>
      <c r="W30" s="24069"/>
      <c r="X30" s="24069"/>
      <c r="Y30" s="24069"/>
      <c r="Z30" s="24069"/>
      <c r="AA30" s="24069"/>
      <c r="AB30" s="24069"/>
      <c r="AC30" s="24069"/>
      <c r="AD30" s="24069"/>
      <c r="AE30" s="24069"/>
      <c r="AF30" s="24069"/>
      <c r="AG30" s="24069"/>
      <c r="AH30" s="24069"/>
      <c r="AI30" s="24069"/>
      <c r="AJ30" s="24069"/>
      <c r="AK30" s="24069"/>
      <c r="AL30" s="24069"/>
      <c r="AM30" s="24069"/>
      <c r="AN30" s="24069"/>
      <c r="AO30" s="1169"/>
      <c r="AW30" s="1081">
        <v>54</v>
      </c>
    </row>
    <row r="31" spans="1:49" ht="14.65" customHeight="1">
      <c r="R31" s="312"/>
      <c r="S31" s="312"/>
      <c r="T31" s="312"/>
      <c r="U31" s="24042" t="str">
        <f>IF(org=0,"Не определено",org)</f>
        <v>ООО "Смоленскрегионтеплоэнерго"</v>
      </c>
      <c r="V31" s="24042"/>
      <c r="W31" s="24042"/>
      <c r="X31" s="24042"/>
      <c r="Y31" s="24042"/>
      <c r="Z31" s="24042"/>
      <c r="AA31" s="24042"/>
      <c r="AB31" s="24042"/>
      <c r="AC31" s="24042"/>
      <c r="AD31" s="24042"/>
      <c r="AE31" s="24042"/>
      <c r="AF31" s="24042"/>
      <c r="AG31" s="24042"/>
      <c r="AH31" s="24042"/>
      <c r="AI31" s="24042"/>
      <c r="AJ31" s="24042"/>
      <c r="AK31" s="24042"/>
      <c r="AL31" s="24042"/>
      <c r="AM31" s="24042"/>
      <c r="AN31" s="24042"/>
      <c r="AO31" s="1169"/>
      <c r="AW31" s="1081">
        <v>14</v>
      </c>
    </row>
    <row r="32" spans="1:49" ht="14.25" customHeight="1">
      <c r="R32" s="312"/>
      <c r="S32" s="312"/>
      <c r="T32" s="312"/>
      <c r="U32" s="1201"/>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81">
        <v>0</v>
      </c>
    </row>
    <row r="33" spans="1:49" s="1750" customFormat="1" ht="25.5" customHeight="1">
      <c r="A33" s="1174"/>
      <c r="B33" s="1174"/>
      <c r="C33" s="1174"/>
      <c r="D33" s="1174"/>
      <c r="E33" s="1174"/>
      <c r="F33" s="1174"/>
      <c r="G33" s="1174"/>
      <c r="H33" s="1174"/>
      <c r="I33" s="1174"/>
      <c r="J33" s="1174"/>
      <c r="K33" s="1174"/>
      <c r="L33" s="1174"/>
      <c r="M33" s="1306"/>
      <c r="N33" s="1174"/>
      <c r="O33" s="1174"/>
      <c r="P33" s="1174"/>
      <c r="U33" s="24079" t="s">
        <v>31</v>
      </c>
      <c r="V33" s="24079"/>
      <c r="W33" s="1298"/>
      <c r="X33"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Y33" s="24081"/>
      <c r="Z33" s="24081"/>
      <c r="AA33" s="24081"/>
      <c r="AB33" s="24081"/>
      <c r="AC33" s="24081"/>
      <c r="AD33" s="24081"/>
      <c r="AE33" s="24081"/>
      <c r="AF33" s="262"/>
      <c r="AG33"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H33" s="24081"/>
      <c r="AI33" s="24081"/>
      <c r="AJ33" s="24081"/>
      <c r="AK33" s="24081"/>
      <c r="AL33" s="24081"/>
      <c r="AM33" s="24081"/>
      <c r="AN33" s="24081"/>
      <c r="AO33" s="262"/>
      <c r="AP33" s="262"/>
      <c r="AQ33" s="216"/>
      <c r="AR33" s="304"/>
      <c r="AS33" s="304"/>
      <c r="AT33" s="304"/>
      <c r="AU33" s="304"/>
      <c r="AV33" s="304"/>
      <c r="AW33" s="354">
        <v>0</v>
      </c>
    </row>
    <row r="34" spans="1:49" s="1750" customFormat="1" ht="18.75" customHeight="1">
      <c r="A34" s="1174"/>
      <c r="B34" s="1174"/>
      <c r="C34" s="1174"/>
      <c r="D34" s="1174"/>
      <c r="E34" s="1174"/>
      <c r="F34" s="1174"/>
      <c r="G34" s="1174"/>
      <c r="H34" s="1174"/>
      <c r="I34" s="1174"/>
      <c r="J34" s="1174"/>
      <c r="K34" s="1174"/>
      <c r="L34" s="1174"/>
      <c r="M34" s="1306"/>
      <c r="N34" s="1174"/>
      <c r="O34" s="1174"/>
      <c r="P34" s="1174"/>
      <c r="U34" s="24079" t="s">
        <v>650</v>
      </c>
      <c r="V34" s="24079"/>
      <c r="W34" s="1298"/>
      <c r="X34" s="24080" t="str">
        <f>IF(TITLE_DATE_PR_CHANGE="",IF(TITLE_DATE_PR="","",TITLE_DATE_PR),TITLE_DATE_PR_CHANGE)</f>
        <v>20.12.2024</v>
      </c>
      <c r="Y34" s="24080"/>
      <c r="Z34" s="24080"/>
      <c r="AA34" s="24080"/>
      <c r="AB34" s="24080"/>
      <c r="AC34" s="24080"/>
      <c r="AD34" s="24080"/>
      <c r="AE34" s="24080"/>
      <c r="AF34" s="262"/>
      <c r="AG34" s="24080" t="str">
        <f>IF(TITLE_DATE_PR_CHANGE="",IF(TITLE_DATE_PR="","",TITLE_DATE_PR),TITLE_DATE_PR_CHANGE)</f>
        <v>20.12.2024</v>
      </c>
      <c r="AH34" s="24080"/>
      <c r="AI34" s="24080"/>
      <c r="AJ34" s="24080"/>
      <c r="AK34" s="24080"/>
      <c r="AL34" s="24080"/>
      <c r="AM34" s="24080"/>
      <c r="AN34" s="24080"/>
      <c r="AO34" s="262"/>
      <c r="AP34" s="262"/>
      <c r="AQ34" s="216"/>
      <c r="AR34" s="304"/>
      <c r="AS34" s="304"/>
      <c r="AT34" s="304"/>
      <c r="AU34" s="304"/>
      <c r="AV34" s="304"/>
      <c r="AW34" s="354">
        <v>0</v>
      </c>
    </row>
    <row r="35" spans="1:49" s="1750" customFormat="1" ht="18.75" customHeight="1">
      <c r="A35" s="1174"/>
      <c r="B35" s="1174"/>
      <c r="C35" s="1174"/>
      <c r="D35" s="1174"/>
      <c r="E35" s="1174"/>
      <c r="F35" s="1174"/>
      <c r="G35" s="1174"/>
      <c r="H35" s="1174"/>
      <c r="I35" s="1174"/>
      <c r="J35" s="1174"/>
      <c r="K35" s="1174"/>
      <c r="L35" s="1174"/>
      <c r="M35" s="1306"/>
      <c r="N35" s="1174"/>
      <c r="O35" s="1174"/>
      <c r="P35" s="1174"/>
      <c r="U35" s="24079" t="s">
        <v>651</v>
      </c>
      <c r="V35" s="24079"/>
      <c r="W35" s="1298"/>
      <c r="X35" s="24081" t="str">
        <f>IF(TITLE_NUMBER_PR_CHANGE="",IF(TITLE_NUMBER_PR="","",TITLE_NUMBER_PR),TITLE_NUMBER_PR_CHANGE)</f>
        <v>403, 404</v>
      </c>
      <c r="Y35" s="24081"/>
      <c r="Z35" s="24081"/>
      <c r="AA35" s="24081"/>
      <c r="AB35" s="24081"/>
      <c r="AC35" s="24081"/>
      <c r="AD35" s="24081"/>
      <c r="AE35" s="24081"/>
      <c r="AF35" s="262"/>
      <c r="AG35" s="24081" t="str">
        <f>IF(TITLE_NUMBER_PR_CHANGE="",IF(TITLE_NUMBER_PR="","",TITLE_NUMBER_PR),TITLE_NUMBER_PR_CHANGE)</f>
        <v>403, 404</v>
      </c>
      <c r="AH35" s="24081"/>
      <c r="AI35" s="24081"/>
      <c r="AJ35" s="24081"/>
      <c r="AK35" s="24081"/>
      <c r="AL35" s="24081"/>
      <c r="AM35" s="24081"/>
      <c r="AN35" s="24081"/>
      <c r="AO35" s="262"/>
      <c r="AP35" s="262"/>
      <c r="AQ35" s="216"/>
      <c r="AR35" s="304"/>
      <c r="AS35" s="304"/>
      <c r="AT35" s="304"/>
      <c r="AU35" s="304"/>
      <c r="AV35" s="304"/>
      <c r="AW35" s="354">
        <v>0</v>
      </c>
    </row>
    <row r="36" spans="1:49" s="1750" customFormat="1" ht="18.75" customHeight="1">
      <c r="A36" s="1174"/>
      <c r="B36" s="1174"/>
      <c r="C36" s="1174"/>
      <c r="D36" s="1174"/>
      <c r="E36" s="1174"/>
      <c r="F36" s="1174"/>
      <c r="G36" s="1174"/>
      <c r="H36" s="1174"/>
      <c r="I36" s="1174"/>
      <c r="J36" s="1174"/>
      <c r="K36" s="1174"/>
      <c r="L36" s="1174"/>
      <c r="M36" s="1306"/>
      <c r="N36" s="1174"/>
      <c r="O36" s="1174"/>
      <c r="P36" s="1174"/>
      <c r="U36" s="24079" t="s">
        <v>33</v>
      </c>
      <c r="V36" s="24079"/>
      <c r="W36" s="1298"/>
      <c r="X36" s="24081" t="str">
        <f>IF(TITLE_IST_PUB_CHANGE="",IF(TITLE_IST_PUB="","",TITLE_IST_PUB),TITLE_IST_PUB_CHANGE)</f>
        <v>Смоленская газета</v>
      </c>
      <c r="Y36" s="24081"/>
      <c r="Z36" s="24081"/>
      <c r="AA36" s="24081"/>
      <c r="AB36" s="24081"/>
      <c r="AC36" s="24081"/>
      <c r="AD36" s="24081"/>
      <c r="AE36" s="24081"/>
      <c r="AF36" s="262"/>
      <c r="AG36" s="24081" t="str">
        <f>IF(TITLE_IST_PUB_CHANGE="",IF(TITLE_IST_PUB="","",TITLE_IST_PUB),TITLE_IST_PUB_CHANGE)</f>
        <v>Смоленская газета</v>
      </c>
      <c r="AH36" s="24081"/>
      <c r="AI36" s="24081"/>
      <c r="AJ36" s="24081"/>
      <c r="AK36" s="24081"/>
      <c r="AL36" s="24081"/>
      <c r="AM36" s="24081"/>
      <c r="AN36" s="24081"/>
      <c r="AO36" s="262"/>
      <c r="AP36" s="262"/>
      <c r="AQ36" s="216"/>
      <c r="AR36" s="304"/>
      <c r="AS36" s="304"/>
      <c r="AT36" s="304"/>
      <c r="AU36" s="304"/>
      <c r="AV36" s="304"/>
      <c r="AW36" s="354">
        <v>0</v>
      </c>
    </row>
    <row r="37" spans="1:49" ht="14.25" hidden="1" customHeight="1">
      <c r="R37" s="312"/>
      <c r="S37" s="312"/>
      <c r="T37" s="312"/>
      <c r="U37" s="1201"/>
      <c r="V37" s="299"/>
      <c r="W37" s="299"/>
      <c r="X37" s="258"/>
      <c r="Y37" s="258"/>
      <c r="Z37" s="258"/>
      <c r="AA37" s="258"/>
      <c r="AB37" s="258"/>
      <c r="AC37" s="258"/>
      <c r="AD37" s="258"/>
      <c r="AE37" s="258"/>
      <c r="AF37" s="258"/>
      <c r="AG37" s="258"/>
      <c r="AH37" s="258"/>
      <c r="AI37" s="258"/>
      <c r="AJ37" s="258"/>
      <c r="AK37" s="258"/>
      <c r="AL37" s="258"/>
      <c r="AM37" s="258"/>
      <c r="AN37" s="258"/>
      <c r="AO37" s="258"/>
      <c r="AP37" s="445"/>
      <c r="AW37" s="1081">
        <v>0</v>
      </c>
    </row>
    <row r="38" spans="1:49" s="1750" customFormat="1" ht="18.75" hidden="1" customHeight="1">
      <c r="A38" s="1174"/>
      <c r="B38" s="1174"/>
      <c r="C38" s="1174"/>
      <c r="D38" s="1174"/>
      <c r="E38" s="1174"/>
      <c r="F38" s="1174"/>
      <c r="G38" s="1174"/>
      <c r="H38" s="1174"/>
      <c r="I38" s="1174"/>
      <c r="J38" s="1174"/>
      <c r="K38" s="1174"/>
      <c r="L38" s="1174"/>
      <c r="M38" s="1306"/>
      <c r="N38" s="1174"/>
      <c r="O38" s="1174"/>
      <c r="P38" s="1174"/>
      <c r="U38" s="24079" t="s">
        <v>652</v>
      </c>
      <c r="V38" s="24079"/>
      <c r="W38" s="1298"/>
      <c r="X38" s="24080" t="str">
        <f>IF(TITLE_DATE_PR_CHANGE="",IF(TITLE_DATE_PR="","",TITLE_DATE_PR),TITLE_DATE_PR_CHANGE)</f>
        <v>20.12.2024</v>
      </c>
      <c r="Y38" s="24080"/>
      <c r="Z38" s="24080"/>
      <c r="AA38" s="24080"/>
      <c r="AB38" s="24080"/>
      <c r="AC38" s="24080"/>
      <c r="AD38" s="24080"/>
      <c r="AE38" s="24080"/>
      <c r="AF38" s="262"/>
      <c r="AG38" s="24080" t="str">
        <f>IF(TITLE_DATE_PR_CHANGE="",IF(TITLE_DATE_PR="","",TITLE_DATE_PR),TITLE_DATE_PR_CHANGE)</f>
        <v>20.12.2024</v>
      </c>
      <c r="AH38" s="24080"/>
      <c r="AI38" s="24080"/>
      <c r="AJ38" s="24080"/>
      <c r="AK38" s="24080"/>
      <c r="AL38" s="24080"/>
      <c r="AM38" s="24080"/>
      <c r="AN38" s="24080"/>
      <c r="AO38" s="262"/>
      <c r="AP38" s="262"/>
      <c r="AQ38" s="216"/>
      <c r="AR38" s="304"/>
      <c r="AS38" s="304"/>
      <c r="AT38" s="304"/>
      <c r="AU38" s="304"/>
      <c r="AV38" s="304"/>
      <c r="AW38" s="354">
        <v>0</v>
      </c>
    </row>
    <row r="39" spans="1:49" s="1750" customFormat="1" ht="18.75" hidden="1" customHeight="1">
      <c r="A39" s="1174"/>
      <c r="B39" s="1174"/>
      <c r="C39" s="1174"/>
      <c r="D39" s="1174"/>
      <c r="E39" s="1174"/>
      <c r="F39" s="1174"/>
      <c r="G39" s="1174"/>
      <c r="H39" s="1174"/>
      <c r="I39" s="1174"/>
      <c r="J39" s="1174"/>
      <c r="K39" s="1174"/>
      <c r="L39" s="1174"/>
      <c r="M39" s="1306"/>
      <c r="N39" s="1174"/>
      <c r="O39" s="1174"/>
      <c r="P39" s="1174"/>
      <c r="U39" s="24079" t="s">
        <v>653</v>
      </c>
      <c r="V39" s="24079"/>
      <c r="W39" s="1298"/>
      <c r="X39" s="24081" t="str">
        <f>IF(TITLE_NUMBER_PR_CHANGE="",IF(TITLE_NUMBER_PR="","",TITLE_NUMBER_PR),TITLE_NUMBER_PR_CHANGE)</f>
        <v>403, 404</v>
      </c>
      <c r="Y39" s="24081"/>
      <c r="Z39" s="24081"/>
      <c r="AA39" s="24081"/>
      <c r="AB39" s="24081"/>
      <c r="AC39" s="24081"/>
      <c r="AD39" s="24081"/>
      <c r="AE39" s="24081"/>
      <c r="AF39" s="262"/>
      <c r="AG39" s="24081" t="str">
        <f>IF(TITLE_NUMBER_PR_CHANGE="",IF(TITLE_NUMBER_PR="","",TITLE_NUMBER_PR),TITLE_NUMBER_PR_CHANGE)</f>
        <v>403, 404</v>
      </c>
      <c r="AH39" s="24081"/>
      <c r="AI39" s="24081"/>
      <c r="AJ39" s="24081"/>
      <c r="AK39" s="24081"/>
      <c r="AL39" s="24081"/>
      <c r="AM39" s="24081"/>
      <c r="AN39" s="24081"/>
      <c r="AO39" s="262"/>
      <c r="AP39" s="262"/>
      <c r="AQ39" s="216"/>
      <c r="AR39" s="304"/>
      <c r="AS39" s="304"/>
      <c r="AT39" s="304"/>
      <c r="AU39" s="304"/>
      <c r="AV39" s="304"/>
      <c r="AW39" s="354">
        <v>0</v>
      </c>
    </row>
    <row r="40" spans="1:49" s="1750" customFormat="1" ht="0" hidden="1" customHeight="1">
      <c r="A40" s="1174"/>
      <c r="B40" s="1174"/>
      <c r="C40" s="1174"/>
      <c r="D40" s="1174"/>
      <c r="E40" s="1174"/>
      <c r="F40" s="1174"/>
      <c r="G40" s="1174"/>
      <c r="H40" s="1174"/>
      <c r="I40" s="1174"/>
      <c r="J40" s="1174"/>
      <c r="K40" s="1174"/>
      <c r="L40" s="1174"/>
      <c r="M40" s="1306"/>
      <c r="N40" s="1174"/>
      <c r="O40" s="1174"/>
      <c r="P40" s="1174"/>
      <c r="U40" s="259"/>
      <c r="V40" s="259"/>
      <c r="W40" s="1266"/>
      <c r="X40" s="262"/>
      <c r="Y40" s="262"/>
      <c r="Z40" s="262"/>
      <c r="AA40" s="262"/>
      <c r="AB40" s="262"/>
      <c r="AC40" s="262"/>
      <c r="AD40" s="262"/>
      <c r="AE40" s="262"/>
      <c r="AF40" s="214" t="s">
        <v>654</v>
      </c>
      <c r="AG40" s="262"/>
      <c r="AH40" s="262"/>
      <c r="AI40" s="262"/>
      <c r="AJ40" s="262"/>
      <c r="AK40" s="262"/>
      <c r="AL40" s="262"/>
      <c r="AM40" s="262"/>
      <c r="AN40" s="262"/>
      <c r="AO40" s="214" t="s">
        <v>654</v>
      </c>
      <c r="AR40" s="304"/>
      <c r="AS40" s="304"/>
      <c r="AT40" s="304"/>
      <c r="AU40" s="304"/>
      <c r="AV40" s="304"/>
      <c r="AW40" s="354">
        <v>0</v>
      </c>
    </row>
    <row r="41" spans="1:49" ht="14.65" customHeight="1">
      <c r="R41" s="312"/>
      <c r="S41" s="312"/>
      <c r="T41" s="312"/>
      <c r="U41" s="1201"/>
      <c r="V41" s="299"/>
      <c r="W41" s="1170"/>
      <c r="X41" s="24100"/>
      <c r="Y41" s="24100"/>
      <c r="Z41" s="24100"/>
      <c r="AA41" s="24100"/>
      <c r="AB41" s="24100"/>
      <c r="AC41" s="24100"/>
      <c r="AD41" s="24100"/>
      <c r="AE41" s="24100"/>
      <c r="AF41" s="24100"/>
      <c r="AG41" s="24100"/>
      <c r="AH41" s="24100"/>
      <c r="AI41" s="24100"/>
      <c r="AJ41" s="24100"/>
      <c r="AK41" s="24100"/>
      <c r="AL41" s="24100"/>
      <c r="AM41" s="24100"/>
      <c r="AN41" s="24100"/>
      <c r="AO41" s="24100"/>
      <c r="AW41" s="1081">
        <v>14</v>
      </c>
    </row>
    <row r="42" spans="1:49" ht="14.65" customHeight="1">
      <c r="R42" s="312"/>
      <c r="S42" s="312"/>
      <c r="T42" s="312"/>
      <c r="U42" s="23947" t="s">
        <v>529</v>
      </c>
      <c r="V42" s="23947"/>
      <c r="W42" s="23947"/>
      <c r="X42" s="23947"/>
      <c r="Y42" s="23947"/>
      <c r="Z42" s="23947"/>
      <c r="AA42" s="23947"/>
      <c r="AB42" s="23947"/>
      <c r="AC42" s="23947"/>
      <c r="AD42" s="23947"/>
      <c r="AE42" s="23947"/>
      <c r="AF42" s="23947"/>
      <c r="AG42" s="23947"/>
      <c r="AH42" s="23947"/>
      <c r="AI42" s="23947"/>
      <c r="AJ42" s="23947"/>
      <c r="AK42" s="23947"/>
      <c r="AL42" s="23947"/>
      <c r="AM42" s="23947"/>
      <c r="AN42" s="23947"/>
      <c r="AO42" s="23947"/>
      <c r="AP42" s="23947"/>
      <c r="AQ42" s="23947" t="s">
        <v>530</v>
      </c>
      <c r="AW42" s="1081">
        <v>14</v>
      </c>
    </row>
    <row r="43" spans="1:49" ht="14.65" customHeight="1">
      <c r="R43" s="312"/>
      <c r="S43" s="312"/>
      <c r="T43" s="312"/>
      <c r="U43" s="24101" t="s">
        <v>79</v>
      </c>
      <c r="V43" s="24050" t="s">
        <v>655</v>
      </c>
      <c r="W43" s="237"/>
      <c r="X43" s="24102" t="s">
        <v>656</v>
      </c>
      <c r="Y43" s="24118"/>
      <c r="Z43" s="24118"/>
      <c r="AA43" s="24118"/>
      <c r="AB43" s="24118"/>
      <c r="AC43" s="24103"/>
      <c r="AD43" s="24103"/>
      <c r="AE43" s="24104"/>
      <c r="AF43" s="24105" t="s">
        <v>657</v>
      </c>
      <c r="AG43" s="24102" t="s">
        <v>656</v>
      </c>
      <c r="AH43" s="24118"/>
      <c r="AI43" s="24118"/>
      <c r="AJ43" s="24118"/>
      <c r="AK43" s="24118"/>
      <c r="AL43" s="24103"/>
      <c r="AM43" s="24103"/>
      <c r="AN43" s="24104"/>
      <c r="AO43" s="24105" t="s">
        <v>658</v>
      </c>
      <c r="AP43" s="24108" t="s">
        <v>659</v>
      </c>
      <c r="AQ43" s="23947"/>
      <c r="AW43" s="1081">
        <v>14</v>
      </c>
    </row>
    <row r="44" spans="1:49" ht="35.65" customHeight="1">
      <c r="R44" s="312"/>
      <c r="S44" s="312"/>
      <c r="T44" s="312"/>
      <c r="U44" s="24101"/>
      <c r="V44" s="24050"/>
      <c r="W44" s="960"/>
      <c r="X44" s="24023" t="s">
        <v>681</v>
      </c>
      <c r="Y44" s="23947" t="s">
        <v>682</v>
      </c>
      <c r="Z44" s="23947"/>
      <c r="AA44" s="23947"/>
      <c r="AB44" s="23947"/>
      <c r="AC44" s="24023" t="s">
        <v>663</v>
      </c>
      <c r="AD44" s="24130"/>
      <c r="AE44" s="24024"/>
      <c r="AF44" s="24106"/>
      <c r="AG44" s="24023" t="s">
        <v>681</v>
      </c>
      <c r="AH44" s="23947" t="s">
        <v>682</v>
      </c>
      <c r="AI44" s="23947"/>
      <c r="AJ44" s="23947"/>
      <c r="AK44" s="23947"/>
      <c r="AL44" s="24023" t="s">
        <v>663</v>
      </c>
      <c r="AM44" s="24130"/>
      <c r="AN44" s="24024"/>
      <c r="AO44" s="24106"/>
      <c r="AP44" s="24109"/>
      <c r="AQ44" s="23947"/>
      <c r="AW44" s="1081">
        <v>34</v>
      </c>
    </row>
    <row r="45" spans="1:49" ht="14.65" customHeight="1">
      <c r="R45" s="312"/>
      <c r="S45" s="312"/>
      <c r="T45" s="312"/>
      <c r="U45" s="24101"/>
      <c r="V45" s="24050"/>
      <c r="W45" s="960"/>
      <c r="X45" s="24025"/>
      <c r="Y45" s="24056" t="s">
        <v>683</v>
      </c>
      <c r="Z45" s="24055" t="s">
        <v>684</v>
      </c>
      <c r="AA45" s="24067"/>
      <c r="AB45" s="24068"/>
      <c r="AC45" s="24028"/>
      <c r="AD45" s="24131"/>
      <c r="AE45" s="24029"/>
      <c r="AF45" s="24106"/>
      <c r="AG45" s="24025"/>
      <c r="AH45" s="24056" t="s">
        <v>683</v>
      </c>
      <c r="AI45" s="24055" t="s">
        <v>684</v>
      </c>
      <c r="AJ45" s="24067"/>
      <c r="AK45" s="24068"/>
      <c r="AL45" s="24028"/>
      <c r="AM45" s="24131"/>
      <c r="AN45" s="24029"/>
      <c r="AO45" s="24106"/>
      <c r="AP45" s="24109"/>
      <c r="AQ45" s="23947"/>
      <c r="AW45" s="1081">
        <v>14</v>
      </c>
    </row>
    <row r="46" spans="1:49" ht="27.4" customHeight="1">
      <c r="R46" s="312"/>
      <c r="S46" s="312"/>
      <c r="T46" s="312"/>
      <c r="U46" s="24101"/>
      <c r="V46" s="24050"/>
      <c r="W46" s="960"/>
      <c r="X46" s="24025"/>
      <c r="Y46" s="24129"/>
      <c r="Z46" s="24056" t="s">
        <v>685</v>
      </c>
      <c r="AA46" s="24055" t="s">
        <v>686</v>
      </c>
      <c r="AB46" s="24068"/>
      <c r="AC46" s="24056" t="s">
        <v>673</v>
      </c>
      <c r="AD46" s="24060" t="s">
        <v>674</v>
      </c>
      <c r="AE46" s="24058"/>
      <c r="AF46" s="24106"/>
      <c r="AG46" s="24025"/>
      <c r="AH46" s="24129"/>
      <c r="AI46" s="24056" t="s">
        <v>685</v>
      </c>
      <c r="AJ46" s="24055" t="s">
        <v>686</v>
      </c>
      <c r="AK46" s="24068"/>
      <c r="AL46" s="24056" t="s">
        <v>673</v>
      </c>
      <c r="AM46" s="24060" t="s">
        <v>674</v>
      </c>
      <c r="AN46" s="24058"/>
      <c r="AO46" s="24106"/>
      <c r="AP46" s="24109"/>
      <c r="AQ46" s="23947"/>
      <c r="AW46" s="1081">
        <v>26</v>
      </c>
    </row>
    <row r="47" spans="1:49" ht="65.25" customHeight="1">
      <c r="A47" s="1185"/>
      <c r="B47" s="1185" t="s">
        <v>241</v>
      </c>
      <c r="C47" s="1185" t="s">
        <v>242</v>
      </c>
      <c r="D47" s="1185" t="s">
        <v>243</v>
      </c>
      <c r="E47" s="1236" t="s">
        <v>664</v>
      </c>
      <c r="F47" s="1236" t="s">
        <v>665</v>
      </c>
      <c r="G47" s="1236" t="s">
        <v>666</v>
      </c>
      <c r="H47" s="1236" t="s">
        <v>667</v>
      </c>
      <c r="I47" s="1236" t="s">
        <v>668</v>
      </c>
      <c r="J47" s="1236" t="s">
        <v>669</v>
      </c>
      <c r="K47" s="1236" t="s">
        <v>670</v>
      </c>
      <c r="L47" s="1236" t="s">
        <v>687</v>
      </c>
      <c r="M47" s="1236" t="s">
        <v>645</v>
      </c>
      <c r="R47" s="312"/>
      <c r="S47" s="312"/>
      <c r="T47" s="312"/>
      <c r="U47" s="24101"/>
      <c r="V47" s="24050"/>
      <c r="W47" s="238"/>
      <c r="X47" s="24028"/>
      <c r="Y47" s="24057"/>
      <c r="Z47" s="24057"/>
      <c r="AA47" s="1148" t="s">
        <v>688</v>
      </c>
      <c r="AB47" s="1148" t="s">
        <v>689</v>
      </c>
      <c r="AC47" s="24057"/>
      <c r="AD47" s="24061"/>
      <c r="AE47" s="24059"/>
      <c r="AF47" s="24107"/>
      <c r="AG47" s="24028"/>
      <c r="AH47" s="24057"/>
      <c r="AI47" s="24057"/>
      <c r="AJ47" s="1148" t="s">
        <v>688</v>
      </c>
      <c r="AK47" s="1148" t="s">
        <v>689</v>
      </c>
      <c r="AL47" s="24057"/>
      <c r="AM47" s="24061"/>
      <c r="AN47" s="24059"/>
      <c r="AO47" s="24107"/>
      <c r="AP47" s="24110"/>
      <c r="AQ47" s="23947"/>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218</v>
      </c>
      <c r="V48" s="1181" t="s">
        <v>95</v>
      </c>
      <c r="W48" s="1171" t="str">
        <f ca="1">OFFSET(W48,0,-1)</f>
        <v>2</v>
      </c>
      <c r="X48" s="1261">
        <f ca="1">OFFSET(X48,0,-1)+1</f>
        <v>3</v>
      </c>
      <c r="Y48" s="1267"/>
      <c r="Z48" s="1267"/>
      <c r="AA48" s="1267">
        <f ca="1">OFFSET(AA48,0,-1)+1</f>
        <v>1</v>
      </c>
      <c r="AB48" s="1267">
        <f ca="1">OFFSET(AB48,0,-1)+1</f>
        <v>2</v>
      </c>
      <c r="AC48" s="1261">
        <f ca="1">OFFSET(AC48,0,-1)+1</f>
        <v>3</v>
      </c>
      <c r="AD48" s="24099">
        <f ca="1">OFFSET(AD48,0,-1)+1</f>
        <v>4</v>
      </c>
      <c r="AE48" s="24099"/>
      <c r="AF48" s="1261">
        <f ca="1">OFFSET(AF48,0,-2)+1</f>
        <v>5</v>
      </c>
      <c r="AG48" s="1261">
        <f ca="1">OFFSET(AG48,0,-1)+1</f>
        <v>6</v>
      </c>
      <c r="AH48" s="1261"/>
      <c r="AI48" s="1261"/>
      <c r="AJ48" s="1261">
        <f ca="1">OFFSET(AJ48,0,-1)+1</f>
        <v>1</v>
      </c>
      <c r="AK48" s="1261">
        <f ca="1">OFFSET(AK48,0,-1)+1</f>
        <v>2</v>
      </c>
      <c r="AL48" s="1261">
        <f ca="1">OFFSET(AL48,0,-1)+1</f>
        <v>3</v>
      </c>
      <c r="AM48" s="24099">
        <f ca="1">OFFSET(AM48,0,-1)+1</f>
        <v>4</v>
      </c>
      <c r="AN48" s="24099"/>
      <c r="AO48" s="1261">
        <f ca="1">OFFSET(AO48,0,-2)+1</f>
        <v>5</v>
      </c>
      <c r="AP48" s="1171">
        <f ca="1">OFFSET(AP48,0,-1)</f>
        <v>5</v>
      </c>
      <c r="AQ48" s="1261">
        <f ca="1">OFFSET(AQ48,0,-1)+1</f>
        <v>6</v>
      </c>
      <c r="AR48" s="447"/>
      <c r="AS48" s="447"/>
      <c r="AT48" s="447"/>
      <c r="AU48" s="447"/>
      <c r="AV48" s="447"/>
      <c r="AW48" s="432">
        <v>0</v>
      </c>
    </row>
    <row r="49" spans="1:49" ht="21.95" customHeight="1">
      <c r="A49" s="1193" t="s">
        <v>274</v>
      </c>
      <c r="B49" s="1193"/>
      <c r="C49" s="1193"/>
      <c r="D49" s="1193"/>
      <c r="E49" s="2411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4" t="s">
        <v>229</v>
      </c>
      <c r="W49" s="236"/>
      <c r="X49" s="24082"/>
      <c r="Y49" s="24083"/>
      <c r="Z49" s="24083"/>
      <c r="AA49" s="24083"/>
      <c r="AB49" s="24083"/>
      <c r="AC49" s="24083"/>
      <c r="AD49" s="24083"/>
      <c r="AE49" s="24083"/>
      <c r="AF49" s="24084"/>
      <c r="AG49" s="24082" t="str">
        <f>INDEX(PT_DIFFERENTIATION_NTAR,MATCH(A49,PT_DIFFERENTIATION_NTAR_ID,0))</f>
        <v/>
      </c>
      <c r="AH49" s="24083"/>
      <c r="AI49" s="24083"/>
      <c r="AJ49" s="24083"/>
      <c r="AK49" s="24083"/>
      <c r="AL49" s="24083"/>
      <c r="AM49" s="24083"/>
      <c r="AN49" s="24083"/>
      <c r="AO49" s="24083"/>
      <c r="AP49" s="2408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6"/>
      <c r="AT49" s="436" t="str">
        <f t="shared" ref="AT49:AT65" si="2">IF(V49="","",V49)</f>
        <v>Наименование тарифа</v>
      </c>
      <c r="AU49" s="436"/>
      <c r="AV49" s="436"/>
      <c r="AW49" s="1081">
        <v>21</v>
      </c>
    </row>
    <row r="50" spans="1:49" ht="21.95" customHeight="1">
      <c r="A50" s="1193" t="s">
        <v>274</v>
      </c>
      <c r="B50" s="1193" t="s">
        <v>275</v>
      </c>
      <c r="C50" s="1193"/>
      <c r="D50" s="1193"/>
      <c r="E50" s="24115"/>
      <c r="F50" s="2411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4" t="s">
        <v>626</v>
      </c>
      <c r="W50" s="236"/>
      <c r="X50" s="24082"/>
      <c r="Y50" s="24083"/>
      <c r="Z50" s="24083"/>
      <c r="AA50" s="24083"/>
      <c r="AB50" s="24083"/>
      <c r="AC50" s="24083"/>
      <c r="AD50" s="24083"/>
      <c r="AE50" s="24083"/>
      <c r="AF50" s="24084"/>
      <c r="AG50" s="24082" t="str">
        <f>INDEX(PT_DIFFERENTIATION_TER,MATCH(B50,PT_DIFFERENTIATION_TER_ID,0))</f>
        <v/>
      </c>
      <c r="AH50" s="24083"/>
      <c r="AI50" s="24083"/>
      <c r="AJ50" s="24083"/>
      <c r="AK50" s="24083"/>
      <c r="AL50" s="24083"/>
      <c r="AM50" s="24083"/>
      <c r="AN50" s="24083"/>
      <c r="AO50" s="24083"/>
      <c r="AP50" s="24084"/>
      <c r="AQ50" s="1184" t="s">
        <v>627</v>
      </c>
      <c r="AS50" s="436"/>
      <c r="AT50" s="436" t="str">
        <f t="shared" si="2"/>
        <v>Территория действия тарифа</v>
      </c>
      <c r="AU50" s="436"/>
      <c r="AV50" s="436"/>
      <c r="AW50" s="1081">
        <v>21</v>
      </c>
    </row>
    <row r="51" spans="1:49" ht="24" customHeight="1">
      <c r="A51" s="1193" t="s">
        <v>274</v>
      </c>
      <c r="B51" s="1193" t="s">
        <v>275</v>
      </c>
      <c r="C51" s="1193" t="s">
        <v>276</v>
      </c>
      <c r="D51" s="1193"/>
      <c r="E51" s="24115"/>
      <c r="F51" s="24115"/>
      <c r="G51" s="24114">
        <v>1</v>
      </c>
      <c r="H51" s="1193"/>
      <c r="I51" s="1193"/>
      <c r="J51" s="1193"/>
      <c r="K51" s="1193"/>
      <c r="L51" s="1193"/>
      <c r="M51" s="1236"/>
      <c r="N51" s="624"/>
      <c r="O51" s="624"/>
      <c r="P51" s="624"/>
      <c r="Q51" s="290"/>
      <c r="R51" s="288"/>
      <c r="S51" s="445"/>
      <c r="T51" s="289"/>
      <c r="U51" s="1262" t="str">
        <f>INDEX(PT_DIFFERENTIATION_NUM_CS,MATCH(C51,PT_DIFFERENTIATION_CS_ID,0))</f>
        <v>..</v>
      </c>
      <c r="V51" s="245" t="s">
        <v>628</v>
      </c>
      <c r="W51" s="236"/>
      <c r="X51" s="24082"/>
      <c r="Y51" s="24083"/>
      <c r="Z51" s="24083"/>
      <c r="AA51" s="24083"/>
      <c r="AB51" s="24083"/>
      <c r="AC51" s="24083"/>
      <c r="AD51" s="24083"/>
      <c r="AE51" s="24083"/>
      <c r="AF51" s="24084"/>
      <c r="AG51" s="24082" t="str">
        <f>INDEX(PT_DIFFERENTIATION_CS,MATCH(C51,PT_DIFFERENTIATION_CS_ID,0))</f>
        <v/>
      </c>
      <c r="AH51" s="24083"/>
      <c r="AI51" s="24083"/>
      <c r="AJ51" s="24083"/>
      <c r="AK51" s="24083"/>
      <c r="AL51" s="24083"/>
      <c r="AM51" s="24083"/>
      <c r="AN51" s="24083"/>
      <c r="AO51" s="24083"/>
      <c r="AP51" s="24084"/>
      <c r="AQ51" s="1184" t="s">
        <v>629</v>
      </c>
      <c r="AS51" s="436"/>
      <c r="AT51" s="436" t="str">
        <f t="shared" si="2"/>
        <v xml:space="preserve">Наименование системы теплоснабжения </v>
      </c>
      <c r="AU51" s="436"/>
      <c r="AV51" s="436"/>
      <c r="AW51" s="1081">
        <v>23</v>
      </c>
    </row>
    <row r="52" spans="1:49" ht="21.95" customHeight="1">
      <c r="A52" s="1193" t="s">
        <v>274</v>
      </c>
      <c r="B52" s="1193" t="s">
        <v>275</v>
      </c>
      <c r="C52" s="1193" t="s">
        <v>276</v>
      </c>
      <c r="D52" s="1193" t="s">
        <v>277</v>
      </c>
      <c r="E52" s="24115"/>
      <c r="F52" s="24115"/>
      <c r="G52" s="24115"/>
      <c r="H52" s="24114">
        <v>1</v>
      </c>
      <c r="I52" s="1193"/>
      <c r="J52" s="1193"/>
      <c r="K52" s="1193"/>
      <c r="L52" s="1193"/>
      <c r="M52" s="1236"/>
      <c r="N52" s="624"/>
      <c r="O52" s="624"/>
      <c r="P52" s="624"/>
      <c r="Q52" s="290"/>
      <c r="R52" s="288"/>
      <c r="S52" s="445"/>
      <c r="T52" s="289"/>
      <c r="U52" s="1262" t="str">
        <f>INDEX(PT_DIFFERENTIATION_NUM_IST_TE,MATCH(D52,PT_DIFFERENTIATION_IST_TE_ID,0))</f>
        <v>...</v>
      </c>
      <c r="V52" s="246" t="s">
        <v>630</v>
      </c>
      <c r="W52" s="236"/>
      <c r="X52" s="24082"/>
      <c r="Y52" s="24083"/>
      <c r="Z52" s="24083"/>
      <c r="AA52" s="24083"/>
      <c r="AB52" s="24083"/>
      <c r="AC52" s="24083"/>
      <c r="AD52" s="24083"/>
      <c r="AE52" s="24083"/>
      <c r="AF52" s="24084"/>
      <c r="AG52" s="24082" t="str">
        <f>INDEX(PT_DIFFERENTIATION_IST_TE,MATCH(D52,PT_DIFFERENTIATION_IST_TE_ID,0))</f>
        <v/>
      </c>
      <c r="AH52" s="24083"/>
      <c r="AI52" s="24083"/>
      <c r="AJ52" s="24083"/>
      <c r="AK52" s="24083"/>
      <c r="AL52" s="24083"/>
      <c r="AM52" s="24083"/>
      <c r="AN52" s="24083"/>
      <c r="AO52" s="24083"/>
      <c r="AP52" s="24084"/>
      <c r="AQ52" s="1184" t="s">
        <v>631</v>
      </c>
      <c r="AS52" s="436"/>
      <c r="AT52" s="436" t="str">
        <f t="shared" si="2"/>
        <v xml:space="preserve">Источник тепловой энергии  </v>
      </c>
      <c r="AU52" s="436"/>
      <c r="AV52" s="436"/>
      <c r="AW52" s="1081">
        <v>21</v>
      </c>
    </row>
    <row r="53" spans="1:49" s="1568" customFormat="1" ht="0" hidden="1" customHeight="1">
      <c r="A53" s="1301" t="s">
        <v>274</v>
      </c>
      <c r="B53" s="1301" t="s">
        <v>275</v>
      </c>
      <c r="C53" s="1301" t="s">
        <v>276</v>
      </c>
      <c r="D53" s="1301" t="s">
        <v>277</v>
      </c>
      <c r="E53" s="24115"/>
      <c r="F53" s="24115"/>
      <c r="G53" s="24115"/>
      <c r="H53" s="24115"/>
      <c r="I53" s="23947" t="str">
        <f>U52&amp;".1"</f>
        <v>....1</v>
      </c>
      <c r="J53" s="1301"/>
      <c r="K53" s="1301"/>
      <c r="L53" s="1301"/>
      <c r="M53" s="1307" t="s">
        <v>632</v>
      </c>
      <c r="N53" s="1172"/>
      <c r="O53" s="1172"/>
      <c r="P53" s="1172"/>
      <c r="Q53" s="24092">
        <v>1</v>
      </c>
      <c r="R53" s="1257"/>
      <c r="S53" s="1257"/>
      <c r="T53" s="292"/>
      <c r="U53" s="971"/>
      <c r="V53" s="1309"/>
      <c r="W53" s="1310"/>
      <c r="X53" s="24119"/>
      <c r="Y53" s="24120"/>
      <c r="Z53" s="24120"/>
      <c r="AA53" s="24120"/>
      <c r="AB53" s="24120"/>
      <c r="AC53" s="24120"/>
      <c r="AD53" s="24120"/>
      <c r="AE53" s="24120"/>
      <c r="AF53" s="24121"/>
      <c r="AG53" s="24119"/>
      <c r="AH53" s="24120"/>
      <c r="AI53" s="24120"/>
      <c r="AJ53" s="24120"/>
      <c r="AK53" s="24120"/>
      <c r="AL53" s="24120"/>
      <c r="AM53" s="24120"/>
      <c r="AN53" s="24120"/>
      <c r="AO53" s="24120"/>
      <c r="AP53" s="24121"/>
      <c r="AQ53" s="1311"/>
      <c r="AS53" s="436"/>
      <c r="AT53" s="436" t="str">
        <f t="shared" si="2"/>
        <v/>
      </c>
      <c r="AU53" s="436"/>
      <c r="AV53" s="436"/>
      <c r="AW53" s="447">
        <v>0</v>
      </c>
    </row>
    <row r="54" spans="1:49" ht="21.95" customHeight="1">
      <c r="A54" s="1193" t="s">
        <v>274</v>
      </c>
      <c r="B54" s="1193" t="s">
        <v>275</v>
      </c>
      <c r="C54" s="1193" t="s">
        <v>276</v>
      </c>
      <c r="D54" s="1193" t="s">
        <v>277</v>
      </c>
      <c r="E54" s="24115"/>
      <c r="F54" s="24115"/>
      <c r="G54" s="24115"/>
      <c r="H54" s="24115"/>
      <c r="I54" s="23928"/>
      <c r="J54" s="23947" t="str">
        <f>I53&amp;".1"</f>
        <v>....1.1</v>
      </c>
      <c r="K54" s="1193"/>
      <c r="L54" s="1193"/>
      <c r="M54" s="1236" t="s">
        <v>635</v>
      </c>
      <c r="Q54" s="24092"/>
      <c r="R54" s="24092">
        <v>1</v>
      </c>
      <c r="S54" s="454"/>
      <c r="T54" s="293"/>
      <c r="U54" s="1262" t="str">
        <f>$J54</f>
        <v>....1.1</v>
      </c>
      <c r="V54" s="222" t="s">
        <v>636</v>
      </c>
      <c r="W54" s="236"/>
      <c r="X54" s="24076"/>
      <c r="Y54" s="24077"/>
      <c r="Z54" s="24077"/>
      <c r="AA54" s="24077"/>
      <c r="AB54" s="24077"/>
      <c r="AC54" s="24072"/>
      <c r="AD54" s="24072"/>
      <c r="AE54" s="24072"/>
      <c r="AF54" s="24132"/>
      <c r="AG54" s="24076"/>
      <c r="AH54" s="24077"/>
      <c r="AI54" s="24077"/>
      <c r="AJ54" s="24077"/>
      <c r="AK54" s="24077"/>
      <c r="AL54" s="24077"/>
      <c r="AM54" s="24077"/>
      <c r="AN54" s="24077"/>
      <c r="AO54" s="24077"/>
      <c r="AP54" s="24078"/>
      <c r="AQ54" s="1184" t="s">
        <v>637</v>
      </c>
      <c r="AS54" s="436"/>
      <c r="AT54" s="436" t="str">
        <f t="shared" si="2"/>
        <v>Группа потребителей</v>
      </c>
      <c r="AU54" s="436"/>
      <c r="AV54" s="436"/>
      <c r="AW54" s="1081">
        <v>21</v>
      </c>
    </row>
    <row r="55" spans="1:49" ht="21.95" customHeight="1">
      <c r="A55" s="1193" t="s">
        <v>274</v>
      </c>
      <c r="B55" s="1193" t="s">
        <v>275</v>
      </c>
      <c r="C55" s="1193" t="s">
        <v>276</v>
      </c>
      <c r="D55" s="1193" t="s">
        <v>277</v>
      </c>
      <c r="E55" s="24115"/>
      <c r="F55" s="24115"/>
      <c r="G55" s="24115"/>
      <c r="H55" s="24115"/>
      <c r="I55" s="23928"/>
      <c r="J55" s="23928"/>
      <c r="K55" s="23947" t="str">
        <f>J54&amp;".1"</f>
        <v>....1.1.1</v>
      </c>
      <c r="L55" s="77"/>
      <c r="M55" s="1236" t="s">
        <v>638</v>
      </c>
      <c r="Q55" s="24092"/>
      <c r="R55" s="24092"/>
      <c r="S55" s="454">
        <v>1</v>
      </c>
      <c r="T55" s="293"/>
      <c r="U55" s="1262" t="str">
        <f>$K55</f>
        <v>....1.1.1</v>
      </c>
      <c r="V55" s="1273"/>
      <c r="W55" s="236"/>
      <c r="X55" s="687"/>
      <c r="Y55" s="687"/>
      <c r="Z55" s="687"/>
      <c r="AA55" s="687"/>
      <c r="AB55" s="1331"/>
      <c r="AC55" s="24093"/>
      <c r="AD55" s="23957" t="s">
        <v>59</v>
      </c>
      <c r="AE55" s="24093"/>
      <c r="AF55" s="23957" t="s">
        <v>59</v>
      </c>
      <c r="AG55" s="1333"/>
      <c r="AH55" s="687"/>
      <c r="AI55" s="687"/>
      <c r="AJ55" s="687"/>
      <c r="AK55" s="1183"/>
      <c r="AL55" s="24093"/>
      <c r="AM55" s="23957" t="s">
        <v>59</v>
      </c>
      <c r="AN55" s="24093"/>
      <c r="AO55" s="23957" t="s">
        <v>59</v>
      </c>
      <c r="AP55" s="1274"/>
      <c r="AQ55" s="1233" t="s">
        <v>678</v>
      </c>
      <c r="AR55" s="447" t="e">
        <f ca="1">STRCHECKDATE(X57:AP57)</f>
        <v>#NAME?</v>
      </c>
      <c r="AS55" s="436"/>
      <c r="AT55" s="436" t="str">
        <f t="shared" si="2"/>
        <v/>
      </c>
      <c r="AU55" s="436"/>
      <c r="AV55" s="436"/>
      <c r="AW55" s="1081">
        <v>21</v>
      </c>
    </row>
    <row r="56" spans="1:49" ht="11.45" customHeight="1">
      <c r="A56" s="1193" t="s">
        <v>274</v>
      </c>
      <c r="B56" s="1193" t="s">
        <v>275</v>
      </c>
      <c r="C56" s="1193" t="s">
        <v>276</v>
      </c>
      <c r="D56" s="1193" t="s">
        <v>277</v>
      </c>
      <c r="E56" s="24115"/>
      <c r="F56" s="24115"/>
      <c r="G56" s="24115"/>
      <c r="H56" s="24115"/>
      <c r="I56" s="23928"/>
      <c r="J56" s="23928"/>
      <c r="K56" s="23928"/>
      <c r="L56" s="23947" t="str">
        <f>K55&amp;".1"</f>
        <v>....1.1.1.1</v>
      </c>
      <c r="M56" s="1236"/>
      <c r="Q56" s="24092"/>
      <c r="R56" s="24092"/>
      <c r="S56" s="454">
        <v>1</v>
      </c>
      <c r="T56" s="293"/>
      <c r="U56" s="1262" t="str">
        <f>$L56</f>
        <v>....1.1.1.1</v>
      </c>
      <c r="V56" s="1317"/>
      <c r="W56" s="236"/>
      <c r="X56" s="261"/>
      <c r="Y56" s="687"/>
      <c r="Z56" s="687"/>
      <c r="AA56" s="687"/>
      <c r="AB56" s="1331"/>
      <c r="AC56" s="24094"/>
      <c r="AD56" s="23957"/>
      <c r="AE56" s="24094"/>
      <c r="AF56" s="23957"/>
      <c r="AG56" s="1333"/>
      <c r="AH56" s="687"/>
      <c r="AI56" s="687"/>
      <c r="AJ56" s="687"/>
      <c r="AK56" s="1183"/>
      <c r="AL56" s="24094"/>
      <c r="AM56" s="23957"/>
      <c r="AN56" s="24094"/>
      <c r="AO56" s="23957"/>
      <c r="AP56" s="1274"/>
      <c r="AQ56" s="24111" t="s">
        <v>679</v>
      </c>
      <c r="AR56" s="447" t="e">
        <f ca="1">STRCHECKDATE(X58:AP58)</f>
        <v>#NAME?</v>
      </c>
      <c r="AS56" s="436"/>
      <c r="AT56" s="436" t="str">
        <f t="shared" si="2"/>
        <v/>
      </c>
      <c r="AU56" s="436"/>
      <c r="AV56" s="436"/>
      <c r="AW56" s="1081">
        <v>11</v>
      </c>
    </row>
    <row r="57" spans="1:49" ht="0" hidden="1" customHeight="1">
      <c r="A57" s="1193" t="s">
        <v>274</v>
      </c>
      <c r="B57" s="1193" t="s">
        <v>275</v>
      </c>
      <c r="C57" s="1193" t="s">
        <v>276</v>
      </c>
      <c r="D57" s="1193" t="s">
        <v>277</v>
      </c>
      <c r="E57" s="24115"/>
      <c r="F57" s="24115"/>
      <c r="G57" s="24115"/>
      <c r="H57" s="24115"/>
      <c r="I57" s="23928"/>
      <c r="J57" s="23928"/>
      <c r="K57" s="23928"/>
      <c r="L57" s="23947"/>
      <c r="M57" s="1236"/>
      <c r="Q57" s="24092"/>
      <c r="R57" s="24092"/>
      <c r="S57" s="454"/>
      <c r="T57" s="293"/>
      <c r="U57" s="1268"/>
      <c r="V57" s="236"/>
      <c r="W57" s="236"/>
      <c r="X57" s="261"/>
      <c r="Y57" s="261"/>
      <c r="Z57" s="261"/>
      <c r="AA57" s="261"/>
      <c r="AB57" s="1332" t="str">
        <f>AC55&amp;"-"&amp;AE55</f>
        <v>-</v>
      </c>
      <c r="AC57" s="24094"/>
      <c r="AD57" s="23957"/>
      <c r="AE57" s="24094"/>
      <c r="AF57" s="23957"/>
      <c r="AG57" s="1308"/>
      <c r="AH57" s="261"/>
      <c r="AI57" s="261"/>
      <c r="AJ57" s="261"/>
      <c r="AK57" s="264" t="str">
        <f>AL55&amp;"-"&amp;AN55</f>
        <v>-</v>
      </c>
      <c r="AL57" s="24094"/>
      <c r="AM57" s="23957"/>
      <c r="AN57" s="24094"/>
      <c r="AO57" s="23957"/>
      <c r="AP57" s="1275"/>
      <c r="AQ57" s="24112"/>
      <c r="AS57" s="436"/>
      <c r="AT57" s="436" t="str">
        <f t="shared" si="2"/>
        <v/>
      </c>
      <c r="AU57" s="436"/>
      <c r="AV57" s="436"/>
      <c r="AW57" s="1081">
        <v>0</v>
      </c>
    </row>
    <row r="58" spans="1:49" ht="11.45" customHeight="1">
      <c r="A58" s="1193" t="s">
        <v>274</v>
      </c>
      <c r="B58" s="1193" t="s">
        <v>275</v>
      </c>
      <c r="C58" s="1193" t="s">
        <v>276</v>
      </c>
      <c r="D58" s="1193" t="s">
        <v>277</v>
      </c>
      <c r="E58" s="24115"/>
      <c r="F58" s="24115"/>
      <c r="G58" s="24115"/>
      <c r="H58" s="24115"/>
      <c r="I58" s="23928"/>
      <c r="J58" s="23928"/>
      <c r="K58" s="23947"/>
      <c r="L58" s="1193"/>
      <c r="M58" s="1236"/>
      <c r="Q58" s="24092"/>
      <c r="R58" s="24092"/>
      <c r="S58" s="1257"/>
      <c r="T58" s="292"/>
      <c r="U58" s="1204"/>
      <c r="V58" s="224" t="s">
        <v>680</v>
      </c>
      <c r="W58" s="303"/>
      <c r="X58" s="303"/>
      <c r="Y58" s="303"/>
      <c r="Z58" s="303"/>
      <c r="AA58" s="303"/>
      <c r="AB58" s="303"/>
      <c r="AC58" s="24094"/>
      <c r="AD58" s="23957"/>
      <c r="AE58" s="24094"/>
      <c r="AF58" s="23957"/>
      <c r="AG58" s="303"/>
      <c r="AH58" s="303"/>
      <c r="AI58" s="303"/>
      <c r="AJ58" s="303"/>
      <c r="AK58" s="303"/>
      <c r="AL58" s="24094"/>
      <c r="AM58" s="23957"/>
      <c r="AN58" s="24094"/>
      <c r="AO58" s="23957"/>
      <c r="AP58" s="260"/>
      <c r="AQ58" s="24112"/>
      <c r="AS58" s="436"/>
      <c r="AT58" s="436" t="str">
        <f t="shared" si="2"/>
        <v>Добавить наименование поставщика</v>
      </c>
      <c r="AU58" s="436"/>
      <c r="AV58" s="436"/>
      <c r="AW58" s="1081">
        <v>11</v>
      </c>
    </row>
    <row r="59" spans="1:49" ht="11.45" customHeight="1">
      <c r="A59" s="1193" t="s">
        <v>274</v>
      </c>
      <c r="B59" s="1193" t="s">
        <v>275</v>
      </c>
      <c r="C59" s="1193" t="s">
        <v>276</v>
      </c>
      <c r="D59" s="1193" t="s">
        <v>277</v>
      </c>
      <c r="E59" s="24115"/>
      <c r="F59" s="24115"/>
      <c r="G59" s="24115"/>
      <c r="H59" s="24115"/>
      <c r="I59" s="23928"/>
      <c r="J59" s="23947"/>
      <c r="K59" s="1193"/>
      <c r="L59" s="1193"/>
      <c r="M59" s="1236"/>
      <c r="Q59" s="24092"/>
      <c r="R59" s="24092"/>
      <c r="S59" s="1257"/>
      <c r="T59" s="292"/>
      <c r="U59" s="1204"/>
      <c r="V59" s="223" t="s">
        <v>640</v>
      </c>
      <c r="W59" s="303"/>
      <c r="X59" s="303"/>
      <c r="Y59" s="303"/>
      <c r="Z59" s="303"/>
      <c r="AA59" s="303"/>
      <c r="AB59" s="303"/>
      <c r="AC59" s="1334"/>
      <c r="AD59" s="1334"/>
      <c r="AE59" s="1334"/>
      <c r="AF59" s="1334"/>
      <c r="AG59" s="303"/>
      <c r="AH59" s="303"/>
      <c r="AI59" s="303"/>
      <c r="AJ59" s="303"/>
      <c r="AK59" s="303"/>
      <c r="AL59" s="303"/>
      <c r="AM59" s="303"/>
      <c r="AN59" s="303"/>
      <c r="AO59" s="303"/>
      <c r="AP59" s="260"/>
      <c r="AQ59" s="24113"/>
      <c r="AS59" s="436"/>
      <c r="AT59" s="436" t="str">
        <f t="shared" si="2"/>
        <v>Добавить вид теплоносителя (параметры теплоносителя)</v>
      </c>
      <c r="AU59" s="436"/>
      <c r="AV59" s="436"/>
      <c r="AW59" s="1081">
        <v>11</v>
      </c>
    </row>
    <row r="60" spans="1:49" ht="11.45" customHeight="1">
      <c r="A60" s="1193" t="s">
        <v>274</v>
      </c>
      <c r="B60" s="1193" t="s">
        <v>275</v>
      </c>
      <c r="C60" s="1193" t="s">
        <v>276</v>
      </c>
      <c r="D60" s="1193" t="s">
        <v>277</v>
      </c>
      <c r="E60" s="24115"/>
      <c r="F60" s="24115"/>
      <c r="G60" s="24115"/>
      <c r="H60" s="24115"/>
      <c r="I60" s="23947"/>
      <c r="J60" s="1193"/>
      <c r="K60" s="1193"/>
      <c r="L60" s="1193"/>
      <c r="M60" s="1236"/>
      <c r="Q60" s="24092"/>
      <c r="R60" s="1257"/>
      <c r="S60" s="1257"/>
      <c r="T60" s="292"/>
      <c r="U60" s="1204"/>
      <c r="V60" s="301" t="s">
        <v>641</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81">
        <v>11</v>
      </c>
    </row>
    <row r="61" spans="1:49" ht="0" hidden="1" customHeight="1">
      <c r="A61" s="1193" t="s">
        <v>274</v>
      </c>
      <c r="B61" s="1193" t="s">
        <v>275</v>
      </c>
      <c r="C61" s="1193" t="s">
        <v>276</v>
      </c>
      <c r="D61" s="1193" t="s">
        <v>277</v>
      </c>
      <c r="E61" s="24115"/>
      <c r="F61" s="24115"/>
      <c r="G61" s="24115"/>
      <c r="H61" s="2411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274</v>
      </c>
      <c r="B62" s="1301" t="s">
        <v>275</v>
      </c>
      <c r="C62" s="1301" t="s">
        <v>276</v>
      </c>
      <c r="D62" s="1300"/>
      <c r="E62" s="24115"/>
      <c r="F62" s="24115"/>
      <c r="G62" s="24114"/>
      <c r="H62" s="1300"/>
      <c r="I62" s="1300"/>
      <c r="J62" s="1300"/>
      <c r="K62" s="1300"/>
      <c r="L62" s="1300"/>
      <c r="M62" s="1303"/>
      <c r="N62" s="1304"/>
      <c r="O62" s="1304"/>
      <c r="P62" s="287"/>
      <c r="Q62" s="1242"/>
      <c r="R62" s="1243"/>
      <c r="S62" s="1242"/>
      <c r="T62" s="1242"/>
      <c r="U62" s="1248"/>
      <c r="V62" s="1251" t="s">
        <v>643</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274</v>
      </c>
      <c r="B63" s="1301" t="s">
        <v>275</v>
      </c>
      <c r="C63" s="1300"/>
      <c r="D63" s="1300"/>
      <c r="E63" s="24115"/>
      <c r="F63" s="24114"/>
      <c r="G63" s="1300"/>
      <c r="H63" s="1300"/>
      <c r="I63" s="1300"/>
      <c r="J63" s="1300"/>
      <c r="K63" s="1300"/>
      <c r="L63" s="1300"/>
      <c r="M63" s="1303"/>
      <c r="N63" s="1305"/>
      <c r="O63" s="1305"/>
      <c r="P63" s="287"/>
      <c r="Q63" s="1242"/>
      <c r="R63" s="1243"/>
      <c r="S63" s="1242"/>
      <c r="T63" s="1242"/>
      <c r="U63" s="1248"/>
      <c r="V63" s="1251" t="s">
        <v>370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274</v>
      </c>
      <c r="B64" s="1301"/>
      <c r="C64" s="1301"/>
      <c r="D64" s="1301"/>
      <c r="E64" s="24114"/>
      <c r="F64" s="1301"/>
      <c r="G64" s="1301"/>
      <c r="H64" s="1301"/>
      <c r="I64" s="1301"/>
      <c r="J64" s="1301"/>
      <c r="K64" s="1301"/>
      <c r="L64" s="1301"/>
      <c r="M64" s="1307"/>
      <c r="N64" s="1305"/>
      <c r="O64" s="1305"/>
      <c r="P64" s="287"/>
      <c r="Q64" s="316"/>
      <c r="R64" s="1270"/>
      <c r="S64" s="316"/>
      <c r="T64" s="316"/>
      <c r="U64" s="1248"/>
      <c r="V64" s="1251" t="s">
        <v>481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482</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4087"/>
      <c r="W67" s="24087"/>
      <c r="X67" s="24087"/>
      <c r="Y67" s="24087"/>
      <c r="Z67" s="24087"/>
      <c r="AA67" s="24087"/>
      <c r="AB67" s="24087"/>
      <c r="AC67" s="24087"/>
      <c r="AD67" s="24087"/>
      <c r="AE67" s="24087"/>
      <c r="AF67" s="24087"/>
      <c r="AG67" s="24087"/>
      <c r="AH67" s="24087"/>
      <c r="AI67" s="24087"/>
      <c r="AJ67" s="24087"/>
      <c r="AK67" s="24087"/>
      <c r="AL67" s="24087"/>
      <c r="AM67" s="24087"/>
      <c r="AN67" s="24087"/>
      <c r="AO67" s="24087"/>
      <c r="AP67" s="24087"/>
      <c r="AQ67" s="24087"/>
      <c r="AW67" s="1081">
        <v>34</v>
      </c>
    </row>
    <row r="68" spans="1:49" ht="21" customHeight="1">
      <c r="P68" s="445"/>
      <c r="V68" s="24087"/>
      <c r="W68" s="24087"/>
      <c r="X68" s="24087"/>
      <c r="Y68" s="24087"/>
      <c r="Z68" s="24087"/>
      <c r="AA68" s="24087"/>
      <c r="AB68" s="24087"/>
      <c r="AC68" s="24087"/>
      <c r="AD68" s="24087"/>
      <c r="AE68" s="24087"/>
      <c r="AF68" s="24087"/>
      <c r="AG68" s="24087"/>
      <c r="AH68" s="24087"/>
      <c r="AI68" s="24087"/>
      <c r="AJ68" s="24087"/>
      <c r="AK68" s="24087"/>
      <c r="AL68" s="24087"/>
      <c r="AM68" s="24087"/>
      <c r="AN68" s="24087"/>
      <c r="AO68" s="24087"/>
      <c r="AP68" s="24087"/>
      <c r="AQ68" s="24087"/>
      <c r="AW68" s="1081">
        <v>20</v>
      </c>
    </row>
    <row r="69" spans="1:49" ht="14.65" customHeight="1">
      <c r="P69" s="445"/>
      <c r="AW69" s="1081">
        <v>14</v>
      </c>
    </row>
    <row r="70" spans="1:49" ht="28.5" customHeight="1">
      <c r="P70" s="445"/>
      <c r="V70" s="24087"/>
      <c r="W70" s="24087"/>
      <c r="X70" s="24087"/>
      <c r="Y70" s="24087"/>
      <c r="Z70" s="24087"/>
      <c r="AA70" s="24087"/>
      <c r="AB70" s="24087"/>
      <c r="AC70" s="24087"/>
      <c r="AD70" s="24087"/>
      <c r="AE70" s="24087"/>
      <c r="AF70" s="24087"/>
      <c r="AG70" s="24087"/>
      <c r="AH70" s="24087"/>
      <c r="AI70" s="24087"/>
      <c r="AJ70" s="24087"/>
      <c r="AK70" s="24087"/>
      <c r="AL70" s="24087"/>
      <c r="AM70" s="24087"/>
      <c r="AN70" s="24087"/>
      <c r="AO70" s="24087"/>
      <c r="AP70" s="24087"/>
      <c r="AQ70" s="24087"/>
      <c r="AW70" s="1081">
        <v>27</v>
      </c>
    </row>
    <row r="71" spans="1:49" ht="18.75" customHeight="1">
      <c r="P71" s="445"/>
      <c r="V71" s="24087"/>
      <c r="W71" s="24087"/>
      <c r="X71" s="24087"/>
      <c r="Y71" s="24087"/>
      <c r="Z71" s="24087"/>
      <c r="AA71" s="24087"/>
      <c r="AB71" s="24087"/>
      <c r="AC71" s="24087"/>
      <c r="AD71" s="24087"/>
      <c r="AE71" s="24087"/>
      <c r="AF71" s="24087"/>
      <c r="AG71" s="24087"/>
      <c r="AH71" s="24087"/>
      <c r="AI71" s="24087"/>
      <c r="AJ71" s="24087"/>
      <c r="AK71" s="24087"/>
      <c r="AL71" s="24087"/>
      <c r="AM71" s="24087"/>
      <c r="AN71" s="24087"/>
      <c r="AO71" s="24087"/>
      <c r="AP71" s="24087"/>
      <c r="AQ71" s="24087"/>
      <c r="AW71" s="1081">
        <v>18</v>
      </c>
    </row>
    <row r="72" spans="1:49" ht="22.5" hidden="1" customHeight="1">
      <c r="A72" s="1081" t="s">
        <v>73</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0">
        <v>3</v>
      </c>
      <c r="S72" s="280">
        <v>3</v>
      </c>
      <c r="T72" s="280">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 style="1674" customWidth="1"/>
    <col min="17" max="17" width="3" style="1297" customWidth="1"/>
    <col min="18" max="18" width="3" style="280" customWidth="1"/>
    <col min="19" max="19" width="12" style="198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3"/>
      <c r="X1" s="263"/>
      <c r="AO1" s="263"/>
      <c r="AP1" s="263"/>
      <c r="BA1" s="1081" t="s">
        <v>1</v>
      </c>
    </row>
    <row r="2" spans="1:53" ht="21" hidden="1" customHeight="1">
      <c r="A2" s="1289"/>
      <c r="B2" s="1289"/>
      <c r="C2" s="1289"/>
      <c r="D2" s="1289"/>
      <c r="E2" s="24088">
        <v>1</v>
      </c>
      <c r="F2" s="1289"/>
      <c r="G2" s="1289"/>
      <c r="H2" s="1289"/>
      <c r="I2" s="1289"/>
      <c r="J2" s="1289"/>
      <c r="K2" s="1289"/>
      <c r="L2" s="1290"/>
      <c r="M2" s="1291"/>
      <c r="N2" s="1291"/>
      <c r="O2" s="1291"/>
      <c r="P2" s="1335"/>
      <c r="Q2" s="803"/>
      <c r="R2" s="291"/>
      <c r="S2" s="1262" t="e">
        <f>INDEX(PT_DIFFERENTIATION_NUM_NTAR,MATCH(A2,PT_DIFFERENTIATION_NTAR_ID,0))</f>
        <v>#N/A</v>
      </c>
      <c r="T2" s="234" t="s">
        <v>229</v>
      </c>
      <c r="U2" s="236"/>
      <c r="V2" s="24083"/>
      <c r="W2" s="24083"/>
      <c r="X2" s="24083"/>
      <c r="Y2" s="24083"/>
      <c r="Z2" s="24083"/>
      <c r="AA2" s="24084"/>
      <c r="AB2" s="24082" t="e">
        <f>INDEX(PT_DIFFERENTIATION_NTAR,MATCH(A2,PT_DIFFERENTIATION_NTAR_ID,0))</f>
        <v>#N/A</v>
      </c>
      <c r="AC2" s="24083"/>
      <c r="AD2" s="24083"/>
      <c r="AE2" s="24083"/>
      <c r="AF2" s="24083"/>
      <c r="AG2" s="24083"/>
      <c r="AH2" s="24083"/>
      <c r="AI2" s="24083"/>
      <c r="AJ2" s="24083"/>
      <c r="AK2" s="24083"/>
      <c r="AL2" s="24083"/>
      <c r="AM2" s="24083"/>
      <c r="AN2" s="24083"/>
      <c r="AO2" s="24083"/>
      <c r="AP2" s="24083"/>
      <c r="AQ2" s="24083"/>
      <c r="AR2" s="24083"/>
      <c r="AS2" s="24083"/>
      <c r="AT2" s="24084"/>
      <c r="AU2" s="1184" t="s">
        <v>625</v>
      </c>
      <c r="AW2" s="436"/>
      <c r="AX2" s="436" t="str">
        <f t="shared" ref="AX2:AX8" si="0">IF(T2="","",T2)</f>
        <v>Наименование тарифа</v>
      </c>
      <c r="AY2" s="436"/>
      <c r="AZ2" s="436"/>
      <c r="BA2" s="1081">
        <v>0</v>
      </c>
    </row>
    <row r="3" spans="1:53" ht="21" hidden="1" customHeight="1">
      <c r="A3" s="1289"/>
      <c r="B3" s="1289"/>
      <c r="C3" s="1289"/>
      <c r="D3" s="1289"/>
      <c r="E3" s="24089"/>
      <c r="F3" s="24088">
        <v>1</v>
      </c>
      <c r="G3" s="1289"/>
      <c r="H3" s="1289"/>
      <c r="I3" s="1289"/>
      <c r="J3" s="1289"/>
      <c r="K3" s="1289"/>
      <c r="L3" s="1290"/>
      <c r="M3" s="1291"/>
      <c r="N3" s="1291"/>
      <c r="O3" s="1291"/>
      <c r="P3" s="1336"/>
      <c r="Q3" s="1337"/>
      <c r="R3" s="289"/>
      <c r="S3" s="1262" t="e">
        <f>INDEX(PT_DIFFERENTIATION_NUM_TER,MATCH(B3,PT_DIFFERENTIATION_TER_ID,0))</f>
        <v>#N/A</v>
      </c>
      <c r="T3" s="244" t="s">
        <v>626</v>
      </c>
      <c r="U3" s="236"/>
      <c r="V3" s="24083"/>
      <c r="W3" s="24083"/>
      <c r="X3" s="24083"/>
      <c r="Y3" s="24083"/>
      <c r="Z3" s="24083"/>
      <c r="AA3" s="24084"/>
      <c r="AB3" s="24082" t="e">
        <f>INDEX(PT_DIFFERENTIATION_TER,MATCH(B3,PT_DIFFERENTIATION_TER_ID,0))</f>
        <v>#N/A</v>
      </c>
      <c r="AC3" s="24083"/>
      <c r="AD3" s="24083"/>
      <c r="AE3" s="24083"/>
      <c r="AF3" s="24083"/>
      <c r="AG3" s="24083"/>
      <c r="AH3" s="24083"/>
      <c r="AI3" s="24083"/>
      <c r="AJ3" s="24083"/>
      <c r="AK3" s="24083"/>
      <c r="AL3" s="24083"/>
      <c r="AM3" s="24083"/>
      <c r="AN3" s="24083"/>
      <c r="AO3" s="24083"/>
      <c r="AP3" s="24083"/>
      <c r="AQ3" s="24083"/>
      <c r="AR3" s="24083"/>
      <c r="AS3" s="24083"/>
      <c r="AT3" s="24084"/>
      <c r="AU3" s="1184" t="s">
        <v>627</v>
      </c>
      <c r="AW3" s="436"/>
      <c r="AX3" s="436" t="str">
        <f t="shared" si="0"/>
        <v>Территория действия тарифа</v>
      </c>
      <c r="AY3" s="436"/>
      <c r="AZ3" s="436"/>
      <c r="BA3" s="1081">
        <v>0</v>
      </c>
    </row>
    <row r="4" spans="1:53" ht="22.5" hidden="1" customHeight="1">
      <c r="A4" s="1289"/>
      <c r="B4" s="1289"/>
      <c r="C4" s="1289"/>
      <c r="D4" s="1289"/>
      <c r="E4" s="24089"/>
      <c r="F4" s="24089"/>
      <c r="G4" s="24088">
        <v>1</v>
      </c>
      <c r="H4" s="1289"/>
      <c r="I4" s="1289"/>
      <c r="J4" s="1289"/>
      <c r="K4" s="1289"/>
      <c r="L4" s="1290"/>
      <c r="M4" s="1291"/>
      <c r="N4" s="1291"/>
      <c r="O4" s="1291"/>
      <c r="P4" s="1338"/>
      <c r="Q4" s="1337"/>
      <c r="R4" s="289"/>
      <c r="S4" s="1262" t="e">
        <f>INDEX(PT_DIFFERENTIATION_NUM_CS,MATCH(C4,PT_DIFFERENTIATION_CS_ID,0))</f>
        <v>#N/A</v>
      </c>
      <c r="T4" s="245" t="s">
        <v>628</v>
      </c>
      <c r="U4" s="236"/>
      <c r="V4" s="24083"/>
      <c r="W4" s="24083"/>
      <c r="X4" s="24083"/>
      <c r="Y4" s="24083"/>
      <c r="Z4" s="24083"/>
      <c r="AA4" s="24084"/>
      <c r="AB4" s="24082" t="e">
        <f>INDEX(PT_DIFFERENTIATION_CS,MATCH(C4,PT_DIFFERENTIATION_CS_ID,0))</f>
        <v>#N/A</v>
      </c>
      <c r="AC4" s="24083"/>
      <c r="AD4" s="24083"/>
      <c r="AE4" s="24083"/>
      <c r="AF4" s="24083"/>
      <c r="AG4" s="24083"/>
      <c r="AH4" s="24083"/>
      <c r="AI4" s="24083"/>
      <c r="AJ4" s="24083"/>
      <c r="AK4" s="24083"/>
      <c r="AL4" s="24083"/>
      <c r="AM4" s="24083"/>
      <c r="AN4" s="24083"/>
      <c r="AO4" s="24083"/>
      <c r="AP4" s="24083"/>
      <c r="AQ4" s="24083"/>
      <c r="AR4" s="24083"/>
      <c r="AS4" s="24083"/>
      <c r="AT4" s="24084"/>
      <c r="AU4" s="1184" t="s">
        <v>629</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4089"/>
      <c r="F5" s="24089"/>
      <c r="G5" s="24089"/>
      <c r="H5" s="24088">
        <v>1</v>
      </c>
      <c r="I5" s="1289"/>
      <c r="J5" s="1289"/>
      <c r="K5" s="1289"/>
      <c r="L5" s="1290"/>
      <c r="M5" s="1291"/>
      <c r="N5" s="1291"/>
      <c r="O5" s="1291"/>
      <c r="P5" s="1338"/>
      <c r="Q5" s="1337"/>
      <c r="R5" s="289"/>
      <c r="S5" s="1262" t="e">
        <f>INDEX(PT_DIFFERENTIATION_NUM_IST_TE,MATCH(D5,PT_DIFFERENTIATION_IST_TE_ID,0))</f>
        <v>#N/A</v>
      </c>
      <c r="T5" s="246" t="s">
        <v>630</v>
      </c>
      <c r="U5" s="236"/>
      <c r="V5" s="24083"/>
      <c r="W5" s="24083"/>
      <c r="X5" s="24083"/>
      <c r="Y5" s="24083"/>
      <c r="Z5" s="24083"/>
      <c r="AA5" s="24084"/>
      <c r="AB5" s="24082" t="e">
        <f>INDEX(PT_DIFFERENTIATION_IST_TE,MATCH(D5,PT_DIFFERENTIATION_IST_TE_ID,0))</f>
        <v>#N/A</v>
      </c>
      <c r="AC5" s="24083"/>
      <c r="AD5" s="24083"/>
      <c r="AE5" s="24083"/>
      <c r="AF5" s="24083"/>
      <c r="AG5" s="24083"/>
      <c r="AH5" s="24083"/>
      <c r="AI5" s="24083"/>
      <c r="AJ5" s="24083"/>
      <c r="AK5" s="24083"/>
      <c r="AL5" s="24083"/>
      <c r="AM5" s="24083"/>
      <c r="AN5" s="24083"/>
      <c r="AO5" s="24083"/>
      <c r="AP5" s="24083"/>
      <c r="AQ5" s="24083"/>
      <c r="AR5" s="24083"/>
      <c r="AS5" s="24083"/>
      <c r="AT5" s="24084"/>
      <c r="AU5" s="1184" t="s">
        <v>631</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4089"/>
      <c r="F6" s="24089"/>
      <c r="G6" s="24089"/>
      <c r="H6" s="24089"/>
      <c r="I6" s="24090" t="e">
        <f>S5&amp;".1"</f>
        <v>#N/A</v>
      </c>
      <c r="J6" s="1269"/>
      <c r="K6" s="1269"/>
      <c r="L6" s="1272" t="s">
        <v>632</v>
      </c>
      <c r="M6" s="446"/>
      <c r="N6" s="446"/>
      <c r="O6" s="446"/>
      <c r="P6" s="24092">
        <v>1</v>
      </c>
      <c r="Q6" s="1257"/>
      <c r="R6" s="292"/>
      <c r="S6" s="971"/>
      <c r="T6" s="1309"/>
      <c r="U6" s="1310"/>
      <c r="V6" s="24120"/>
      <c r="W6" s="24120"/>
      <c r="X6" s="24120"/>
      <c r="Y6" s="24120"/>
      <c r="Z6" s="24120"/>
      <c r="AA6" s="24121"/>
      <c r="AB6" s="24119"/>
      <c r="AC6" s="24120"/>
      <c r="AD6" s="24120"/>
      <c r="AE6" s="24120"/>
      <c r="AF6" s="24120"/>
      <c r="AG6" s="24120"/>
      <c r="AH6" s="24120"/>
      <c r="AI6" s="24120"/>
      <c r="AJ6" s="24120"/>
      <c r="AK6" s="24120"/>
      <c r="AL6" s="24120"/>
      <c r="AM6" s="24120"/>
      <c r="AN6" s="24120"/>
      <c r="AO6" s="24120"/>
      <c r="AP6" s="24120"/>
      <c r="AQ6" s="24120"/>
      <c r="AR6" s="24120"/>
      <c r="AS6" s="24120"/>
      <c r="AT6" s="24121"/>
      <c r="AU6" s="1311"/>
      <c r="AW6" s="436"/>
      <c r="AX6" s="436" t="str">
        <f t="shared" si="0"/>
        <v/>
      </c>
      <c r="AY6" s="436"/>
      <c r="AZ6" s="436"/>
      <c r="BA6" s="447">
        <v>0</v>
      </c>
    </row>
    <row r="7" spans="1:53" s="1568" customFormat="1" ht="0.75" hidden="1" customHeight="1">
      <c r="A7" s="1269"/>
      <c r="B7" s="1269"/>
      <c r="C7" s="1269"/>
      <c r="D7" s="1269"/>
      <c r="E7" s="24089"/>
      <c r="F7" s="24089"/>
      <c r="G7" s="24089"/>
      <c r="H7" s="24089"/>
      <c r="I7" s="24091"/>
      <c r="J7" s="24090" t="e">
        <f>S5&amp;".1"</f>
        <v>#N/A</v>
      </c>
      <c r="K7" s="1269"/>
      <c r="L7" s="1272"/>
      <c r="M7" s="446"/>
      <c r="N7" s="446"/>
      <c r="O7" s="446"/>
      <c r="P7" s="24092"/>
      <c r="Q7" s="24092">
        <v>1</v>
      </c>
      <c r="R7" s="293"/>
      <c r="S7" s="971"/>
      <c r="T7" s="1325"/>
      <c r="U7" s="1310"/>
      <c r="V7" s="24120"/>
      <c r="W7" s="24120"/>
      <c r="X7" s="24120"/>
      <c r="Y7" s="24120"/>
      <c r="Z7" s="24120"/>
      <c r="AA7" s="24121"/>
      <c r="AB7" s="24119"/>
      <c r="AC7" s="24120"/>
      <c r="AD7" s="24120"/>
      <c r="AE7" s="24120"/>
      <c r="AF7" s="24120"/>
      <c r="AG7" s="24120"/>
      <c r="AH7" s="24120"/>
      <c r="AI7" s="24120"/>
      <c r="AJ7" s="24120"/>
      <c r="AK7" s="24120"/>
      <c r="AL7" s="24120"/>
      <c r="AM7" s="24120"/>
      <c r="AN7" s="24120"/>
      <c r="AO7" s="24120"/>
      <c r="AP7" s="24120"/>
      <c r="AQ7" s="24120"/>
      <c r="AR7" s="24120"/>
      <c r="AS7" s="24120"/>
      <c r="AT7" s="24121"/>
      <c r="AU7" s="1311"/>
      <c r="AW7" s="436"/>
      <c r="AX7" s="436" t="str">
        <f t="shared" si="0"/>
        <v/>
      </c>
      <c r="AY7" s="436"/>
      <c r="AZ7" s="436"/>
      <c r="BA7" s="447">
        <v>0</v>
      </c>
    </row>
    <row r="8" spans="1:53" ht="21" hidden="1" customHeight="1">
      <c r="A8" s="1289"/>
      <c r="B8" s="1289"/>
      <c r="C8" s="1289"/>
      <c r="D8" s="1289"/>
      <c r="E8" s="24089"/>
      <c r="F8" s="24089"/>
      <c r="G8" s="24089"/>
      <c r="H8" s="24089"/>
      <c r="I8" s="24091"/>
      <c r="J8" s="24091"/>
      <c r="K8" s="24090" t="e">
        <f>S5&amp;".1"</f>
        <v>#N/A</v>
      </c>
      <c r="L8" s="1290"/>
      <c r="P8" s="24092"/>
      <c r="Q8" s="24092"/>
      <c r="R8" s="24148">
        <v>1</v>
      </c>
      <c r="S8" s="24145" t="e">
        <f>$K8</f>
        <v>#N/A</v>
      </c>
      <c r="T8" s="24142"/>
      <c r="U8" s="236"/>
      <c r="V8" s="687"/>
      <c r="W8" s="1183"/>
      <c r="X8" s="24093"/>
      <c r="Y8" s="23957" t="s">
        <v>59</v>
      </c>
      <c r="Z8" s="24093"/>
      <c r="AA8" s="23957" t="s">
        <v>59</v>
      </c>
      <c r="AB8" s="23957" t="s">
        <v>6</v>
      </c>
      <c r="AC8" s="24141"/>
      <c r="AD8" s="24046">
        <v>1</v>
      </c>
      <c r="AE8" s="24155"/>
      <c r="AF8" s="23957" t="s">
        <v>6</v>
      </c>
      <c r="AG8" s="24141"/>
      <c r="AH8" s="24046">
        <v>1</v>
      </c>
      <c r="AI8" s="24155"/>
      <c r="AJ8" s="23957" t="s">
        <v>6</v>
      </c>
      <c r="AK8" s="247"/>
      <c r="AL8" s="1263">
        <v>1</v>
      </c>
      <c r="AM8" s="1324"/>
      <c r="AN8" s="687"/>
      <c r="AO8" s="1183"/>
      <c r="AP8" s="1632"/>
      <c r="AQ8" s="1385" t="s">
        <v>59</v>
      </c>
      <c r="AR8" s="1632"/>
      <c r="AS8" s="1385" t="s">
        <v>59</v>
      </c>
      <c r="AT8" s="1274"/>
      <c r="AU8" s="24111" t="s">
        <v>690</v>
      </c>
      <c r="AV8" s="447" t="e">
        <f ca="1">STRCHECKDATE(V11:AT11)</f>
        <v>#NAME?</v>
      </c>
      <c r="AW8" s="436"/>
      <c r="AX8" s="436" t="str">
        <f t="shared" si="0"/>
        <v/>
      </c>
      <c r="AY8" s="436"/>
      <c r="AZ8" s="436"/>
      <c r="BA8" s="1081">
        <v>0</v>
      </c>
    </row>
    <row r="9" spans="1:53" ht="11.25" hidden="1" customHeight="1">
      <c r="A9" s="1289"/>
      <c r="B9" s="1289"/>
      <c r="C9" s="1289"/>
      <c r="D9" s="1289"/>
      <c r="E9" s="24089"/>
      <c r="F9" s="24089"/>
      <c r="G9" s="24089"/>
      <c r="H9" s="24089"/>
      <c r="I9" s="24091"/>
      <c r="J9" s="24091"/>
      <c r="K9" s="24090"/>
      <c r="L9" s="1290"/>
      <c r="P9" s="24092"/>
      <c r="Q9" s="24092"/>
      <c r="R9" s="24148"/>
      <c r="S9" s="24146"/>
      <c r="T9" s="24143"/>
      <c r="U9" s="236"/>
      <c r="V9" s="1319"/>
      <c r="W9" s="1323"/>
      <c r="X9" s="24093"/>
      <c r="Y9" s="23957"/>
      <c r="Z9" s="24093"/>
      <c r="AA9" s="23957"/>
      <c r="AB9" s="23957"/>
      <c r="AC9" s="24141"/>
      <c r="AD9" s="24046"/>
      <c r="AE9" s="24155"/>
      <c r="AF9" s="23957"/>
      <c r="AG9" s="24141"/>
      <c r="AH9" s="24046"/>
      <c r="AI9" s="24155"/>
      <c r="AJ9" s="23957"/>
      <c r="AK9" s="252"/>
      <c r="AL9" s="352"/>
      <c r="AM9" s="351" t="s">
        <v>691</v>
      </c>
      <c r="AN9" s="1319"/>
      <c r="AO9" s="1422"/>
      <c r="AP9" s="1319"/>
      <c r="AQ9" s="1319"/>
      <c r="AR9" s="1319"/>
      <c r="AS9" s="1319"/>
      <c r="AT9" s="1316"/>
      <c r="AU9" s="24112"/>
      <c r="AW9" s="436"/>
      <c r="AX9" s="436"/>
      <c r="AY9" s="436"/>
      <c r="AZ9" s="436"/>
      <c r="BA9" s="1081">
        <v>0</v>
      </c>
    </row>
    <row r="10" spans="1:53" ht="11.25" hidden="1" customHeight="1">
      <c r="A10" s="1289"/>
      <c r="B10" s="1289"/>
      <c r="C10" s="1289"/>
      <c r="D10" s="1289"/>
      <c r="E10" s="24089"/>
      <c r="F10" s="24089"/>
      <c r="G10" s="24089"/>
      <c r="H10" s="24089"/>
      <c r="I10" s="24091"/>
      <c r="J10" s="24091"/>
      <c r="K10" s="24090"/>
      <c r="L10" s="1290"/>
      <c r="P10" s="24092"/>
      <c r="Q10" s="24092"/>
      <c r="R10" s="24148"/>
      <c r="S10" s="24146"/>
      <c r="T10" s="24143"/>
      <c r="U10" s="236"/>
      <c r="V10" s="1319"/>
      <c r="W10" s="1323"/>
      <c r="X10" s="24093"/>
      <c r="Y10" s="23957"/>
      <c r="Z10" s="24093"/>
      <c r="AA10" s="23957"/>
      <c r="AB10" s="23957"/>
      <c r="AC10" s="24141"/>
      <c r="AD10" s="24046"/>
      <c r="AE10" s="24155"/>
      <c r="AF10" s="23957"/>
      <c r="AG10" s="230"/>
      <c r="AH10" s="351"/>
      <c r="AI10" s="351" t="s">
        <v>692</v>
      </c>
      <c r="AJ10" s="1319"/>
      <c r="AK10" s="1319"/>
      <c r="AL10" s="1319"/>
      <c r="AM10" s="1319"/>
      <c r="AN10" s="1319"/>
      <c r="AO10" s="1422"/>
      <c r="AP10" s="1319"/>
      <c r="AQ10" s="1319"/>
      <c r="AR10" s="1319"/>
      <c r="AS10" s="1319"/>
      <c r="AT10" s="1316"/>
      <c r="AU10" s="24112"/>
      <c r="AW10" s="436"/>
      <c r="AX10" s="436"/>
      <c r="AY10" s="436"/>
      <c r="AZ10" s="436"/>
      <c r="BA10" s="1081">
        <v>0</v>
      </c>
    </row>
    <row r="11" spans="1:53" ht="11.25" hidden="1" customHeight="1">
      <c r="A11" s="1289"/>
      <c r="B11" s="1289"/>
      <c r="C11" s="1289"/>
      <c r="D11" s="1289"/>
      <c r="E11" s="24089"/>
      <c r="F11" s="24089"/>
      <c r="G11" s="24089"/>
      <c r="H11" s="24089"/>
      <c r="I11" s="24091"/>
      <c r="J11" s="24091"/>
      <c r="K11" s="24090"/>
      <c r="L11" s="1290"/>
      <c r="P11" s="24092"/>
      <c r="Q11" s="24092"/>
      <c r="R11" s="24148"/>
      <c r="S11" s="24147"/>
      <c r="T11" s="24144"/>
      <c r="U11" s="236"/>
      <c r="V11" s="1319"/>
      <c r="W11" s="1322" t="str">
        <f>X8&amp;"-"&amp;Z8</f>
        <v>-</v>
      </c>
      <c r="X11" s="24094"/>
      <c r="Y11" s="23957"/>
      <c r="Z11" s="24094"/>
      <c r="AA11" s="23957"/>
      <c r="AB11" s="23957"/>
      <c r="AC11" s="248"/>
      <c r="AD11" s="250"/>
      <c r="AE11" s="351" t="s">
        <v>693</v>
      </c>
      <c r="AF11" s="1319"/>
      <c r="AG11" s="1319"/>
      <c r="AH11" s="1319"/>
      <c r="AI11" s="1319"/>
      <c r="AJ11" s="1319"/>
      <c r="AK11" s="1319"/>
      <c r="AL11" s="1319"/>
      <c r="AM11" s="1319"/>
      <c r="AN11" s="1319"/>
      <c r="AO11" s="1320" t="str">
        <f>AP8&amp;"-"&amp;AR8</f>
        <v>-</v>
      </c>
      <c r="AP11" s="1319"/>
      <c r="AQ11" s="1319"/>
      <c r="AR11" s="1319"/>
      <c r="AS11" s="1319"/>
      <c r="AT11" s="1275"/>
      <c r="AU11" s="24112"/>
      <c r="AW11" s="436"/>
      <c r="AX11" s="436" t="str">
        <f t="shared" ref="AX11:AX17" si="1">IF(T11="","",T11)</f>
        <v/>
      </c>
      <c r="AY11" s="436"/>
      <c r="AZ11" s="436"/>
      <c r="BA11" s="1081">
        <v>0</v>
      </c>
    </row>
    <row r="12" spans="1:53" ht="11.25" hidden="1" customHeight="1">
      <c r="A12" s="1289"/>
      <c r="B12" s="1289"/>
      <c r="C12" s="1289"/>
      <c r="D12" s="1289"/>
      <c r="E12" s="24089"/>
      <c r="F12" s="24089"/>
      <c r="G12" s="24089"/>
      <c r="H12" s="24089"/>
      <c r="I12" s="24091"/>
      <c r="J12" s="24090"/>
      <c r="K12" s="1289"/>
      <c r="L12" s="1290"/>
      <c r="P12" s="24092"/>
      <c r="Q12" s="24092"/>
      <c r="R12" s="292"/>
      <c r="S12" s="1204"/>
      <c r="T12" s="223" t="s">
        <v>694</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4113"/>
      <c r="AW12" s="436"/>
      <c r="AX12" s="436" t="str">
        <f t="shared" si="1"/>
        <v>Добавить строку</v>
      </c>
      <c r="AY12" s="436"/>
      <c r="AZ12" s="436"/>
      <c r="BA12" s="1081">
        <v>0</v>
      </c>
    </row>
    <row r="13" spans="1:53" s="1568" customFormat="1" ht="0.75" hidden="1" customHeight="1">
      <c r="A13" s="1269"/>
      <c r="B13" s="1269"/>
      <c r="C13" s="1269"/>
      <c r="D13" s="1269"/>
      <c r="E13" s="24089"/>
      <c r="F13" s="24089"/>
      <c r="G13" s="24089"/>
      <c r="H13" s="24089"/>
      <c r="I13" s="24090"/>
      <c r="J13" s="1269"/>
      <c r="K13" s="1269"/>
      <c r="L13" s="1272"/>
      <c r="M13" s="446"/>
      <c r="N13" s="446"/>
      <c r="O13" s="446"/>
      <c r="P13" s="2409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4089"/>
      <c r="F14" s="24089"/>
      <c r="G14" s="24089"/>
      <c r="H14" s="2408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4089"/>
      <c r="F15" s="24089"/>
      <c r="G15" s="24088"/>
      <c r="H15" s="1240"/>
      <c r="I15" s="1240"/>
      <c r="J15" s="1240"/>
      <c r="K15" s="1240"/>
      <c r="L15" s="1265"/>
      <c r="M15" s="1241"/>
      <c r="N15" s="1241"/>
      <c r="P15" s="1242"/>
      <c r="Q15" s="1243"/>
      <c r="R15" s="1242"/>
      <c r="S15" s="1248"/>
      <c r="T15" s="1251" t="s">
        <v>643</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4089"/>
      <c r="F16" s="24088"/>
      <c r="G16" s="1240"/>
      <c r="H16" s="1240"/>
      <c r="I16" s="1240"/>
      <c r="J16" s="1240"/>
      <c r="K16" s="1240"/>
      <c r="L16" s="1265"/>
      <c r="M16" s="1247"/>
      <c r="N16" s="1247"/>
      <c r="P16" s="1242"/>
      <c r="Q16" s="1243"/>
      <c r="R16" s="1242"/>
      <c r="S16" s="1248"/>
      <c r="T16" s="1251" t="s">
        <v>370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4088"/>
      <c r="F17" s="1269"/>
      <c r="G17" s="1269"/>
      <c r="H17" s="1269"/>
      <c r="I17" s="1269"/>
      <c r="J17" s="1269"/>
      <c r="K17" s="1269"/>
      <c r="L17" s="1272"/>
      <c r="M17" s="1247"/>
      <c r="N17" s="1247"/>
      <c r="O17" s="454"/>
      <c r="P17" s="316"/>
      <c r="Q17" s="1270"/>
      <c r="R17" s="316"/>
      <c r="S17" s="1248"/>
      <c r="T17" s="1251" t="s">
        <v>481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3"/>
      <c r="AS18" s="263"/>
      <c r="BA18" s="1081">
        <v>0</v>
      </c>
    </row>
    <row r="19" spans="1:53" ht="14.25" hidden="1" customHeight="1">
      <c r="AB19" s="1250" t="s">
        <v>6</v>
      </c>
      <c r="AC19" s="1427"/>
      <c r="AD19" s="484">
        <v>1</v>
      </c>
      <c r="AE19" s="1428"/>
      <c r="AF19" s="1250" t="s">
        <v>6</v>
      </c>
      <c r="AG19" s="1427"/>
      <c r="AH19" s="484">
        <v>1</v>
      </c>
      <c r="AI19" s="1428"/>
      <c r="AJ19" s="1250" t="s">
        <v>6</v>
      </c>
      <c r="AK19" s="1429"/>
      <c r="AL19" s="484">
        <v>1</v>
      </c>
      <c r="AM19" s="1432"/>
      <c r="AN19" s="1329"/>
      <c r="AO19" s="1330"/>
      <c r="AP19" s="1634"/>
      <c r="AQ19" s="1386" t="s">
        <v>59</v>
      </c>
      <c r="AR19" s="1634"/>
      <c r="AS19" s="1386" t="s">
        <v>59</v>
      </c>
      <c r="BA19" s="1081">
        <v>0</v>
      </c>
    </row>
    <row r="20" spans="1:53" ht="14.25" hidden="1" customHeight="1">
      <c r="AV20" s="432"/>
      <c r="AW20" s="432"/>
      <c r="AX20" s="432"/>
      <c r="AY20" s="432"/>
      <c r="AZ20" s="432"/>
      <c r="BA20" s="1081">
        <v>0</v>
      </c>
    </row>
    <row r="21" spans="1:53" ht="14.25" hidden="1" customHeight="1">
      <c r="O21" s="1293" t="s">
        <v>644</v>
      </c>
      <c r="X21" s="1271"/>
      <c r="Z21" s="1271"/>
      <c r="AA21" s="263"/>
      <c r="AP21" s="1271"/>
      <c r="AR21" s="1271"/>
      <c r="AS21" s="263"/>
      <c r="AV21" s="432"/>
      <c r="AW21" s="432"/>
      <c r="AX21" s="432"/>
      <c r="AY21" s="432"/>
      <c r="AZ21" s="432"/>
      <c r="BA21" s="1081">
        <v>0</v>
      </c>
    </row>
    <row r="22" spans="1:53" ht="14.25" hidden="1" customHeight="1">
      <c r="AA22" s="263"/>
      <c r="AS22" s="263"/>
      <c r="AV22" s="432"/>
      <c r="AW22" s="432"/>
      <c r="AX22" s="432"/>
      <c r="AY22" s="432"/>
      <c r="AZ22" s="432"/>
      <c r="BA22" s="1081">
        <v>0</v>
      </c>
    </row>
    <row r="23" spans="1:53" s="1435" customFormat="1" ht="14.25" hidden="1" customHeight="1">
      <c r="M23" s="1434"/>
      <c r="N23" s="1434"/>
      <c r="O23" s="1435" t="s">
        <v>645</v>
      </c>
      <c r="P23" s="1434"/>
      <c r="Q23" s="1436"/>
      <c r="R23" s="1436"/>
      <c r="Y23" s="1433" t="s">
        <v>647</v>
      </c>
      <c r="AA23" s="1433" t="s">
        <v>648</v>
      </c>
      <c r="AB23" s="1433" t="s">
        <v>695</v>
      </c>
      <c r="AE23" s="1433" t="s">
        <v>696</v>
      </c>
      <c r="AF23" s="1433" t="s">
        <v>695</v>
      </c>
      <c r="AI23" s="1433" t="s">
        <v>697</v>
      </c>
      <c r="AJ23" s="1433" t="s">
        <v>695</v>
      </c>
      <c r="AM23" s="1433" t="s">
        <v>698</v>
      </c>
      <c r="AQ23" s="1433" t="s">
        <v>647</v>
      </c>
      <c r="AS23" s="1433" t="s">
        <v>648</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7"/>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7"/>
      <c r="R27" s="312"/>
      <c r="S27" s="2406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069"/>
      <c r="U27" s="24069"/>
      <c r="V27" s="24069"/>
      <c r="W27" s="24069"/>
      <c r="X27" s="24069"/>
      <c r="Y27" s="24069"/>
      <c r="Z27" s="24069"/>
      <c r="AA27" s="24069"/>
      <c r="AB27" s="24069"/>
      <c r="AC27" s="24069"/>
      <c r="AD27" s="24069"/>
      <c r="AE27" s="24069"/>
      <c r="AF27" s="24069"/>
      <c r="AG27" s="24069"/>
      <c r="AH27" s="24069"/>
      <c r="AI27" s="24069"/>
      <c r="AJ27" s="24069"/>
      <c r="AK27" s="24069"/>
      <c r="AL27" s="24069"/>
      <c r="AM27" s="24069"/>
      <c r="AN27" s="24069"/>
      <c r="AO27" s="24069"/>
      <c r="AP27" s="24069"/>
      <c r="AQ27" s="24069"/>
      <c r="AR27" s="24069"/>
      <c r="AS27" s="1169"/>
      <c r="BA27" s="1081">
        <v>26</v>
      </c>
    </row>
    <row r="28" spans="1:53" ht="14.65" customHeight="1">
      <c r="Q28" s="227"/>
      <c r="R28" s="312"/>
      <c r="S28" s="24042" t="str">
        <f>IF(org=0,"Не определено",org)</f>
        <v>ООО "Смоленскрегионтеплоэнерго"</v>
      </c>
      <c r="T28" s="24042"/>
      <c r="U28" s="24042"/>
      <c r="V28" s="24042"/>
      <c r="W28" s="24042"/>
      <c r="X28" s="24042"/>
      <c r="Y28" s="24042"/>
      <c r="Z28" s="24042"/>
      <c r="AA28" s="24042"/>
      <c r="AB28" s="24042"/>
      <c r="AC28" s="24042"/>
      <c r="AD28" s="24042"/>
      <c r="AE28" s="24042"/>
      <c r="AF28" s="24042"/>
      <c r="AG28" s="24042"/>
      <c r="AH28" s="24042"/>
      <c r="AI28" s="24042"/>
      <c r="AJ28" s="24042"/>
      <c r="AK28" s="24042"/>
      <c r="AL28" s="24042"/>
      <c r="AM28" s="24042"/>
      <c r="AN28" s="24042"/>
      <c r="AO28" s="24042"/>
      <c r="AP28" s="24042"/>
      <c r="AQ28" s="24042"/>
      <c r="AR28" s="24042"/>
      <c r="AS28" s="1169"/>
      <c r="BA28" s="1081">
        <v>14</v>
      </c>
    </row>
    <row r="29" spans="1:53" ht="14.25" customHeight="1">
      <c r="Q29" s="227"/>
      <c r="R29" s="312"/>
      <c r="S29" s="1201"/>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81">
        <v>0</v>
      </c>
    </row>
    <row r="30" spans="1:53" s="1750" customFormat="1" ht="25.5" customHeight="1">
      <c r="A30" s="1294"/>
      <c r="B30" s="1294"/>
      <c r="C30" s="1294"/>
      <c r="D30" s="1294"/>
      <c r="E30" s="1294"/>
      <c r="F30" s="1294"/>
      <c r="G30" s="1294"/>
      <c r="H30" s="1294"/>
      <c r="I30" s="1294"/>
      <c r="J30" s="1294"/>
      <c r="K30" s="1294"/>
      <c r="L30" s="1295"/>
      <c r="M30" s="1294"/>
      <c r="N30" s="1294"/>
      <c r="O30" s="1294"/>
      <c r="P30" s="1294"/>
      <c r="Q30" s="1294"/>
      <c r="S30" s="24079" t="s">
        <v>31</v>
      </c>
      <c r="T30" s="24079"/>
      <c r="U30" s="1298"/>
      <c r="V30"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30" s="24081"/>
      <c r="X30" s="24081"/>
      <c r="Y30" s="24081"/>
      <c r="Z30" s="24081"/>
      <c r="AA30" s="262"/>
      <c r="AB30"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C30" s="24081"/>
      <c r="AD30" s="24081"/>
      <c r="AE30" s="24081"/>
      <c r="AF30" s="24081"/>
      <c r="AG30" s="24081"/>
      <c r="AH30" s="24081"/>
      <c r="AI30" s="24081"/>
      <c r="AJ30" s="24081"/>
      <c r="AK30" s="24081"/>
      <c r="AL30" s="24081"/>
      <c r="AM30" s="24081"/>
      <c r="AN30" s="24081"/>
      <c r="AO30" s="24081"/>
      <c r="AP30" s="24081"/>
      <c r="AQ30" s="24081"/>
      <c r="AR30" s="24081"/>
      <c r="AS30" s="262"/>
      <c r="AT30" s="262"/>
      <c r="AU30" s="216"/>
      <c r="AV30" s="304"/>
      <c r="AW30" s="304"/>
      <c r="AX30" s="304"/>
      <c r="AY30" s="304"/>
      <c r="AZ30" s="304"/>
      <c r="BA30" s="354">
        <v>0</v>
      </c>
    </row>
    <row r="31" spans="1:53" s="1750" customFormat="1" ht="18.75" customHeight="1">
      <c r="A31" s="1294"/>
      <c r="B31" s="1294"/>
      <c r="C31" s="1294"/>
      <c r="D31" s="1294"/>
      <c r="E31" s="1294"/>
      <c r="F31" s="1294"/>
      <c r="G31" s="1294"/>
      <c r="H31" s="1294"/>
      <c r="I31" s="1294"/>
      <c r="J31" s="1294"/>
      <c r="K31" s="1294"/>
      <c r="L31" s="1295"/>
      <c r="M31" s="1294"/>
      <c r="N31" s="1294"/>
      <c r="O31" s="1294"/>
      <c r="P31" s="1294"/>
      <c r="Q31" s="1294"/>
      <c r="S31" s="24079" t="s">
        <v>650</v>
      </c>
      <c r="T31" s="24079"/>
      <c r="U31" s="1298"/>
      <c r="V31" s="24080" t="str">
        <f>IF(TITLE_DATE_PR_CHANGE="",IF(TITLE_DATE_PR="","",TITLE_DATE_PR),TITLE_DATE_PR_CHANGE)</f>
        <v>20.12.2024</v>
      </c>
      <c r="W31" s="24080"/>
      <c r="X31" s="24080"/>
      <c r="Y31" s="24080"/>
      <c r="Z31" s="24080"/>
      <c r="AA31" s="262"/>
      <c r="AB31" s="24080" t="str">
        <f>IF(TITLE_DATE_PR_CHANGE="",IF(TITLE_DATE_PR="","",TITLE_DATE_PR),TITLE_DATE_PR_CHANGE)</f>
        <v>20.12.2024</v>
      </c>
      <c r="AC31" s="24080"/>
      <c r="AD31" s="24080"/>
      <c r="AE31" s="24080"/>
      <c r="AF31" s="24080"/>
      <c r="AG31" s="24080"/>
      <c r="AH31" s="24080"/>
      <c r="AI31" s="24080"/>
      <c r="AJ31" s="24080"/>
      <c r="AK31" s="24080"/>
      <c r="AL31" s="24080"/>
      <c r="AM31" s="24080"/>
      <c r="AN31" s="24080"/>
      <c r="AO31" s="24080"/>
      <c r="AP31" s="24080"/>
      <c r="AQ31" s="24080"/>
      <c r="AR31" s="24080"/>
      <c r="AS31" s="262"/>
      <c r="AT31" s="262"/>
      <c r="AU31" s="216"/>
      <c r="AV31" s="304"/>
      <c r="AW31" s="304"/>
      <c r="AX31" s="304"/>
      <c r="AY31" s="304"/>
      <c r="AZ31" s="304"/>
      <c r="BA31" s="354">
        <v>0</v>
      </c>
    </row>
    <row r="32" spans="1:53" s="1750" customFormat="1" ht="18.75" customHeight="1">
      <c r="A32" s="1294"/>
      <c r="B32" s="1294"/>
      <c r="C32" s="1294"/>
      <c r="D32" s="1294"/>
      <c r="E32" s="1294"/>
      <c r="F32" s="1294"/>
      <c r="G32" s="1294"/>
      <c r="H32" s="1294"/>
      <c r="I32" s="1294"/>
      <c r="J32" s="1294"/>
      <c r="K32" s="1294"/>
      <c r="L32" s="1295"/>
      <c r="M32" s="1294"/>
      <c r="N32" s="1294"/>
      <c r="O32" s="1294"/>
      <c r="P32" s="1294"/>
      <c r="Q32" s="1294"/>
      <c r="S32" s="24079" t="s">
        <v>651</v>
      </c>
      <c r="T32" s="24079"/>
      <c r="U32" s="1298"/>
      <c r="V32" s="24081" t="str">
        <f>IF(TITLE_NUMBER_PR_CHANGE="",IF(TITLE_NUMBER_PR="","",TITLE_NUMBER_PR),TITLE_NUMBER_PR_CHANGE)</f>
        <v>403, 404</v>
      </c>
      <c r="W32" s="24081"/>
      <c r="X32" s="24081"/>
      <c r="Y32" s="24081"/>
      <c r="Z32" s="24081"/>
      <c r="AA32" s="262"/>
      <c r="AB32" s="24081" t="str">
        <f>IF(TITLE_NUMBER_PR_CHANGE="",IF(TITLE_NUMBER_PR="","",TITLE_NUMBER_PR),TITLE_NUMBER_PR_CHANGE)</f>
        <v>403, 404</v>
      </c>
      <c r="AC32" s="24081"/>
      <c r="AD32" s="24081"/>
      <c r="AE32" s="24081"/>
      <c r="AF32" s="24081"/>
      <c r="AG32" s="24081"/>
      <c r="AH32" s="24081"/>
      <c r="AI32" s="24081"/>
      <c r="AJ32" s="24081"/>
      <c r="AK32" s="24081"/>
      <c r="AL32" s="24081"/>
      <c r="AM32" s="24081"/>
      <c r="AN32" s="24081"/>
      <c r="AO32" s="24081"/>
      <c r="AP32" s="24081"/>
      <c r="AQ32" s="24081"/>
      <c r="AR32" s="24081"/>
      <c r="AS32" s="262"/>
      <c r="AT32" s="262"/>
      <c r="AU32" s="216"/>
      <c r="AV32" s="304"/>
      <c r="AW32" s="304"/>
      <c r="AX32" s="304"/>
      <c r="AY32" s="304"/>
      <c r="AZ32" s="304"/>
      <c r="BA32" s="354">
        <v>0</v>
      </c>
    </row>
    <row r="33" spans="1:53" s="1750" customFormat="1" ht="18.75" customHeight="1">
      <c r="A33" s="1294"/>
      <c r="B33" s="1294"/>
      <c r="C33" s="1294"/>
      <c r="D33" s="1294"/>
      <c r="E33" s="1294"/>
      <c r="F33" s="1294"/>
      <c r="G33" s="1294"/>
      <c r="H33" s="1294"/>
      <c r="I33" s="1294"/>
      <c r="J33" s="1294"/>
      <c r="K33" s="1294"/>
      <c r="L33" s="1295"/>
      <c r="M33" s="1294"/>
      <c r="N33" s="1294"/>
      <c r="O33" s="1294"/>
      <c r="P33" s="1294"/>
      <c r="Q33" s="1294"/>
      <c r="S33" s="24079" t="s">
        <v>33</v>
      </c>
      <c r="T33" s="24079"/>
      <c r="U33" s="1298"/>
      <c r="V33" s="24081" t="str">
        <f>IF(TITLE_IST_PUB_CHANGE="",IF(TITLE_IST_PUB="","",TITLE_IST_PUB),TITLE_IST_PUB_CHANGE)</f>
        <v>Смоленская газета</v>
      </c>
      <c r="W33" s="24081"/>
      <c r="X33" s="24081"/>
      <c r="Y33" s="24081"/>
      <c r="Z33" s="24081"/>
      <c r="AA33" s="262"/>
      <c r="AB33" s="24081" t="str">
        <f>IF(TITLE_IST_PUB_CHANGE="",IF(TITLE_IST_PUB="","",TITLE_IST_PUB),TITLE_IST_PUB_CHANGE)</f>
        <v>Смоленская газета</v>
      </c>
      <c r="AC33" s="24081"/>
      <c r="AD33" s="24081"/>
      <c r="AE33" s="24081"/>
      <c r="AF33" s="24081"/>
      <c r="AG33" s="24081"/>
      <c r="AH33" s="24081"/>
      <c r="AI33" s="24081"/>
      <c r="AJ33" s="24081"/>
      <c r="AK33" s="24081"/>
      <c r="AL33" s="24081"/>
      <c r="AM33" s="24081"/>
      <c r="AN33" s="24081"/>
      <c r="AO33" s="24081"/>
      <c r="AP33" s="24081"/>
      <c r="AQ33" s="24081"/>
      <c r="AR33" s="24081"/>
      <c r="AS33" s="262"/>
      <c r="AT33" s="262"/>
      <c r="AU33" s="216"/>
      <c r="AV33" s="304"/>
      <c r="AW33" s="304"/>
      <c r="AX33" s="304"/>
      <c r="AY33" s="304"/>
      <c r="AZ33" s="304"/>
      <c r="BA33" s="354">
        <v>0</v>
      </c>
    </row>
    <row r="34" spans="1:53" ht="14.25" hidden="1" customHeight="1">
      <c r="Q34" s="227"/>
      <c r="R34" s="312"/>
      <c r="S34" s="1201"/>
      <c r="T34" s="299"/>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81">
        <v>0</v>
      </c>
    </row>
    <row r="35" spans="1:53" s="1750" customFormat="1" ht="18.75" hidden="1" customHeight="1">
      <c r="A35" s="1294"/>
      <c r="B35" s="1294"/>
      <c r="C35" s="1294"/>
      <c r="D35" s="1294"/>
      <c r="E35" s="1294"/>
      <c r="F35" s="1294"/>
      <c r="G35" s="1294"/>
      <c r="H35" s="1294"/>
      <c r="I35" s="1294"/>
      <c r="J35" s="1294"/>
      <c r="K35" s="1294"/>
      <c r="L35" s="1295"/>
      <c r="M35" s="1294"/>
      <c r="N35" s="1294"/>
      <c r="O35" s="1294"/>
      <c r="P35" s="1294"/>
      <c r="Q35" s="1294"/>
      <c r="S35" s="24079" t="s">
        <v>650</v>
      </c>
      <c r="T35" s="24079"/>
      <c r="U35" s="1298"/>
      <c r="V35" s="24080" t="str">
        <f>IF(TITLE_DATE_PR_CHANGE="",IF(TITLE_DATE_PR="","",TITLE_DATE_PR),TITLE_DATE_PR_CHANGE)</f>
        <v>20.12.2024</v>
      </c>
      <c r="W35" s="24080"/>
      <c r="X35" s="24080"/>
      <c r="Y35" s="24080"/>
      <c r="Z35" s="24080"/>
      <c r="AA35" s="262"/>
      <c r="AB35" s="24080" t="str">
        <f>IF(TITLE_DATE_PR_CHANGE="",IF(TITLE_DATE_PR="","",TITLE_DATE_PR),TITLE_DATE_PR_CHANGE)</f>
        <v>20.12.2024</v>
      </c>
      <c r="AC35" s="24080"/>
      <c r="AD35" s="24080"/>
      <c r="AE35" s="24080"/>
      <c r="AF35" s="24080"/>
      <c r="AG35" s="24080"/>
      <c r="AH35" s="24080"/>
      <c r="AI35" s="24080"/>
      <c r="AJ35" s="24080"/>
      <c r="AK35" s="24080"/>
      <c r="AL35" s="24080"/>
      <c r="AM35" s="24080"/>
      <c r="AN35" s="24080"/>
      <c r="AO35" s="24080"/>
      <c r="AP35" s="24080"/>
      <c r="AQ35" s="24080"/>
      <c r="AR35" s="24080"/>
      <c r="AS35" s="262"/>
      <c r="AT35" s="262"/>
      <c r="AU35" s="216"/>
      <c r="AV35" s="304"/>
      <c r="AW35" s="304"/>
      <c r="AX35" s="304"/>
      <c r="AY35" s="304"/>
      <c r="AZ35" s="304"/>
      <c r="BA35" s="354">
        <v>0</v>
      </c>
    </row>
    <row r="36" spans="1:53" s="1750" customFormat="1" ht="18" hidden="1" customHeight="1">
      <c r="A36" s="1294"/>
      <c r="B36" s="1294"/>
      <c r="C36" s="1294"/>
      <c r="D36" s="1294"/>
      <c r="E36" s="1294"/>
      <c r="F36" s="1294"/>
      <c r="G36" s="1294"/>
      <c r="H36" s="1294"/>
      <c r="I36" s="1294"/>
      <c r="J36" s="1294"/>
      <c r="K36" s="1294"/>
      <c r="L36" s="1295"/>
      <c r="M36" s="1294"/>
      <c r="N36" s="1294"/>
      <c r="O36" s="1294"/>
      <c r="P36" s="1294"/>
      <c r="Q36" s="1294"/>
      <c r="S36" s="24079" t="s">
        <v>651</v>
      </c>
      <c r="T36" s="24079"/>
      <c r="U36" s="1298"/>
      <c r="V36" s="24081" t="str">
        <f>IF(TITLE_NUMBER_PR_CHANGE="",IF(TITLE_NUMBER_PR="","",TITLE_NUMBER_PR),TITLE_NUMBER_PR_CHANGE)</f>
        <v>403, 404</v>
      </c>
      <c r="W36" s="24081"/>
      <c r="X36" s="24081"/>
      <c r="Y36" s="24081"/>
      <c r="Z36" s="24081"/>
      <c r="AA36" s="262"/>
      <c r="AB36" s="24081" t="str">
        <f>IF(TITLE_NUMBER_PR_CHANGE="",IF(TITLE_NUMBER_PR="","",TITLE_NUMBER_PR),TITLE_NUMBER_PR_CHANGE)</f>
        <v>403, 404</v>
      </c>
      <c r="AC36" s="24081"/>
      <c r="AD36" s="24081"/>
      <c r="AE36" s="24081"/>
      <c r="AF36" s="24081"/>
      <c r="AG36" s="24081"/>
      <c r="AH36" s="24081"/>
      <c r="AI36" s="24081"/>
      <c r="AJ36" s="24081"/>
      <c r="AK36" s="24081"/>
      <c r="AL36" s="24081"/>
      <c r="AM36" s="24081"/>
      <c r="AN36" s="24081"/>
      <c r="AO36" s="24081"/>
      <c r="AP36" s="24081"/>
      <c r="AQ36" s="24081"/>
      <c r="AR36" s="24081"/>
      <c r="AS36" s="262"/>
      <c r="AT36" s="262"/>
      <c r="AU36" s="216"/>
      <c r="AV36" s="304"/>
      <c r="AW36" s="304"/>
      <c r="AX36" s="304"/>
      <c r="AY36" s="304"/>
      <c r="AZ36" s="304"/>
      <c r="BA36" s="354">
        <v>0</v>
      </c>
    </row>
    <row r="37" spans="1:53" s="1750" customFormat="1" ht="1.1499999999999999" customHeight="1">
      <c r="A37" s="1294"/>
      <c r="B37" s="1294"/>
      <c r="C37" s="1294"/>
      <c r="D37" s="1294"/>
      <c r="E37" s="1294"/>
      <c r="F37" s="1294"/>
      <c r="G37" s="1294"/>
      <c r="H37" s="1294"/>
      <c r="I37" s="1294"/>
      <c r="J37" s="1294"/>
      <c r="K37" s="1294"/>
      <c r="L37" s="1295"/>
      <c r="M37" s="1294"/>
      <c r="N37" s="1294"/>
      <c r="O37" s="1294"/>
      <c r="P37" s="1294"/>
      <c r="Q37" s="1294"/>
      <c r="S37" s="259"/>
      <c r="T37" s="259"/>
      <c r="U37" s="1266"/>
      <c r="V37" s="262"/>
      <c r="W37" s="262"/>
      <c r="X37" s="262"/>
      <c r="Y37" s="262"/>
      <c r="Z37" s="262"/>
      <c r="AA37" s="214" t="s">
        <v>654</v>
      </c>
      <c r="AB37" s="262"/>
      <c r="AC37" s="262"/>
      <c r="AD37" s="262"/>
      <c r="AE37" s="262"/>
      <c r="AF37" s="262"/>
      <c r="AG37" s="262"/>
      <c r="AH37" s="262"/>
      <c r="AI37" s="262"/>
      <c r="AJ37" s="262"/>
      <c r="AK37" s="262"/>
      <c r="AL37" s="262"/>
      <c r="AM37" s="262"/>
      <c r="AN37" s="262"/>
      <c r="AO37" s="262"/>
      <c r="AP37" s="262"/>
      <c r="AQ37" s="262"/>
      <c r="AR37" s="262"/>
      <c r="AS37" s="214" t="s">
        <v>654</v>
      </c>
      <c r="AV37" s="304"/>
      <c r="AW37" s="304"/>
      <c r="AX37" s="304"/>
      <c r="AY37" s="304"/>
      <c r="AZ37" s="304"/>
      <c r="BA37" s="354">
        <v>1</v>
      </c>
    </row>
    <row r="38" spans="1:53" ht="14.65" customHeight="1">
      <c r="Q38" s="227"/>
      <c r="R38" s="312"/>
      <c r="S38" s="1201"/>
      <c r="T38" s="299"/>
      <c r="U38" s="1170"/>
      <c r="V38" s="24100"/>
      <c r="W38" s="24100"/>
      <c r="X38" s="24100"/>
      <c r="Y38" s="24100"/>
      <c r="Z38" s="24100"/>
      <c r="AA38" s="24100"/>
      <c r="AB38" s="24100"/>
      <c r="AC38" s="24100"/>
      <c r="AD38" s="24100"/>
      <c r="AE38" s="24100"/>
      <c r="AF38" s="24100"/>
      <c r="AG38" s="24100"/>
      <c r="AH38" s="24100"/>
      <c r="AI38" s="24100"/>
      <c r="AJ38" s="24100"/>
      <c r="AK38" s="24100"/>
      <c r="AL38" s="24100"/>
      <c r="AM38" s="24100"/>
      <c r="AN38" s="24100"/>
      <c r="AO38" s="24100"/>
      <c r="AP38" s="24100"/>
      <c r="AQ38" s="24100"/>
      <c r="AR38" s="24100"/>
      <c r="AS38" s="24100"/>
      <c r="BA38" s="1081">
        <v>14</v>
      </c>
    </row>
    <row r="39" spans="1:53" ht="14.65" customHeight="1">
      <c r="Q39" s="227"/>
      <c r="R39" s="312"/>
      <c r="S39" s="23947" t="s">
        <v>529</v>
      </c>
      <c r="T39" s="23947"/>
      <c r="U39" s="23947"/>
      <c r="V39" s="23947"/>
      <c r="W39" s="23947"/>
      <c r="X39" s="23947"/>
      <c r="Y39" s="23947"/>
      <c r="Z39" s="23947"/>
      <c r="AA39" s="23947"/>
      <c r="AB39" s="24022"/>
      <c r="AC39" s="24022"/>
      <c r="AD39" s="24022"/>
      <c r="AE39" s="24022"/>
      <c r="AF39" s="23947"/>
      <c r="AG39" s="23947"/>
      <c r="AH39" s="23947"/>
      <c r="AI39" s="23947"/>
      <c r="AJ39" s="23947"/>
      <c r="AK39" s="23947"/>
      <c r="AL39" s="23947"/>
      <c r="AM39" s="23947"/>
      <c r="AN39" s="23947"/>
      <c r="AO39" s="23947"/>
      <c r="AP39" s="23947"/>
      <c r="AQ39" s="23947"/>
      <c r="AR39" s="23947"/>
      <c r="AS39" s="23947"/>
      <c r="AT39" s="23947"/>
      <c r="AU39" s="23947" t="s">
        <v>530</v>
      </c>
      <c r="BA39" s="1081">
        <v>14</v>
      </c>
    </row>
    <row r="40" spans="1:53" ht="14.65" customHeight="1">
      <c r="Q40" s="227"/>
      <c r="R40" s="312"/>
      <c r="S40" s="24101" t="s">
        <v>79</v>
      </c>
      <c r="T40" s="24050" t="s">
        <v>699</v>
      </c>
      <c r="U40" s="237"/>
      <c r="V40" s="24103"/>
      <c r="W40" s="24103"/>
      <c r="X40" s="24103"/>
      <c r="Y40" s="24103"/>
      <c r="Z40" s="24104"/>
      <c r="AA40" s="24150" t="s">
        <v>657</v>
      </c>
      <c r="AB40" s="24134" t="s">
        <v>700</v>
      </c>
      <c r="AC40" s="24118"/>
      <c r="AD40" s="24118"/>
      <c r="AE40" s="24135"/>
      <c r="AF40" s="24118" t="s">
        <v>701</v>
      </c>
      <c r="AG40" s="24118"/>
      <c r="AH40" s="24118"/>
      <c r="AI40" s="24135"/>
      <c r="AJ40" s="24134" t="s">
        <v>702</v>
      </c>
      <c r="AK40" s="24118"/>
      <c r="AL40" s="24118"/>
      <c r="AM40" s="24135"/>
      <c r="AN40" s="24134" t="s">
        <v>656</v>
      </c>
      <c r="AO40" s="24118"/>
      <c r="AP40" s="24103"/>
      <c r="AQ40" s="24103"/>
      <c r="AR40" s="24104"/>
      <c r="AS40" s="24105" t="s">
        <v>657</v>
      </c>
      <c r="AT40" s="24108" t="s">
        <v>659</v>
      </c>
      <c r="AU40" s="23947"/>
      <c r="BA40" s="1081">
        <v>14</v>
      </c>
    </row>
    <row r="41" spans="1:53" ht="35.65" customHeight="1">
      <c r="Q41" s="227"/>
      <c r="R41" s="312"/>
      <c r="S41" s="24101"/>
      <c r="T41" s="24050"/>
      <c r="U41" s="960"/>
      <c r="V41" s="23947" t="s">
        <v>703</v>
      </c>
      <c r="W41" s="23947"/>
      <c r="X41" s="24023" t="s">
        <v>663</v>
      </c>
      <c r="Y41" s="24130"/>
      <c r="Z41" s="24024"/>
      <c r="AA41" s="24151"/>
      <c r="AB41" s="24136"/>
      <c r="AC41" s="24137"/>
      <c r="AD41" s="24137"/>
      <c r="AE41" s="24149"/>
      <c r="AF41" s="24137"/>
      <c r="AG41" s="24137"/>
      <c r="AH41" s="24137"/>
      <c r="AI41" s="24149"/>
      <c r="AJ41" s="24136"/>
      <c r="AK41" s="24137"/>
      <c r="AL41" s="24137"/>
      <c r="AM41" s="24137"/>
      <c r="AN41" s="23947" t="s">
        <v>703</v>
      </c>
      <c r="AO41" s="23947"/>
      <c r="AP41" s="24130" t="s">
        <v>663</v>
      </c>
      <c r="AQ41" s="24130"/>
      <c r="AR41" s="24024"/>
      <c r="AS41" s="24106"/>
      <c r="AT41" s="24109"/>
      <c r="AU41" s="23947"/>
      <c r="BA41" s="1081">
        <v>34</v>
      </c>
    </row>
    <row r="42" spans="1:53" ht="14.65" customHeight="1">
      <c r="Q42" s="227"/>
      <c r="R42" s="312"/>
      <c r="S42" s="24101"/>
      <c r="T42" s="24050"/>
      <c r="U42" s="960"/>
      <c r="V42" s="24154" t="str">
        <f>IF($AN$42&lt;&gt;"",$AN$42,"")</f>
        <v/>
      </c>
      <c r="W42" s="24154"/>
      <c r="X42" s="24028"/>
      <c r="Y42" s="24131"/>
      <c r="Z42" s="24029"/>
      <c r="AA42" s="24151"/>
      <c r="AB42" s="24136"/>
      <c r="AC42" s="24137"/>
      <c r="AD42" s="24137"/>
      <c r="AE42" s="24149"/>
      <c r="AF42" s="24137"/>
      <c r="AG42" s="24137"/>
      <c r="AH42" s="24137"/>
      <c r="AI42" s="24149"/>
      <c r="AJ42" s="24136"/>
      <c r="AK42" s="24137"/>
      <c r="AL42" s="24137"/>
      <c r="AM42" s="24137"/>
      <c r="AN42" s="24153"/>
      <c r="AO42" s="24153"/>
      <c r="AP42" s="24131"/>
      <c r="AQ42" s="24131"/>
      <c r="AR42" s="24029"/>
      <c r="AS42" s="24106"/>
      <c r="AT42" s="24109"/>
      <c r="AU42" s="23947"/>
      <c r="BA42" s="1081">
        <v>14</v>
      </c>
    </row>
    <row r="43" spans="1:53" ht="14.65" customHeight="1">
      <c r="A43" s="1296"/>
      <c r="B43" s="1296" t="s">
        <v>241</v>
      </c>
      <c r="C43" s="1296" t="s">
        <v>242</v>
      </c>
      <c r="D43" s="1296" t="s">
        <v>243</v>
      </c>
      <c r="E43" s="1290" t="s">
        <v>664</v>
      </c>
      <c r="F43" s="1290" t="s">
        <v>665</v>
      </c>
      <c r="G43" s="1290" t="s">
        <v>666</v>
      </c>
      <c r="H43" s="1290" t="s">
        <v>667</v>
      </c>
      <c r="I43" s="1290" t="s">
        <v>668</v>
      </c>
      <c r="J43" s="1290" t="s">
        <v>669</v>
      </c>
      <c r="K43" s="1290" t="s">
        <v>670</v>
      </c>
      <c r="L43" s="1290" t="s">
        <v>645</v>
      </c>
      <c r="Q43" s="227"/>
      <c r="R43" s="312"/>
      <c r="S43" s="24101"/>
      <c r="T43" s="24050"/>
      <c r="U43" s="238"/>
      <c r="V43" s="1256" t="s">
        <v>704</v>
      </c>
      <c r="W43" s="1256" t="s">
        <v>705</v>
      </c>
      <c r="X43" s="1264" t="s">
        <v>673</v>
      </c>
      <c r="Y43" s="24055" t="s">
        <v>674</v>
      </c>
      <c r="Z43" s="24068"/>
      <c r="AA43" s="24152"/>
      <c r="AB43" s="24138"/>
      <c r="AC43" s="24139"/>
      <c r="AD43" s="24139"/>
      <c r="AE43" s="24140"/>
      <c r="AF43" s="24139"/>
      <c r="AG43" s="24139"/>
      <c r="AH43" s="24139"/>
      <c r="AI43" s="24140"/>
      <c r="AJ43" s="24138"/>
      <c r="AK43" s="24139"/>
      <c r="AL43" s="24139"/>
      <c r="AM43" s="24140"/>
      <c r="AN43" s="1757" t="s">
        <v>704</v>
      </c>
      <c r="AO43" s="1757" t="s">
        <v>705</v>
      </c>
      <c r="AP43" s="1264" t="s">
        <v>673</v>
      </c>
      <c r="AQ43" s="24055" t="s">
        <v>674</v>
      </c>
      <c r="AR43" s="24068"/>
      <c r="AS43" s="24107"/>
      <c r="AT43" s="24110"/>
      <c r="AU43" s="23947"/>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218</v>
      </c>
      <c r="T44" s="1181" t="s">
        <v>95</v>
      </c>
      <c r="U44" s="1171" t="str">
        <f ca="1">OFFSET(U44,0,-1)</f>
        <v>2</v>
      </c>
      <c r="V44" s="1261">
        <f ca="1">OFFSET(V44,0,-1)+1</f>
        <v>3</v>
      </c>
      <c r="W44" s="1261">
        <f ca="1">OFFSET(W44,0,-1)+1</f>
        <v>4</v>
      </c>
      <c r="X44" s="1261">
        <f ca="1">OFFSET(X44,0,-1)+1</f>
        <v>5</v>
      </c>
      <c r="Y44" s="24099">
        <f ca="1">OFFSET(Y44,0,-1)+1</f>
        <v>6</v>
      </c>
      <c r="Z44" s="2409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4099">
        <f ca="1">OFFSET(AQ44,0,-1)+1</f>
        <v>4</v>
      </c>
      <c r="AR44" s="24099"/>
      <c r="AS44" s="1261">
        <f ca="1">OFFSET(AS44,0,-2)+1</f>
        <v>5</v>
      </c>
      <c r="AT44" s="1171">
        <f ca="1">OFFSET(AT44,0,-1)</f>
        <v>5</v>
      </c>
      <c r="AU44" s="1261">
        <f ca="1">OFFSET(AU44,0,-1)+1</f>
        <v>6</v>
      </c>
      <c r="AV44" s="447"/>
      <c r="AW44" s="447"/>
      <c r="AX44" s="447"/>
      <c r="AY44" s="447"/>
      <c r="AZ44" s="447"/>
      <c r="BA44" s="432">
        <v>0</v>
      </c>
    </row>
    <row r="45" spans="1:53" ht="107.25" customHeight="1">
      <c r="A45" s="1289" t="s">
        <v>298</v>
      </c>
      <c r="B45" s="1289"/>
      <c r="C45" s="1289"/>
      <c r="D45" s="1289"/>
      <c r="E45" s="24088">
        <v>1</v>
      </c>
      <c r="F45" s="1289"/>
      <c r="G45" s="1289"/>
      <c r="H45" s="1289"/>
      <c r="I45" s="1289"/>
      <c r="J45" s="1289"/>
      <c r="K45" s="1289"/>
      <c r="L45" s="1290"/>
      <c r="M45" s="1291"/>
      <c r="N45" s="1291"/>
      <c r="O45" s="1291"/>
      <c r="P45" s="1335"/>
      <c r="Q45" s="803"/>
      <c r="R45" s="291"/>
      <c r="S45" s="1262">
        <f>INDEX(PT_DIFFERENTIATION_NUM_NTAR,MATCH(A45,PT_DIFFERENTIATION_NTAR_ID,0))</f>
        <v>0</v>
      </c>
      <c r="T45" s="234" t="s">
        <v>229</v>
      </c>
      <c r="U45" s="236"/>
      <c r="V45" s="24083"/>
      <c r="W45" s="24083"/>
      <c r="X45" s="24083"/>
      <c r="Y45" s="24083"/>
      <c r="Z45" s="24083"/>
      <c r="AA45" s="24084"/>
      <c r="AB45" s="24082" t="str">
        <f>INDEX(PT_DIFFERENTIATION_NTAR,MATCH(A45,PT_DIFFERENTIATION_NTAR_ID,0))</f>
        <v/>
      </c>
      <c r="AC45" s="24083"/>
      <c r="AD45" s="24083"/>
      <c r="AE45" s="24083"/>
      <c r="AF45" s="24083"/>
      <c r="AG45" s="24083"/>
      <c r="AH45" s="24083"/>
      <c r="AI45" s="24083"/>
      <c r="AJ45" s="24083"/>
      <c r="AK45" s="24083"/>
      <c r="AL45" s="24083"/>
      <c r="AM45" s="24083"/>
      <c r="AN45" s="24083"/>
      <c r="AO45" s="24083"/>
      <c r="AP45" s="24083"/>
      <c r="AQ45" s="24083"/>
      <c r="AR45" s="24083"/>
      <c r="AS45" s="24083"/>
      <c r="AT45" s="2408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6"/>
      <c r="AX45" s="436" t="str">
        <f t="shared" ref="AX45:AX51" si="2">IF(T45="","",T45)</f>
        <v>Наименование тарифа</v>
      </c>
      <c r="AY45" s="436"/>
      <c r="AZ45" s="436"/>
      <c r="BA45" s="1081">
        <v>102</v>
      </c>
    </row>
    <row r="46" spans="1:53" ht="21.95" customHeight="1">
      <c r="A46" s="1289" t="s">
        <v>298</v>
      </c>
      <c r="B46" s="1289" t="s">
        <v>299</v>
      </c>
      <c r="C46" s="1289"/>
      <c r="D46" s="1289"/>
      <c r="E46" s="24089"/>
      <c r="F46" s="24088">
        <v>1</v>
      </c>
      <c r="G46" s="1289"/>
      <c r="H46" s="1289"/>
      <c r="I46" s="1289"/>
      <c r="J46" s="1289"/>
      <c r="K46" s="1289"/>
      <c r="L46" s="1290"/>
      <c r="M46" s="1291"/>
      <c r="N46" s="1291"/>
      <c r="O46" s="1291"/>
      <c r="P46" s="1336"/>
      <c r="Q46" s="1337"/>
      <c r="R46" s="289"/>
      <c r="S46" s="1262" t="str">
        <f>INDEX(PT_DIFFERENTIATION_NUM_TER,MATCH(B46,PT_DIFFERENTIATION_TER_ID,0))</f>
        <v>.</v>
      </c>
      <c r="T46" s="244" t="s">
        <v>626</v>
      </c>
      <c r="U46" s="236"/>
      <c r="V46" s="24083"/>
      <c r="W46" s="24083"/>
      <c r="X46" s="24083"/>
      <c r="Y46" s="24083"/>
      <c r="Z46" s="24083"/>
      <c r="AA46" s="24084"/>
      <c r="AB46" s="24082" t="str">
        <f>INDEX(PT_DIFFERENTIATION_TER,MATCH(B46,PT_DIFFERENTIATION_TER_ID,0))</f>
        <v/>
      </c>
      <c r="AC46" s="24083"/>
      <c r="AD46" s="24083"/>
      <c r="AE46" s="24083"/>
      <c r="AF46" s="24083"/>
      <c r="AG46" s="24083"/>
      <c r="AH46" s="24083"/>
      <c r="AI46" s="24083"/>
      <c r="AJ46" s="24083"/>
      <c r="AK46" s="24083"/>
      <c r="AL46" s="24083"/>
      <c r="AM46" s="24083"/>
      <c r="AN46" s="24083"/>
      <c r="AO46" s="24083"/>
      <c r="AP46" s="24083"/>
      <c r="AQ46" s="24083"/>
      <c r="AR46" s="24083"/>
      <c r="AS46" s="24083"/>
      <c r="AT46" s="24084"/>
      <c r="AU46" s="1184" t="s">
        <v>627</v>
      </c>
      <c r="AW46" s="436"/>
      <c r="AX46" s="436" t="str">
        <f t="shared" si="2"/>
        <v>Территория действия тарифа</v>
      </c>
      <c r="AY46" s="436"/>
      <c r="AZ46" s="436"/>
      <c r="BA46" s="1081">
        <v>21</v>
      </c>
    </row>
    <row r="47" spans="1:53" ht="24" customHeight="1">
      <c r="A47" s="1289" t="s">
        <v>298</v>
      </c>
      <c r="B47" s="1289" t="s">
        <v>299</v>
      </c>
      <c r="C47" s="1289" t="s">
        <v>300</v>
      </c>
      <c r="D47" s="1289"/>
      <c r="E47" s="24089"/>
      <c r="F47" s="24089"/>
      <c r="G47" s="24088">
        <v>1</v>
      </c>
      <c r="H47" s="1289"/>
      <c r="I47" s="1289"/>
      <c r="J47" s="1289"/>
      <c r="K47" s="1289"/>
      <c r="L47" s="1290"/>
      <c r="M47" s="1291"/>
      <c r="N47" s="1291"/>
      <c r="O47" s="1291"/>
      <c r="P47" s="1338"/>
      <c r="Q47" s="1337"/>
      <c r="R47" s="289"/>
      <c r="S47" s="1262" t="str">
        <f>INDEX(PT_DIFFERENTIATION_NUM_CS,MATCH(C47,PT_DIFFERENTIATION_CS_ID,0))</f>
        <v>..</v>
      </c>
      <c r="T47" s="245" t="s">
        <v>628</v>
      </c>
      <c r="U47" s="236"/>
      <c r="V47" s="24083"/>
      <c r="W47" s="24083"/>
      <c r="X47" s="24083"/>
      <c r="Y47" s="24083"/>
      <c r="Z47" s="24083"/>
      <c r="AA47" s="24084"/>
      <c r="AB47" s="24082" t="str">
        <f>INDEX(PT_DIFFERENTIATION_CS,MATCH(C47,PT_DIFFERENTIATION_CS_ID,0))</f>
        <v/>
      </c>
      <c r="AC47" s="24083"/>
      <c r="AD47" s="24083"/>
      <c r="AE47" s="24083"/>
      <c r="AF47" s="24083"/>
      <c r="AG47" s="24083"/>
      <c r="AH47" s="24083"/>
      <c r="AI47" s="24083"/>
      <c r="AJ47" s="24083"/>
      <c r="AK47" s="24083"/>
      <c r="AL47" s="24083"/>
      <c r="AM47" s="24083"/>
      <c r="AN47" s="24083"/>
      <c r="AO47" s="24083"/>
      <c r="AP47" s="24083"/>
      <c r="AQ47" s="24083"/>
      <c r="AR47" s="24083"/>
      <c r="AS47" s="24083"/>
      <c r="AT47" s="24084"/>
      <c r="AU47" s="1184" t="s">
        <v>629</v>
      </c>
      <c r="AW47" s="436"/>
      <c r="AX47" s="436" t="str">
        <f t="shared" si="2"/>
        <v xml:space="preserve">Наименование системы теплоснабжения </v>
      </c>
      <c r="AY47" s="436"/>
      <c r="AZ47" s="436"/>
      <c r="BA47" s="1081">
        <v>23</v>
      </c>
    </row>
    <row r="48" spans="1:53" ht="21" customHeight="1">
      <c r="A48" s="1289" t="s">
        <v>298</v>
      </c>
      <c r="B48" s="1289" t="s">
        <v>299</v>
      </c>
      <c r="C48" s="1289" t="s">
        <v>300</v>
      </c>
      <c r="D48" s="1289" t="s">
        <v>301</v>
      </c>
      <c r="E48" s="24089"/>
      <c r="F48" s="24089"/>
      <c r="G48" s="24089"/>
      <c r="H48" s="24088">
        <v>1</v>
      </c>
      <c r="I48" s="1289"/>
      <c r="J48" s="1289"/>
      <c r="K48" s="1289"/>
      <c r="L48" s="1290"/>
      <c r="M48" s="1291"/>
      <c r="N48" s="1291"/>
      <c r="O48" s="1291"/>
      <c r="P48" s="1338"/>
      <c r="Q48" s="1337"/>
      <c r="R48" s="289"/>
      <c r="S48" s="1262" t="str">
        <f>INDEX(PT_DIFFERENTIATION_NUM_IST_TE,MATCH(D48,PT_DIFFERENTIATION_IST_TE_ID,0))</f>
        <v>...</v>
      </c>
      <c r="T48" s="246" t="s">
        <v>630</v>
      </c>
      <c r="U48" s="236"/>
      <c r="V48" s="24083"/>
      <c r="W48" s="24083"/>
      <c r="X48" s="24083"/>
      <c r="Y48" s="24083"/>
      <c r="Z48" s="24083"/>
      <c r="AA48" s="24084"/>
      <c r="AB48" s="24082" t="str">
        <f>INDEX(PT_DIFFERENTIATION_IST_TE,MATCH(D48,PT_DIFFERENTIATION_IST_TE_ID,0))</f>
        <v/>
      </c>
      <c r="AC48" s="24083"/>
      <c r="AD48" s="24083"/>
      <c r="AE48" s="24083"/>
      <c r="AF48" s="24083"/>
      <c r="AG48" s="24083"/>
      <c r="AH48" s="24083"/>
      <c r="AI48" s="24083"/>
      <c r="AJ48" s="24083"/>
      <c r="AK48" s="24083"/>
      <c r="AL48" s="24083"/>
      <c r="AM48" s="24083"/>
      <c r="AN48" s="24083"/>
      <c r="AO48" s="24083"/>
      <c r="AP48" s="24083"/>
      <c r="AQ48" s="24083"/>
      <c r="AR48" s="24083"/>
      <c r="AS48" s="24083"/>
      <c r="AT48" s="24084"/>
      <c r="AU48" s="1184" t="s">
        <v>631</v>
      </c>
      <c r="AW48" s="436"/>
      <c r="AX48" s="436" t="str">
        <f t="shared" si="2"/>
        <v xml:space="preserve">Источник тепловой энергии  </v>
      </c>
      <c r="AY48" s="436"/>
      <c r="AZ48" s="436"/>
      <c r="BA48" s="1081">
        <v>20</v>
      </c>
    </row>
    <row r="49" spans="1:53" s="1568" customFormat="1" ht="1.1499999999999999" customHeight="1">
      <c r="A49" s="1269" t="s">
        <v>298</v>
      </c>
      <c r="B49" s="1269" t="s">
        <v>299</v>
      </c>
      <c r="C49" s="1269" t="s">
        <v>300</v>
      </c>
      <c r="D49" s="1269" t="s">
        <v>301</v>
      </c>
      <c r="E49" s="24089"/>
      <c r="F49" s="24089"/>
      <c r="G49" s="24089"/>
      <c r="H49" s="24089"/>
      <c r="I49" s="24090" t="str">
        <f>S48&amp;".1"</f>
        <v>....1</v>
      </c>
      <c r="J49" s="1269"/>
      <c r="K49" s="1269"/>
      <c r="L49" s="1272" t="s">
        <v>632</v>
      </c>
      <c r="M49" s="446"/>
      <c r="N49" s="446"/>
      <c r="O49" s="446"/>
      <c r="P49" s="24092">
        <v>1</v>
      </c>
      <c r="Q49" s="1257"/>
      <c r="R49" s="292"/>
      <c r="S49" s="971"/>
      <c r="T49" s="1309"/>
      <c r="U49" s="1310"/>
      <c r="V49" s="24120"/>
      <c r="W49" s="24120"/>
      <c r="X49" s="24120"/>
      <c r="Y49" s="24120"/>
      <c r="Z49" s="24120"/>
      <c r="AA49" s="24121"/>
      <c r="AB49" s="24119"/>
      <c r="AC49" s="24120"/>
      <c r="AD49" s="24120"/>
      <c r="AE49" s="24120"/>
      <c r="AF49" s="24120"/>
      <c r="AG49" s="24120"/>
      <c r="AH49" s="24120"/>
      <c r="AI49" s="24120"/>
      <c r="AJ49" s="24120"/>
      <c r="AK49" s="24120"/>
      <c r="AL49" s="24120"/>
      <c r="AM49" s="24120"/>
      <c r="AN49" s="24120"/>
      <c r="AO49" s="24120"/>
      <c r="AP49" s="24120"/>
      <c r="AQ49" s="24120"/>
      <c r="AR49" s="24120"/>
      <c r="AS49" s="24120"/>
      <c r="AT49" s="24121"/>
      <c r="AU49" s="1311"/>
      <c r="AW49" s="436"/>
      <c r="AX49" s="436" t="str">
        <f t="shared" si="2"/>
        <v/>
      </c>
      <c r="AY49" s="436"/>
      <c r="AZ49" s="436"/>
      <c r="BA49" s="447">
        <v>1</v>
      </c>
    </row>
    <row r="50" spans="1:53" s="1568" customFormat="1" ht="1.1499999999999999" customHeight="1">
      <c r="A50" s="1269" t="s">
        <v>298</v>
      </c>
      <c r="B50" s="1269" t="s">
        <v>299</v>
      </c>
      <c r="C50" s="1269" t="s">
        <v>300</v>
      </c>
      <c r="D50" s="1269" t="s">
        <v>301</v>
      </c>
      <c r="E50" s="24089"/>
      <c r="F50" s="24089"/>
      <c r="G50" s="24089"/>
      <c r="H50" s="24089"/>
      <c r="I50" s="24091"/>
      <c r="J50" s="24090" t="str">
        <f>S48&amp;".1"</f>
        <v>....1</v>
      </c>
      <c r="K50" s="1269"/>
      <c r="L50" s="1272"/>
      <c r="M50" s="446"/>
      <c r="N50" s="446"/>
      <c r="O50" s="446"/>
      <c r="P50" s="24092"/>
      <c r="Q50" s="24092">
        <v>1</v>
      </c>
      <c r="R50" s="293"/>
      <c r="S50" s="971"/>
      <c r="T50" s="1325"/>
      <c r="U50" s="1310"/>
      <c r="V50" s="24120"/>
      <c r="W50" s="24120"/>
      <c r="X50" s="24120"/>
      <c r="Y50" s="24120"/>
      <c r="Z50" s="24120"/>
      <c r="AA50" s="24121"/>
      <c r="AB50" s="24119"/>
      <c r="AC50" s="24120"/>
      <c r="AD50" s="24120"/>
      <c r="AE50" s="24120"/>
      <c r="AF50" s="24120"/>
      <c r="AG50" s="24120"/>
      <c r="AH50" s="24120"/>
      <c r="AI50" s="24120"/>
      <c r="AJ50" s="24120"/>
      <c r="AK50" s="24120"/>
      <c r="AL50" s="24120"/>
      <c r="AM50" s="24120"/>
      <c r="AN50" s="24120"/>
      <c r="AO50" s="24120"/>
      <c r="AP50" s="24120"/>
      <c r="AQ50" s="24120"/>
      <c r="AR50" s="24120"/>
      <c r="AS50" s="24120"/>
      <c r="AT50" s="24121"/>
      <c r="AU50" s="1311"/>
      <c r="AW50" s="436"/>
      <c r="AX50" s="436" t="str">
        <f t="shared" si="2"/>
        <v/>
      </c>
      <c r="AY50" s="436"/>
      <c r="AZ50" s="436"/>
      <c r="BA50" s="447">
        <v>1</v>
      </c>
    </row>
    <row r="51" spans="1:53" ht="21.95" customHeight="1">
      <c r="A51" s="1289" t="s">
        <v>298</v>
      </c>
      <c r="B51" s="1289" t="s">
        <v>299</v>
      </c>
      <c r="C51" s="1289" t="s">
        <v>300</v>
      </c>
      <c r="D51" s="1289" t="s">
        <v>301</v>
      </c>
      <c r="E51" s="24089"/>
      <c r="F51" s="24089"/>
      <c r="G51" s="24089"/>
      <c r="H51" s="24089"/>
      <c r="I51" s="24091"/>
      <c r="J51" s="24091"/>
      <c r="K51" s="24090" t="str">
        <f>S48&amp;".1"</f>
        <v>....1</v>
      </c>
      <c r="L51" s="1290"/>
      <c r="P51" s="24092"/>
      <c r="Q51" s="24092"/>
      <c r="R51" s="293">
        <v>1</v>
      </c>
      <c r="S51" s="24145" t="str">
        <f>$K51</f>
        <v>....1</v>
      </c>
      <c r="T51" s="24142"/>
      <c r="U51" s="236"/>
      <c r="V51" s="687"/>
      <c r="W51" s="1183"/>
      <c r="X51" s="1632"/>
      <c r="Y51" s="1385" t="s">
        <v>59</v>
      </c>
      <c r="Z51" s="1632"/>
      <c r="AA51" s="1385" t="s">
        <v>59</v>
      </c>
      <c r="AB51" s="23957" t="s">
        <v>6</v>
      </c>
      <c r="AC51" s="24141"/>
      <c r="AD51" s="24046">
        <v>1</v>
      </c>
      <c r="AE51" s="24133" t="s">
        <v>17</v>
      </c>
      <c r="AF51" s="23957" t="s">
        <v>6</v>
      </c>
      <c r="AG51" s="24141"/>
      <c r="AH51" s="24046">
        <v>1</v>
      </c>
      <c r="AI51" s="24133" t="s">
        <v>17</v>
      </c>
      <c r="AJ51" s="23957" t="s">
        <v>6</v>
      </c>
      <c r="AK51" s="247"/>
      <c r="AL51" s="1263">
        <v>1</v>
      </c>
      <c r="AM51" s="1328"/>
      <c r="AN51" s="687"/>
      <c r="AO51" s="1183"/>
      <c r="AP51" s="1632"/>
      <c r="AQ51" s="1385" t="s">
        <v>59</v>
      </c>
      <c r="AR51" s="1632"/>
      <c r="AS51" s="1385" t="s">
        <v>59</v>
      </c>
      <c r="AT51" s="1274"/>
      <c r="AU51" s="24111" t="s">
        <v>706</v>
      </c>
      <c r="AV51" s="447" t="e">
        <f ca="1">STRCHECKDATE(V54:AT54)</f>
        <v>#NAME?</v>
      </c>
      <c r="AW51" s="436"/>
      <c r="AX51" s="436" t="str">
        <f t="shared" si="2"/>
        <v/>
      </c>
      <c r="AY51" s="436"/>
      <c r="AZ51" s="436"/>
      <c r="BA51" s="1081">
        <v>21</v>
      </c>
    </row>
    <row r="52" spans="1:53" ht="11.45" customHeight="1">
      <c r="A52" s="1289" t="s">
        <v>298</v>
      </c>
      <c r="B52" s="1289"/>
      <c r="C52" s="1289"/>
      <c r="D52" s="1289"/>
      <c r="E52" s="24089"/>
      <c r="F52" s="24089"/>
      <c r="G52" s="24089"/>
      <c r="H52" s="24089"/>
      <c r="I52" s="24091"/>
      <c r="J52" s="24091"/>
      <c r="K52" s="24090"/>
      <c r="L52" s="1290"/>
      <c r="P52" s="24092"/>
      <c r="Q52" s="24092"/>
      <c r="R52" s="293"/>
      <c r="S52" s="24146"/>
      <c r="T52" s="24143"/>
      <c r="U52" s="236"/>
      <c r="V52" s="1319"/>
      <c r="W52" s="1422"/>
      <c r="X52" s="1319"/>
      <c r="Y52" s="1319"/>
      <c r="Z52" s="1319"/>
      <c r="AA52" s="1319"/>
      <c r="AB52" s="23957"/>
      <c r="AC52" s="24141"/>
      <c r="AD52" s="24046"/>
      <c r="AE52" s="24133"/>
      <c r="AF52" s="23957"/>
      <c r="AG52" s="24141"/>
      <c r="AH52" s="24046"/>
      <c r="AI52" s="24133"/>
      <c r="AJ52" s="23957"/>
      <c r="AK52" s="252"/>
      <c r="AL52" s="352"/>
      <c r="AM52" s="351" t="s">
        <v>691</v>
      </c>
      <c r="AN52" s="1319"/>
      <c r="AO52" s="1422"/>
      <c r="AP52" s="1319"/>
      <c r="AQ52" s="1319"/>
      <c r="AR52" s="1319"/>
      <c r="AS52" s="1319"/>
      <c r="AT52" s="1316"/>
      <c r="AU52" s="24112"/>
      <c r="AW52" s="436"/>
      <c r="AX52" s="436"/>
      <c r="AY52" s="436"/>
      <c r="AZ52" s="436"/>
      <c r="BA52" s="1081">
        <v>11</v>
      </c>
    </row>
    <row r="53" spans="1:53" ht="11.45" customHeight="1">
      <c r="A53" s="1289" t="s">
        <v>298</v>
      </c>
      <c r="B53" s="1289"/>
      <c r="C53" s="1289"/>
      <c r="D53" s="1289"/>
      <c r="E53" s="24089"/>
      <c r="F53" s="24089"/>
      <c r="G53" s="24089"/>
      <c r="H53" s="24089"/>
      <c r="I53" s="24091"/>
      <c r="J53" s="24091"/>
      <c r="K53" s="24090"/>
      <c r="L53" s="1290"/>
      <c r="P53" s="24092"/>
      <c r="Q53" s="24092"/>
      <c r="R53" s="293"/>
      <c r="S53" s="24146"/>
      <c r="T53" s="24143"/>
      <c r="U53" s="236"/>
      <c r="V53" s="1319"/>
      <c r="W53" s="1422"/>
      <c r="X53" s="1319"/>
      <c r="Y53" s="1319"/>
      <c r="Z53" s="1319"/>
      <c r="AA53" s="1319"/>
      <c r="AB53" s="23957"/>
      <c r="AC53" s="24141"/>
      <c r="AD53" s="24046"/>
      <c r="AE53" s="24133"/>
      <c r="AF53" s="23957"/>
      <c r="AG53" s="230"/>
      <c r="AH53" s="351"/>
      <c r="AI53" s="351" t="s">
        <v>692</v>
      </c>
      <c r="AJ53" s="1319"/>
      <c r="AK53" s="1319"/>
      <c r="AL53" s="1319"/>
      <c r="AM53" s="1319"/>
      <c r="AN53" s="1319"/>
      <c r="AO53" s="1422"/>
      <c r="AP53" s="1319"/>
      <c r="AQ53" s="1319"/>
      <c r="AR53" s="1319"/>
      <c r="AS53" s="1319"/>
      <c r="AT53" s="1316"/>
      <c r="AU53" s="24112"/>
      <c r="AW53" s="436"/>
      <c r="AX53" s="436"/>
      <c r="AY53" s="436"/>
      <c r="AZ53" s="436"/>
      <c r="BA53" s="1081">
        <v>11</v>
      </c>
    </row>
    <row r="54" spans="1:53" ht="11.45" customHeight="1">
      <c r="A54" s="1289" t="s">
        <v>298</v>
      </c>
      <c r="B54" s="1289" t="s">
        <v>299</v>
      </c>
      <c r="C54" s="1289" t="s">
        <v>300</v>
      </c>
      <c r="D54" s="1289" t="s">
        <v>301</v>
      </c>
      <c r="E54" s="24089"/>
      <c r="F54" s="24089"/>
      <c r="G54" s="24089"/>
      <c r="H54" s="24089"/>
      <c r="I54" s="24091"/>
      <c r="J54" s="24091"/>
      <c r="K54" s="24090"/>
      <c r="L54" s="1290"/>
      <c r="P54" s="24092"/>
      <c r="Q54" s="24092"/>
      <c r="R54" s="293"/>
      <c r="S54" s="24147"/>
      <c r="T54" s="24144"/>
      <c r="U54" s="236"/>
      <c r="V54" s="1319"/>
      <c r="W54" s="1320" t="str">
        <f>X51&amp;"-"&amp;Z51</f>
        <v>-</v>
      </c>
      <c r="X54" s="1319"/>
      <c r="Y54" s="1319"/>
      <c r="Z54" s="1319"/>
      <c r="AA54" s="1319"/>
      <c r="AB54" s="23957"/>
      <c r="AC54" s="248"/>
      <c r="AD54" s="250"/>
      <c r="AE54" s="351" t="s">
        <v>693</v>
      </c>
      <c r="AF54" s="1319"/>
      <c r="AG54" s="1319"/>
      <c r="AH54" s="1319"/>
      <c r="AI54" s="1319"/>
      <c r="AJ54" s="1319"/>
      <c r="AK54" s="1319"/>
      <c r="AL54" s="1319"/>
      <c r="AM54" s="1319"/>
      <c r="AN54" s="1319"/>
      <c r="AO54" s="1320" t="str">
        <f>AP51&amp;"-"&amp;AR51</f>
        <v>-</v>
      </c>
      <c r="AP54" s="1319"/>
      <c r="AQ54" s="1319"/>
      <c r="AR54" s="1319"/>
      <c r="AS54" s="1319"/>
      <c r="AT54" s="1275"/>
      <c r="AU54" s="24112"/>
      <c r="AW54" s="436"/>
      <c r="AX54" s="436" t="str">
        <f t="shared" ref="AX54:AX62" si="3">IF(T54="","",T54)</f>
        <v/>
      </c>
      <c r="AY54" s="436"/>
      <c r="AZ54" s="436"/>
      <c r="BA54" s="1081">
        <v>11</v>
      </c>
    </row>
    <row r="55" spans="1:53" ht="11.45" customHeight="1">
      <c r="A55" s="1289" t="s">
        <v>298</v>
      </c>
      <c r="B55" s="1289" t="s">
        <v>299</v>
      </c>
      <c r="C55" s="1289" t="s">
        <v>300</v>
      </c>
      <c r="D55" s="1289" t="s">
        <v>301</v>
      </c>
      <c r="E55" s="24089"/>
      <c r="F55" s="24089"/>
      <c r="G55" s="24089"/>
      <c r="H55" s="24089"/>
      <c r="I55" s="24091"/>
      <c r="J55" s="24090"/>
      <c r="K55" s="1289"/>
      <c r="L55" s="1290"/>
      <c r="P55" s="24092"/>
      <c r="Q55" s="24092"/>
      <c r="R55" s="292"/>
      <c r="S55" s="1204"/>
      <c r="T55" s="223" t="s">
        <v>694</v>
      </c>
      <c r="U55" s="303"/>
      <c r="V55" s="303"/>
      <c r="W55" s="303"/>
      <c r="X55" s="303"/>
      <c r="Y55" s="303"/>
      <c r="Z55" s="303"/>
      <c r="AA55" s="260"/>
      <c r="AB55" s="1431"/>
      <c r="AC55" s="303"/>
      <c r="AD55" s="303"/>
      <c r="AE55" s="303"/>
      <c r="AF55" s="303"/>
      <c r="AG55" s="303"/>
      <c r="AH55" s="303"/>
      <c r="AI55" s="303"/>
      <c r="AJ55" s="303"/>
      <c r="AK55" s="303"/>
      <c r="AL55" s="303"/>
      <c r="AM55" s="303"/>
      <c r="AN55" s="303"/>
      <c r="AO55" s="303"/>
      <c r="AP55" s="303"/>
      <c r="AQ55" s="303"/>
      <c r="AR55" s="303"/>
      <c r="AS55" s="303"/>
      <c r="AT55" s="260"/>
      <c r="AU55" s="24113"/>
      <c r="AW55" s="436"/>
      <c r="AX55" s="436" t="str">
        <f t="shared" si="3"/>
        <v>Добавить строку</v>
      </c>
      <c r="AY55" s="436"/>
      <c r="AZ55" s="436"/>
      <c r="BA55" s="1081">
        <v>11</v>
      </c>
    </row>
    <row r="56" spans="1:53" s="1568" customFormat="1" ht="1.1499999999999999" customHeight="1">
      <c r="A56" s="1269" t="s">
        <v>298</v>
      </c>
      <c r="B56" s="1269" t="s">
        <v>299</v>
      </c>
      <c r="C56" s="1269" t="s">
        <v>300</v>
      </c>
      <c r="D56" s="1269" t="s">
        <v>301</v>
      </c>
      <c r="E56" s="24089"/>
      <c r="F56" s="24089"/>
      <c r="G56" s="24089"/>
      <c r="H56" s="24089"/>
      <c r="I56" s="24090"/>
      <c r="J56" s="1269"/>
      <c r="K56" s="1269"/>
      <c r="L56" s="1272"/>
      <c r="M56" s="446"/>
      <c r="N56" s="446"/>
      <c r="O56" s="446"/>
      <c r="P56" s="24092"/>
      <c r="Q56" s="1257"/>
      <c r="R56" s="292"/>
      <c r="S56" s="1312"/>
      <c r="T56" s="1313" t="s">
        <v>641</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298</v>
      </c>
      <c r="B57" s="1269" t="s">
        <v>299</v>
      </c>
      <c r="C57" s="1269" t="s">
        <v>300</v>
      </c>
      <c r="D57" s="1269" t="s">
        <v>301</v>
      </c>
      <c r="E57" s="24089"/>
      <c r="F57" s="24089"/>
      <c r="G57" s="24089"/>
      <c r="H57" s="2408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298</v>
      </c>
      <c r="B58" s="1269" t="s">
        <v>299</v>
      </c>
      <c r="C58" s="1269" t="s">
        <v>300</v>
      </c>
      <c r="D58" s="1240"/>
      <c r="E58" s="24089"/>
      <c r="F58" s="24089"/>
      <c r="G58" s="24088"/>
      <c r="H58" s="1240"/>
      <c r="I58" s="1240"/>
      <c r="J58" s="1240"/>
      <c r="K58" s="1240"/>
      <c r="L58" s="1265"/>
      <c r="M58" s="1241"/>
      <c r="N58" s="1241"/>
      <c r="P58" s="1242"/>
      <c r="Q58" s="1243"/>
      <c r="R58" s="1242"/>
      <c r="S58" s="1248"/>
      <c r="T58" s="1251" t="s">
        <v>643</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298</v>
      </c>
      <c r="B59" s="1269" t="s">
        <v>299</v>
      </c>
      <c r="C59" s="1240"/>
      <c r="D59" s="1240"/>
      <c r="E59" s="24089"/>
      <c r="F59" s="24088"/>
      <c r="G59" s="1240"/>
      <c r="H59" s="1240"/>
      <c r="I59" s="1240"/>
      <c r="J59" s="1240"/>
      <c r="K59" s="1240"/>
      <c r="L59" s="1265"/>
      <c r="M59" s="1247"/>
      <c r="N59" s="1247"/>
      <c r="P59" s="1242"/>
      <c r="Q59" s="1243"/>
      <c r="R59" s="1242"/>
      <c r="S59" s="1248"/>
      <c r="T59" s="1251" t="s">
        <v>370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298</v>
      </c>
      <c r="B60" s="1269"/>
      <c r="C60" s="1269"/>
      <c r="D60" s="1269"/>
      <c r="E60" s="24089"/>
      <c r="F60" s="1269"/>
      <c r="G60" s="1269"/>
      <c r="H60" s="1269"/>
      <c r="I60" s="1269"/>
      <c r="J60" s="1269"/>
      <c r="K60" s="1269"/>
      <c r="L60" s="1272"/>
      <c r="M60" s="1247"/>
      <c r="N60" s="1247"/>
      <c r="O60" s="454"/>
      <c r="P60" s="316"/>
      <c r="Q60" s="1270"/>
      <c r="R60" s="316"/>
      <c r="S60" s="1248"/>
      <c r="T60" s="1251" t="s">
        <v>481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298</v>
      </c>
      <c r="B61" s="1269"/>
      <c r="C61" s="1269"/>
      <c r="D61" s="1269"/>
      <c r="E61" s="24088"/>
      <c r="F61" s="1269"/>
      <c r="G61" s="1269"/>
      <c r="H61" s="1269"/>
      <c r="I61" s="1269"/>
      <c r="J61" s="1269"/>
      <c r="K61" s="1269"/>
      <c r="L61" s="1272"/>
      <c r="M61" s="1247"/>
      <c r="N61" s="1247"/>
      <c r="O61" s="454"/>
      <c r="P61" s="316"/>
      <c r="Q61" s="1270"/>
      <c r="R61" s="316"/>
      <c r="S61" s="1248"/>
      <c r="T61" s="1251" t="s">
        <v>481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482</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4087"/>
      <c r="U64" s="24087"/>
      <c r="V64" s="24087"/>
      <c r="W64" s="24087"/>
      <c r="X64" s="24087"/>
      <c r="Y64" s="24087"/>
      <c r="Z64" s="24087"/>
      <c r="AA64" s="24087"/>
      <c r="AB64" s="24087"/>
      <c r="AC64" s="24087"/>
      <c r="AD64" s="24087"/>
      <c r="AE64" s="24087"/>
      <c r="AF64" s="24087"/>
      <c r="AG64" s="24087"/>
      <c r="AH64" s="24087"/>
      <c r="AI64" s="24087"/>
      <c r="AJ64" s="24087"/>
      <c r="AK64" s="24087"/>
      <c r="AL64" s="24087"/>
      <c r="AM64" s="24087"/>
      <c r="AN64" s="24087"/>
      <c r="AO64" s="24087"/>
      <c r="AP64" s="24087"/>
      <c r="AQ64" s="24087"/>
      <c r="AR64" s="24087"/>
      <c r="AS64" s="24087"/>
      <c r="AT64" s="24087"/>
      <c r="AU64" s="24087"/>
      <c r="BA64" s="1081">
        <v>19</v>
      </c>
    </row>
    <row r="65" spans="1:53" ht="21" customHeight="1">
      <c r="O65" s="473"/>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N65" s="24087"/>
      <c r="AO65" s="24087"/>
      <c r="AP65" s="24087"/>
      <c r="AQ65" s="24087"/>
      <c r="AR65" s="24087"/>
      <c r="AS65" s="24087"/>
      <c r="AT65" s="24087"/>
      <c r="AU65" s="2408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4087"/>
      <c r="U67" s="24087"/>
      <c r="V67" s="24087"/>
      <c r="W67" s="24087"/>
      <c r="X67" s="24087"/>
      <c r="Y67" s="24087"/>
      <c r="Z67" s="24087"/>
      <c r="AA67" s="24087"/>
      <c r="AB67" s="24087"/>
      <c r="AC67" s="24087"/>
      <c r="AD67" s="24087"/>
      <c r="AE67" s="24087"/>
      <c r="AF67" s="24087"/>
      <c r="AG67" s="24087"/>
      <c r="AH67" s="24087"/>
      <c r="AI67" s="24087"/>
      <c r="AJ67" s="24087"/>
      <c r="AK67" s="24087"/>
      <c r="AL67" s="24087"/>
      <c r="AM67" s="24087"/>
      <c r="AN67" s="24087"/>
      <c r="AO67" s="24087"/>
      <c r="AP67" s="24087"/>
      <c r="AQ67" s="24087"/>
      <c r="AR67" s="24087"/>
      <c r="AS67" s="24087"/>
      <c r="AT67" s="24087"/>
      <c r="AU67" s="24087"/>
      <c r="BA67" s="1081">
        <v>19</v>
      </c>
    </row>
    <row r="68" spans="1:53" ht="16.899999999999999" customHeight="1">
      <c r="O68" s="473"/>
      <c r="T68" s="24087"/>
      <c r="U68" s="24087"/>
      <c r="V68" s="24087"/>
      <c r="W68" s="24087"/>
      <c r="X68" s="24087"/>
      <c r="Y68" s="24087"/>
      <c r="Z68" s="24087"/>
      <c r="AA68" s="24087"/>
      <c r="AB68" s="24087"/>
      <c r="AC68" s="24087"/>
      <c r="AD68" s="24087"/>
      <c r="AE68" s="24087"/>
      <c r="AF68" s="24087"/>
      <c r="AG68" s="24087"/>
      <c r="AH68" s="24087"/>
      <c r="AI68" s="24087"/>
      <c r="AJ68" s="24087"/>
      <c r="AK68" s="24087"/>
      <c r="AL68" s="24087"/>
      <c r="AM68" s="24087"/>
      <c r="AN68" s="24087"/>
      <c r="AO68" s="24087"/>
      <c r="AP68" s="24087"/>
      <c r="AQ68" s="24087"/>
      <c r="AR68" s="24087"/>
      <c r="AS68" s="24087"/>
      <c r="AT68" s="24087"/>
      <c r="AU68" s="24087"/>
      <c r="BA68" s="1081">
        <v>16</v>
      </c>
    </row>
    <row r="69" spans="1:53" ht="14.65" customHeight="1">
      <c r="O69" s="473"/>
      <c r="BA69" s="1081">
        <v>14</v>
      </c>
    </row>
    <row r="70" spans="1:53" ht="22.5" hidden="1" customHeight="1">
      <c r="A70" s="1086" t="s">
        <v>73</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0">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99"/>
  <sheetViews>
    <sheetView showGridLines="0" zoomScale="90" workbookViewId="0">
      <pane xSplit="6" ySplit="11" topLeftCell="G61" activePane="bottomRight" state="frozen"/>
      <selection pane="topRight" activeCell="G1" sqref="G1"/>
      <selection pane="bottomLeft" activeCell="A12" sqref="A12"/>
      <selection pane="bottomRight" activeCell="G85" sqref="G85"/>
    </sheetView>
  </sheetViews>
  <sheetFormatPr defaultColWidth="9.140625" defaultRowHeight="14.25" customHeight="1"/>
  <cols>
    <col min="1" max="1" width="8" style="1561" hidden="1" customWidth="1"/>
    <col min="2" max="2" width="6" style="1292" hidden="1" customWidth="1"/>
    <col min="3" max="3" width="3" style="1561" customWidth="1"/>
    <col min="4" max="4" width="3" style="1739"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1" hidden="1"/>
    <col min="20" max="27" width="9.140625" style="1561" hidden="1"/>
    <col min="28" max="28" width="8" style="1561" customWidth="1"/>
    <col min="29" max="29" width="9.140625" style="1561" hidden="1"/>
  </cols>
  <sheetData>
    <row r="1" spans="1:29" s="1568" customFormat="1" ht="5.25" hidden="1" customHeight="1">
      <c r="A1" s="432"/>
      <c r="B1" s="447"/>
      <c r="C1" s="447"/>
      <c r="D1" s="157"/>
      <c r="F1" s="447"/>
      <c r="G1" s="183" t="s">
        <v>74</v>
      </c>
      <c r="H1" s="430" t="s">
        <v>75</v>
      </c>
      <c r="I1" s="163" t="s">
        <v>76</v>
      </c>
      <c r="J1" s="183" t="s">
        <v>74</v>
      </c>
      <c r="K1" s="183"/>
      <c r="L1" s="183"/>
      <c r="M1" s="183"/>
      <c r="N1" s="184"/>
      <c r="O1" s="183"/>
      <c r="P1" s="183"/>
      <c r="Q1" s="183"/>
      <c r="R1" s="183"/>
      <c r="S1" s="183"/>
      <c r="T1" s="163"/>
      <c r="U1" s="163"/>
      <c r="V1" s="163"/>
      <c r="W1" s="163"/>
      <c r="X1" s="163"/>
      <c r="Y1" s="163"/>
      <c r="Z1" s="163"/>
      <c r="AA1" s="163"/>
      <c r="AB1" s="163"/>
      <c r="AC1" s="89" t="s">
        <v>1</v>
      </c>
    </row>
    <row r="2" spans="1:29" s="1338" customFormat="1" ht="11.25" customHeight="1">
      <c r="A2" s="761"/>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717" customFormat="1" ht="3" customHeight="1">
      <c r="A3" s="692"/>
      <c r="B3" s="353"/>
      <c r="C3" s="692"/>
      <c r="D3" s="101"/>
      <c r="E3" s="42"/>
      <c r="F3" s="445"/>
      <c r="G3" s="42"/>
      <c r="H3" s="42"/>
      <c r="I3" s="103"/>
      <c r="J3" s="183"/>
      <c r="K3" s="92"/>
      <c r="L3" s="92"/>
      <c r="M3" s="92"/>
      <c r="N3" s="162"/>
      <c r="O3" s="92"/>
      <c r="P3" s="161"/>
      <c r="Q3" s="161"/>
      <c r="R3" s="161"/>
      <c r="S3" s="161"/>
      <c r="AC3" s="55">
        <v>3</v>
      </c>
    </row>
    <row r="4" spans="1:29" s="1717" customFormat="1" ht="27.4" customHeight="1">
      <c r="A4" s="692"/>
      <c r="B4" s="353"/>
      <c r="C4" s="692"/>
      <c r="D4" s="101"/>
      <c r="E4" s="23932" t="str">
        <f>NameTemplatesInListMO</f>
        <v>Перечень муниципальных районов и муниципальных образований (территорий действия тарифа)</v>
      </c>
      <c r="F4" s="23932"/>
      <c r="G4" s="23932"/>
      <c r="H4" s="23932"/>
      <c r="I4" s="23932"/>
      <c r="J4" s="183"/>
      <c r="K4" s="92"/>
      <c r="L4" s="92"/>
      <c r="M4" s="92"/>
      <c r="N4" s="162"/>
      <c r="O4" s="92"/>
      <c r="P4" s="161"/>
      <c r="Q4" s="161"/>
      <c r="R4" s="161"/>
      <c r="S4" s="161"/>
      <c r="AC4" s="55">
        <v>26</v>
      </c>
    </row>
    <row r="5" spans="1:29" s="1717" customFormat="1" ht="3" customHeight="1">
      <c r="A5" s="692"/>
      <c r="B5" s="353"/>
      <c r="C5" s="692"/>
      <c r="D5" s="101"/>
      <c r="E5" s="42"/>
      <c r="F5" s="445"/>
      <c r="G5" s="104"/>
      <c r="H5" s="104"/>
      <c r="I5" s="105"/>
      <c r="J5" s="92"/>
      <c r="K5" s="92"/>
      <c r="L5" s="92"/>
      <c r="M5" s="92"/>
      <c r="N5" s="162"/>
      <c r="O5" s="92"/>
      <c r="P5" s="161"/>
      <c r="Q5" s="161"/>
      <c r="R5" s="161"/>
      <c r="S5" s="161"/>
      <c r="AC5" s="55">
        <v>3</v>
      </c>
    </row>
    <row r="6" spans="1:29" s="1717" customFormat="1" ht="20.25" hidden="1" customHeight="1">
      <c r="A6" s="767"/>
      <c r="B6" s="763"/>
      <c r="C6" s="106"/>
      <c r="D6" s="101"/>
      <c r="E6" s="710"/>
      <c r="F6" s="710"/>
      <c r="G6" s="104"/>
      <c r="H6" s="107"/>
      <c r="I6" s="107"/>
      <c r="J6" s="92"/>
      <c r="K6" s="92"/>
      <c r="L6" s="92"/>
      <c r="M6" s="92"/>
      <c r="N6" s="162"/>
      <c r="O6" s="92"/>
      <c r="P6" s="161"/>
      <c r="Q6" s="161"/>
      <c r="R6" s="161"/>
      <c r="S6" s="161"/>
      <c r="AC6" s="55">
        <v>0</v>
      </c>
    </row>
    <row r="7" spans="1:29" ht="25.5" hidden="1" customHeight="1">
      <c r="AC7" s="22">
        <v>0</v>
      </c>
    </row>
    <row r="8" spans="1:29" s="1717" customFormat="1" ht="14.65" customHeight="1">
      <c r="A8" s="692"/>
      <c r="B8" s="353"/>
      <c r="C8" s="692"/>
      <c r="D8" s="101"/>
      <c r="E8" s="23928" t="s">
        <v>77</v>
      </c>
      <c r="F8" s="23933"/>
      <c r="G8" s="23927"/>
      <c r="H8" s="23934" t="s">
        <v>78</v>
      </c>
      <c r="I8" s="23934"/>
      <c r="J8" s="92"/>
      <c r="K8" s="92"/>
      <c r="L8" s="92"/>
      <c r="M8" s="92"/>
      <c r="N8" s="162"/>
      <c r="O8" s="92"/>
      <c r="P8" s="161"/>
      <c r="Q8" s="161"/>
      <c r="R8" s="161"/>
      <c r="S8" s="161"/>
      <c r="AC8" s="55">
        <v>14</v>
      </c>
    </row>
    <row r="9" spans="1:29" s="1717" customFormat="1" ht="21" customHeight="1">
      <c r="A9" s="692"/>
      <c r="B9" s="353"/>
      <c r="C9" s="692"/>
      <c r="D9" s="101"/>
      <c r="E9" s="708" t="s">
        <v>79</v>
      </c>
      <c r="F9" s="708"/>
      <c r="G9" s="109" t="s">
        <v>80</v>
      </c>
      <c r="H9" s="109" t="s">
        <v>80</v>
      </c>
      <c r="I9" s="109" t="s">
        <v>76</v>
      </c>
      <c r="J9" s="92"/>
      <c r="K9" s="92"/>
      <c r="L9" s="92"/>
      <c r="M9" s="92"/>
      <c r="N9" s="162"/>
      <c r="O9" s="92"/>
      <c r="P9" s="161"/>
      <c r="Q9" s="161"/>
      <c r="R9" s="161"/>
      <c r="S9" s="161"/>
      <c r="AC9" s="55">
        <v>20</v>
      </c>
    </row>
    <row r="10" spans="1:29" ht="11.45" customHeight="1">
      <c r="D10" s="113"/>
      <c r="E10" s="709" t="s">
        <v>81</v>
      </c>
      <c r="F10" s="709"/>
      <c r="G10" s="159" t="s">
        <v>82</v>
      </c>
      <c r="H10" s="159" t="s">
        <v>83</v>
      </c>
      <c r="I10" s="159" t="s">
        <v>84</v>
      </c>
      <c r="J10" s="123"/>
      <c r="K10" s="123"/>
      <c r="L10" s="123"/>
      <c r="M10" s="123"/>
      <c r="N10" s="108"/>
      <c r="O10" s="123"/>
      <c r="P10" s="160"/>
      <c r="Q10" s="160"/>
      <c r="R10" s="160"/>
      <c r="S10" s="160"/>
      <c r="AC10" s="22">
        <v>11</v>
      </c>
    </row>
    <row r="11" spans="1:29" s="1717" customFormat="1" ht="1.1499999999999999" customHeight="1">
      <c r="A11" s="692"/>
      <c r="B11" s="353"/>
      <c r="C11" s="692"/>
      <c r="D11" s="101"/>
      <c r="E11" s="720"/>
      <c r="F11" s="720"/>
      <c r="G11" s="110"/>
      <c r="H11" s="110"/>
      <c r="I11" s="112"/>
      <c r="J11" s="185" t="s">
        <v>85</v>
      </c>
      <c r="K11" s="92"/>
      <c r="L11" s="92"/>
      <c r="M11" s="92" t="s">
        <v>86</v>
      </c>
      <c r="N11" s="162" t="s">
        <v>87</v>
      </c>
      <c r="O11" s="92" t="s">
        <v>88</v>
      </c>
      <c r="P11" s="161"/>
      <c r="Q11" s="161"/>
      <c r="R11" s="161"/>
      <c r="S11" s="161"/>
      <c r="AC11" s="55">
        <v>1</v>
      </c>
    </row>
    <row r="12" spans="1:29" s="1717" customFormat="1" ht="15" customHeight="1">
      <c r="A12" s="23931">
        <v>1</v>
      </c>
      <c r="B12" s="353"/>
      <c r="C12" s="692"/>
      <c r="D12" s="712"/>
      <c r="E12" s="155">
        <f>A12</f>
        <v>1</v>
      </c>
      <c r="F12" s="732" t="s">
        <v>89</v>
      </c>
      <c r="G12" s="476" t="str">
        <f>"Территория "&amp;E12</f>
        <v>Территория 1</v>
      </c>
      <c r="H12" s="722"/>
      <c r="I12" s="722"/>
      <c r="J12" s="719"/>
      <c r="K12" s="436"/>
      <c r="L12" s="436"/>
      <c r="M12" s="436"/>
      <c r="N12" s="162"/>
      <c r="O12" s="436"/>
      <c r="P12" s="161"/>
      <c r="Q12" s="161"/>
      <c r="R12" s="161"/>
      <c r="S12" s="161"/>
      <c r="AC12" s="443">
        <v>14</v>
      </c>
    </row>
    <row r="13" spans="1:29" s="1747" customFormat="1" ht="15.75" customHeight="1">
      <c r="A13" s="23931"/>
      <c r="B13" s="353">
        <v>1</v>
      </c>
      <c r="C13" s="353"/>
      <c r="D13" s="730"/>
      <c r="E13" s="711" t="str">
        <f>A12&amp;"."&amp;B13</f>
        <v>1.1</v>
      </c>
      <c r="F13" s="725" t="s">
        <v>90</v>
      </c>
      <c r="G13" s="723" t="s">
        <v>91</v>
      </c>
      <c r="H13" s="723" t="s">
        <v>92</v>
      </c>
      <c r="I13" s="721" t="s">
        <v>93</v>
      </c>
      <c r="J13" s="436" t="e">
        <f ca="1">MERGEVALUE(G13)</f>
        <v>#NAME?</v>
      </c>
      <c r="K13" s="447"/>
      <c r="L13" s="447"/>
      <c r="M13" s="436" t="str">
        <f t="array" ref="M13">IF(ISERROR(MATCH(MID(N13,1,250),MID(note_ter,1,250),0)),"n","y")</f>
        <v>n</v>
      </c>
      <c r="N13" s="447"/>
      <c r="O13" s="436" t="str">
        <f>H13&amp;"("&amp;I13&amp;")"</f>
        <v>Вяземское(66605101)</v>
      </c>
      <c r="P13" s="353"/>
      <c r="Q13" s="353"/>
      <c r="R13" s="356"/>
      <c r="S13" s="353"/>
      <c r="T13" s="353"/>
      <c r="U13" s="353"/>
      <c r="V13" s="358"/>
      <c r="W13" s="358"/>
      <c r="X13" s="355"/>
      <c r="Y13" s="355"/>
      <c r="Z13" s="355"/>
      <c r="AA13" s="355"/>
      <c r="AB13" s="355"/>
      <c r="AC13" s="359">
        <v>15</v>
      </c>
    </row>
    <row r="14" spans="1:29" s="1747" customFormat="1" ht="15.75" customHeight="1">
      <c r="A14" s="23931"/>
      <c r="B14" s="353"/>
      <c r="C14" s="348"/>
      <c r="D14" s="731"/>
      <c r="E14" s="357"/>
      <c r="F14" s="114"/>
      <c r="G14" s="351" t="s">
        <v>94</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ht="15" customHeight="1">
      <c r="A15" s="23935" t="s">
        <v>95</v>
      </c>
      <c r="B15" s="1086"/>
      <c r="C15" s="731" t="s">
        <v>96</v>
      </c>
      <c r="D15" s="1716"/>
      <c r="E15" s="1703" t="str">
        <f>A15</f>
        <v>2</v>
      </c>
      <c r="F15" s="734" t="s">
        <v>97</v>
      </c>
      <c r="G15" s="476" t="str">
        <f>"Территория "&amp;E15</f>
        <v>Территория 2</v>
      </c>
      <c r="H15" s="722"/>
      <c r="I15" s="722"/>
      <c r="J15" s="719"/>
      <c r="N15" s="162"/>
      <c r="T15" s="1717"/>
      <c r="U15" s="1717"/>
      <c r="V15" s="1717"/>
      <c r="W15" s="1717"/>
      <c r="X15" s="1717"/>
      <c r="Y15" s="1717"/>
      <c r="Z15" s="1717"/>
      <c r="AA15" s="1717"/>
      <c r="AB15" s="1717"/>
      <c r="AC15" s="1717"/>
    </row>
    <row r="16" spans="1:29" ht="15" customHeight="1">
      <c r="A16" s="23935"/>
      <c r="B16" s="1086">
        <v>1</v>
      </c>
      <c r="C16" s="1086"/>
      <c r="D16" s="730"/>
      <c r="E16" s="1711" t="str">
        <f>A15&amp;"."&amp;B16</f>
        <v>2.1</v>
      </c>
      <c r="F16" s="733" t="s">
        <v>83</v>
      </c>
      <c r="G16" s="723" t="s">
        <v>91</v>
      </c>
      <c r="H16" s="723" t="s">
        <v>98</v>
      </c>
      <c r="I16" s="721" t="s">
        <v>99</v>
      </c>
      <c r="K16" s="1562"/>
      <c r="L16" s="1562"/>
      <c r="M16" s="1550" t="str">
        <f t="array" ref="M16">IF(ISERROR(MATCH(MID(N16,1,250),MID(note_ter,1,250),0)),"n","y")</f>
        <v>n</v>
      </c>
      <c r="N16" s="1562"/>
      <c r="O16" s="1550" t="str">
        <f>H16&amp;"("&amp;I16&amp;")"</f>
        <v>Андрейковское(66605404)</v>
      </c>
      <c r="P16" s="1086"/>
      <c r="Q16" s="1086"/>
      <c r="R16" s="356"/>
      <c r="S16" s="1086"/>
      <c r="T16" s="1086"/>
      <c r="U16" s="1086"/>
      <c r="V16" s="358"/>
      <c r="W16" s="358"/>
      <c r="X16" s="355"/>
      <c r="Y16" s="355"/>
      <c r="Z16" s="355"/>
      <c r="AA16" s="355"/>
      <c r="AB16" s="355"/>
      <c r="AC16" s="355"/>
    </row>
    <row r="17" spans="1:29" ht="15" customHeight="1">
      <c r="A17" s="23935"/>
      <c r="B17" s="1086"/>
      <c r="C17" s="348"/>
      <c r="D17" s="731"/>
      <c r="E17" s="357"/>
      <c r="F17" s="114"/>
      <c r="G17" s="351" t="s">
        <v>94</v>
      </c>
      <c r="H17" s="124"/>
      <c r="I17" s="360"/>
      <c r="J17" s="1562"/>
      <c r="K17" s="1562"/>
      <c r="L17" s="1562"/>
      <c r="M17" s="1562"/>
      <c r="O17" s="1562"/>
      <c r="P17" s="1086"/>
      <c r="Q17" s="1086"/>
      <c r="R17" s="356"/>
      <c r="S17" s="1086"/>
      <c r="T17" s="1086"/>
      <c r="U17" s="1086"/>
      <c r="V17" s="358"/>
      <c r="W17" s="358"/>
      <c r="X17" s="355"/>
      <c r="Y17" s="355"/>
      <c r="Z17" s="355"/>
      <c r="AA17" s="355"/>
      <c r="AB17" s="355"/>
      <c r="AC17" s="355"/>
    </row>
    <row r="18" spans="1:29" ht="15" customHeight="1">
      <c r="A18" s="23935" t="s">
        <v>81</v>
      </c>
      <c r="B18" s="1086"/>
      <c r="C18" s="731" t="s">
        <v>96</v>
      </c>
      <c r="D18" s="1716"/>
      <c r="E18" s="1703" t="str">
        <f>A18</f>
        <v>3</v>
      </c>
      <c r="F18" s="734" t="s">
        <v>100</v>
      </c>
      <c r="G18" s="476" t="str">
        <f>"Территория "&amp;E18</f>
        <v>Территория 3</v>
      </c>
      <c r="H18" s="722"/>
      <c r="I18" s="722"/>
      <c r="J18" s="719"/>
      <c r="N18" s="162"/>
      <c r="T18" s="1717"/>
      <c r="U18" s="1717"/>
      <c r="V18" s="1717"/>
      <c r="W18" s="1717"/>
      <c r="X18" s="1717"/>
      <c r="Y18" s="1717"/>
      <c r="Z18" s="1717"/>
      <c r="AA18" s="1717"/>
      <c r="AB18" s="1717"/>
      <c r="AC18" s="1717"/>
    </row>
    <row r="19" spans="1:29" ht="15" customHeight="1">
      <c r="A19" s="23935"/>
      <c r="B19" s="1086">
        <v>1</v>
      </c>
      <c r="C19" s="1086"/>
      <c r="D19" s="730"/>
      <c r="E19" s="1711" t="str">
        <f>A18&amp;"."&amp;B19</f>
        <v>3.1</v>
      </c>
      <c r="F19" s="733" t="s">
        <v>101</v>
      </c>
      <c r="G19" s="723" t="s">
        <v>91</v>
      </c>
      <c r="H19" s="723" t="s">
        <v>102</v>
      </c>
      <c r="I19" s="721" t="s">
        <v>103</v>
      </c>
      <c r="K19" s="1562"/>
      <c r="L19" s="1562"/>
      <c r="M19" s="1550" t="str">
        <f t="array" ref="M19">IF(ISERROR(MATCH(MID(N19,1,250),MID(note_ter,1,250),0)),"n","y")</f>
        <v>n</v>
      </c>
      <c r="N19" s="1562"/>
      <c r="O19" s="1550" t="str">
        <f>H19&amp;"("&amp;I19&amp;")"</f>
        <v>Степаниковское(66605476)</v>
      </c>
      <c r="P19" s="1086"/>
      <c r="Q19" s="1086"/>
      <c r="R19" s="356"/>
      <c r="S19" s="1086"/>
      <c r="T19" s="1086"/>
      <c r="U19" s="1086"/>
      <c r="V19" s="358"/>
      <c r="W19" s="358"/>
      <c r="X19" s="355"/>
      <c r="Y19" s="355"/>
      <c r="Z19" s="355"/>
      <c r="AA19" s="355"/>
      <c r="AB19" s="355"/>
      <c r="AC19" s="355"/>
    </row>
    <row r="20" spans="1:29" ht="15" customHeight="1">
      <c r="A20" s="23935"/>
      <c r="B20" s="1086"/>
      <c r="C20" s="348"/>
      <c r="D20" s="731"/>
      <c r="E20" s="357"/>
      <c r="F20" s="114"/>
      <c r="G20" s="351" t="s">
        <v>94</v>
      </c>
      <c r="H20" s="124"/>
      <c r="I20" s="360"/>
      <c r="J20" s="1562"/>
      <c r="K20" s="1562"/>
      <c r="L20" s="1562"/>
      <c r="M20" s="1562"/>
      <c r="O20" s="1562"/>
      <c r="P20" s="1086"/>
      <c r="Q20" s="1086"/>
      <c r="R20" s="356"/>
      <c r="S20" s="1086"/>
      <c r="T20" s="1086"/>
      <c r="U20" s="1086"/>
      <c r="V20" s="358"/>
      <c r="W20" s="358"/>
      <c r="X20" s="355"/>
      <c r="Y20" s="355"/>
      <c r="Z20" s="355"/>
      <c r="AA20" s="355"/>
      <c r="AB20" s="355"/>
      <c r="AC20" s="355"/>
    </row>
    <row r="21" spans="1:29" ht="15" customHeight="1">
      <c r="A21" s="23935" t="s">
        <v>82</v>
      </c>
      <c r="B21" s="1086"/>
      <c r="C21" s="731" t="s">
        <v>96</v>
      </c>
      <c r="D21" s="1716"/>
      <c r="E21" s="1703" t="str">
        <f>A21</f>
        <v>4</v>
      </c>
      <c r="F21" s="734" t="s">
        <v>104</v>
      </c>
      <c r="G21" s="476" t="str">
        <f>"Территория "&amp;E21</f>
        <v>Территория 4</v>
      </c>
      <c r="H21" s="722"/>
      <c r="I21" s="722"/>
      <c r="J21" s="719"/>
      <c r="N21" s="162"/>
      <c r="T21" s="1717"/>
      <c r="U21" s="1717"/>
      <c r="V21" s="1717"/>
      <c r="W21" s="1717"/>
      <c r="X21" s="1717"/>
      <c r="Y21" s="1717"/>
      <c r="Z21" s="1717"/>
      <c r="AA21" s="1717"/>
      <c r="AB21" s="1717"/>
      <c r="AC21" s="1717"/>
    </row>
    <row r="22" spans="1:29" ht="15" customHeight="1">
      <c r="A22" s="23935"/>
      <c r="B22" s="1086">
        <v>1</v>
      </c>
      <c r="C22" s="1086"/>
      <c r="D22" s="730"/>
      <c r="E22" s="1711" t="str">
        <f>A21&amp;"."&amp;B22</f>
        <v>4.1</v>
      </c>
      <c r="F22" s="733" t="s">
        <v>105</v>
      </c>
      <c r="G22" s="723" t="s">
        <v>106</v>
      </c>
      <c r="H22" s="723" t="s">
        <v>107</v>
      </c>
      <c r="I22" s="721" t="s">
        <v>108</v>
      </c>
      <c r="K22" s="1562"/>
      <c r="L22" s="1562"/>
      <c r="M22" s="1550" t="str">
        <f t="array" ref="M22">IF(ISERROR(MATCH(MID(N22,1,250),MID(note_ter,1,250),0)),"n","y")</f>
        <v>n</v>
      </c>
      <c r="N22" s="1562"/>
      <c r="O22" s="1550" t="str">
        <f>H22&amp;"("&amp;I22&amp;")"</f>
        <v>Гагаринское(66608101)</v>
      </c>
      <c r="P22" s="1086"/>
      <c r="Q22" s="1086"/>
      <c r="R22" s="356"/>
      <c r="S22" s="1086"/>
      <c r="T22" s="1086"/>
      <c r="U22" s="1086"/>
      <c r="V22" s="358"/>
      <c r="W22" s="358"/>
      <c r="X22" s="355"/>
      <c r="Y22" s="355"/>
      <c r="Z22" s="355"/>
      <c r="AA22" s="355"/>
      <c r="AB22" s="355"/>
      <c r="AC22" s="355"/>
    </row>
    <row r="23" spans="1:29" ht="15" customHeight="1">
      <c r="A23" s="23935"/>
      <c r="B23" s="1086"/>
      <c r="C23" s="348"/>
      <c r="D23" s="731"/>
      <c r="E23" s="357"/>
      <c r="F23" s="114"/>
      <c r="G23" s="351" t="s">
        <v>94</v>
      </c>
      <c r="H23" s="124"/>
      <c r="I23" s="360"/>
      <c r="J23" s="1562"/>
      <c r="K23" s="1562"/>
      <c r="L23" s="1562"/>
      <c r="M23" s="1562"/>
      <c r="O23" s="1562"/>
      <c r="P23" s="1086"/>
      <c r="Q23" s="1086"/>
      <c r="R23" s="356"/>
      <c r="S23" s="1086"/>
      <c r="T23" s="1086"/>
      <c r="U23" s="1086"/>
      <c r="V23" s="358"/>
      <c r="W23" s="358"/>
      <c r="X23" s="355"/>
      <c r="Y23" s="355"/>
      <c r="Z23" s="355"/>
      <c r="AA23" s="355"/>
      <c r="AB23" s="355"/>
      <c r="AC23" s="355"/>
    </row>
    <row r="24" spans="1:29" ht="15" customHeight="1">
      <c r="A24" s="23935" t="s">
        <v>109</v>
      </c>
      <c r="B24" s="1086"/>
      <c r="C24" s="731" t="s">
        <v>96</v>
      </c>
      <c r="D24" s="1716"/>
      <c r="E24" s="1703" t="str">
        <f>A24</f>
        <v>5</v>
      </c>
      <c r="F24" s="734" t="s">
        <v>110</v>
      </c>
      <c r="G24" s="476" t="str">
        <f>"Территория "&amp;E24</f>
        <v>Территория 5</v>
      </c>
      <c r="H24" s="722"/>
      <c r="I24" s="722"/>
      <c r="J24" s="719"/>
      <c r="N24" s="162"/>
      <c r="T24" s="1717"/>
      <c r="U24" s="1717"/>
      <c r="V24" s="1717"/>
      <c r="W24" s="1717"/>
      <c r="X24" s="1717"/>
      <c r="Y24" s="1717"/>
      <c r="Z24" s="1717"/>
      <c r="AA24" s="1717"/>
      <c r="AB24" s="1717"/>
      <c r="AC24" s="1717"/>
    </row>
    <row r="25" spans="1:29" ht="15" customHeight="1">
      <c r="A25" s="23935"/>
      <c r="B25" s="1086">
        <v>1</v>
      </c>
      <c r="C25" s="1086"/>
      <c r="D25" s="730"/>
      <c r="E25" s="1711" t="str">
        <f>A24&amp;"."&amp;B25</f>
        <v>5.1</v>
      </c>
      <c r="F25" s="733" t="s">
        <v>111</v>
      </c>
      <c r="G25" s="723" t="s">
        <v>106</v>
      </c>
      <c r="H25" s="723" t="s">
        <v>112</v>
      </c>
      <c r="I25" s="721" t="s">
        <v>113</v>
      </c>
      <c r="K25" s="1562"/>
      <c r="L25" s="1562"/>
      <c r="M25" s="1550" t="str">
        <f t="array" ref="M25">IF(ISERROR(MATCH(MID(N25,1,250),MID(note_ter,1,250),0)),"n","y")</f>
        <v>n</v>
      </c>
      <c r="N25" s="1562"/>
      <c r="O25" s="1550" t="str">
        <f>H25&amp;"("&amp;I25&amp;")"</f>
        <v>Кармановское(66608424)</v>
      </c>
      <c r="P25" s="1086"/>
      <c r="Q25" s="1086"/>
      <c r="R25" s="356"/>
      <c r="S25" s="1086"/>
      <c r="T25" s="1086"/>
      <c r="U25" s="1086"/>
      <c r="V25" s="358"/>
      <c r="W25" s="358"/>
      <c r="X25" s="355"/>
      <c r="Y25" s="355"/>
      <c r="Z25" s="355"/>
      <c r="AA25" s="355"/>
      <c r="AB25" s="355"/>
      <c r="AC25" s="355"/>
    </row>
    <row r="26" spans="1:29" ht="15" customHeight="1">
      <c r="A26" s="23935"/>
      <c r="B26" s="1086"/>
      <c r="C26" s="348"/>
      <c r="D26" s="731"/>
      <c r="E26" s="357"/>
      <c r="F26" s="114"/>
      <c r="G26" s="351" t="s">
        <v>94</v>
      </c>
      <c r="H26" s="124"/>
      <c r="I26" s="360"/>
      <c r="J26" s="1562"/>
      <c r="K26" s="1562"/>
      <c r="L26" s="1562"/>
      <c r="M26" s="1562"/>
      <c r="O26" s="1562"/>
      <c r="P26" s="1086"/>
      <c r="Q26" s="1086"/>
      <c r="R26" s="356"/>
      <c r="S26" s="1086"/>
      <c r="T26" s="1086"/>
      <c r="U26" s="1086"/>
      <c r="V26" s="358"/>
      <c r="W26" s="358"/>
      <c r="X26" s="355"/>
      <c r="Y26" s="355"/>
      <c r="Z26" s="355"/>
      <c r="AA26" s="355"/>
      <c r="AB26" s="355"/>
      <c r="AC26" s="355"/>
    </row>
    <row r="27" spans="1:29" ht="15" customHeight="1">
      <c r="A27" s="23935" t="s">
        <v>83</v>
      </c>
      <c r="B27" s="1086"/>
      <c r="C27" s="731" t="s">
        <v>96</v>
      </c>
      <c r="D27" s="1716"/>
      <c r="E27" s="1703" t="str">
        <f>A27</f>
        <v>6</v>
      </c>
      <c r="F27" s="734" t="s">
        <v>114</v>
      </c>
      <c r="G27" s="476" t="str">
        <f>"Территория "&amp;E27</f>
        <v>Территория 6</v>
      </c>
      <c r="H27" s="722"/>
      <c r="I27" s="722"/>
      <c r="J27" s="719"/>
      <c r="N27" s="162"/>
      <c r="T27" s="1717"/>
      <c r="U27" s="1717"/>
      <c r="V27" s="1717"/>
      <c r="W27" s="1717"/>
      <c r="X27" s="1717"/>
      <c r="Y27" s="1717"/>
      <c r="Z27" s="1717"/>
      <c r="AA27" s="1717"/>
      <c r="AB27" s="1717"/>
      <c r="AC27" s="1717"/>
    </row>
    <row r="28" spans="1:29" ht="15" customHeight="1">
      <c r="A28" s="23935"/>
      <c r="B28" s="1086">
        <v>1</v>
      </c>
      <c r="C28" s="1086"/>
      <c r="D28" s="730"/>
      <c r="E28" s="1711" t="str">
        <f>A27&amp;"."&amp;B28</f>
        <v>6.1</v>
      </c>
      <c r="F28" s="733" t="s">
        <v>115</v>
      </c>
      <c r="G28" s="723" t="s">
        <v>116</v>
      </c>
      <c r="H28" s="723" t="s">
        <v>117</v>
      </c>
      <c r="I28" s="721" t="s">
        <v>118</v>
      </c>
      <c r="K28" s="1562"/>
      <c r="L28" s="1562"/>
      <c r="M28" s="1550" t="str">
        <f t="array" ref="M28">IF(ISERROR(MATCH(MID(N28,1,250),MID(note_ter,1,250),0)),"n","y")</f>
        <v>n</v>
      </c>
      <c r="N28" s="1562"/>
      <c r="O28" s="1550" t="str">
        <f>H28&amp;"("&amp;I28&amp;")"</f>
        <v>Рославльское(66636101)</v>
      </c>
      <c r="P28" s="1086"/>
      <c r="Q28" s="1086"/>
      <c r="R28" s="356"/>
      <c r="S28" s="1086"/>
      <c r="T28" s="1086"/>
      <c r="U28" s="1086"/>
      <c r="V28" s="358"/>
      <c r="W28" s="358"/>
      <c r="X28" s="355"/>
      <c r="Y28" s="355"/>
      <c r="Z28" s="355"/>
      <c r="AA28" s="355"/>
      <c r="AB28" s="355"/>
      <c r="AC28" s="355"/>
    </row>
    <row r="29" spans="1:29" ht="15" customHeight="1">
      <c r="A29" s="23935"/>
      <c r="B29" s="1086"/>
      <c r="C29" s="348"/>
      <c r="D29" s="731"/>
      <c r="E29" s="357"/>
      <c r="F29" s="114"/>
      <c r="G29" s="351" t="s">
        <v>94</v>
      </c>
      <c r="H29" s="124"/>
      <c r="I29" s="360"/>
      <c r="J29" s="1562"/>
      <c r="K29" s="1562"/>
      <c r="L29" s="1562"/>
      <c r="M29" s="1562"/>
      <c r="O29" s="1562"/>
      <c r="P29" s="1086"/>
      <c r="Q29" s="1086"/>
      <c r="R29" s="356"/>
      <c r="S29" s="1086"/>
      <c r="T29" s="1086"/>
      <c r="U29" s="1086"/>
      <c r="V29" s="358"/>
      <c r="W29" s="358"/>
      <c r="X29" s="355"/>
      <c r="Y29" s="355"/>
      <c r="Z29" s="355"/>
      <c r="AA29" s="355"/>
      <c r="AB29" s="355"/>
      <c r="AC29" s="355"/>
    </row>
    <row r="30" spans="1:29" ht="15" customHeight="1">
      <c r="A30" s="23935" t="s">
        <v>84</v>
      </c>
      <c r="B30" s="1086"/>
      <c r="C30" s="731" t="s">
        <v>96</v>
      </c>
      <c r="D30" s="1716"/>
      <c r="E30" s="1703" t="str">
        <f>A30</f>
        <v>7</v>
      </c>
      <c r="F30" s="734" t="s">
        <v>119</v>
      </c>
      <c r="G30" s="476" t="str">
        <f>"Территория "&amp;E30</f>
        <v>Территория 7</v>
      </c>
      <c r="H30" s="722"/>
      <c r="I30" s="722"/>
      <c r="J30" s="719"/>
      <c r="N30" s="162"/>
      <c r="T30" s="1717"/>
      <c r="U30" s="1717"/>
      <c r="V30" s="1717"/>
      <c r="W30" s="1717"/>
      <c r="X30" s="1717"/>
      <c r="Y30" s="1717"/>
      <c r="Z30" s="1717"/>
      <c r="AA30" s="1717"/>
      <c r="AB30" s="1717"/>
      <c r="AC30" s="1717"/>
    </row>
    <row r="31" spans="1:29" ht="15" customHeight="1">
      <c r="A31" s="23935"/>
      <c r="B31" s="1086">
        <v>1</v>
      </c>
      <c r="C31" s="1086"/>
      <c r="D31" s="730"/>
      <c r="E31" s="1711" t="str">
        <f>A30&amp;"."&amp;B31</f>
        <v>7.1</v>
      </c>
      <c r="F31" s="733" t="s">
        <v>120</v>
      </c>
      <c r="G31" s="723" t="s">
        <v>116</v>
      </c>
      <c r="H31" s="723" t="s">
        <v>121</v>
      </c>
      <c r="I31" s="721" t="s">
        <v>122</v>
      </c>
      <c r="K31" s="1562"/>
      <c r="L31" s="1562"/>
      <c r="M31" s="1550" t="str">
        <f t="array" ref="M31">IF(ISERROR(MATCH(MID(N31,1,250),MID(note_ter,1,250),0)),"n","y")</f>
        <v>n</v>
      </c>
      <c r="N31" s="1562"/>
      <c r="O31" s="1550" t="str">
        <f>H31&amp;"("&amp;I31&amp;")"</f>
        <v>Остерское(66636470)</v>
      </c>
      <c r="P31" s="1086"/>
      <c r="Q31" s="1086"/>
      <c r="R31" s="356"/>
      <c r="S31" s="1086"/>
      <c r="T31" s="1086"/>
      <c r="U31" s="1086"/>
      <c r="V31" s="358"/>
      <c r="W31" s="358"/>
      <c r="X31" s="355"/>
      <c r="Y31" s="355"/>
      <c r="Z31" s="355"/>
      <c r="AA31" s="355"/>
      <c r="AB31" s="355"/>
      <c r="AC31" s="355"/>
    </row>
    <row r="32" spans="1:29" ht="15" customHeight="1">
      <c r="A32" s="23935"/>
      <c r="B32" s="1086"/>
      <c r="C32" s="348"/>
      <c r="D32" s="731"/>
      <c r="E32" s="357"/>
      <c r="F32" s="114"/>
      <c r="G32" s="351" t="s">
        <v>94</v>
      </c>
      <c r="H32" s="124"/>
      <c r="I32" s="360"/>
      <c r="J32" s="1562"/>
      <c r="K32" s="1562"/>
      <c r="L32" s="1562"/>
      <c r="M32" s="1562"/>
      <c r="O32" s="1562"/>
      <c r="P32" s="1086"/>
      <c r="Q32" s="1086"/>
      <c r="R32" s="356"/>
      <c r="S32" s="1086"/>
      <c r="T32" s="1086"/>
      <c r="U32" s="1086"/>
      <c r="V32" s="358"/>
      <c r="W32" s="358"/>
      <c r="X32" s="355"/>
      <c r="Y32" s="355"/>
      <c r="Z32" s="355"/>
      <c r="AA32" s="355"/>
      <c r="AB32" s="355"/>
      <c r="AC32" s="355"/>
    </row>
    <row r="33" spans="1:29" ht="15" customHeight="1">
      <c r="A33" s="23935" t="s">
        <v>90</v>
      </c>
      <c r="B33" s="1086"/>
      <c r="C33" s="731" t="s">
        <v>96</v>
      </c>
      <c r="D33" s="1716"/>
      <c r="E33" s="1703" t="str">
        <f>A33</f>
        <v>8</v>
      </c>
      <c r="F33" s="734" t="s">
        <v>123</v>
      </c>
      <c r="G33" s="476" t="str">
        <f>"Территория "&amp;E33</f>
        <v>Территория 8</v>
      </c>
      <c r="H33" s="722"/>
      <c r="I33" s="722"/>
      <c r="J33" s="719"/>
      <c r="N33" s="162"/>
      <c r="T33" s="1717"/>
      <c r="U33" s="1717"/>
      <c r="V33" s="1717"/>
      <c r="W33" s="1717"/>
      <c r="X33" s="1717"/>
      <c r="Y33" s="1717"/>
      <c r="Z33" s="1717"/>
      <c r="AA33" s="1717"/>
      <c r="AB33" s="1717"/>
      <c r="AC33" s="1717"/>
    </row>
    <row r="34" spans="1:29" ht="15" customHeight="1">
      <c r="A34" s="23935"/>
      <c r="B34" s="1086">
        <v>1</v>
      </c>
      <c r="C34" s="1086"/>
      <c r="D34" s="730"/>
      <c r="E34" s="1711" t="str">
        <f>A33&amp;"."&amp;B34</f>
        <v>8.1</v>
      </c>
      <c r="F34" s="733" t="s">
        <v>124</v>
      </c>
      <c r="G34" s="723" t="s">
        <v>125</v>
      </c>
      <c r="H34" s="723" t="s">
        <v>126</v>
      </c>
      <c r="I34" s="721" t="s">
        <v>127</v>
      </c>
      <c r="K34" s="1562"/>
      <c r="L34" s="1562"/>
      <c r="M34" s="1550" t="str">
        <f t="array" ref="M34">IF(ISERROR(MATCH(MID(N34,1,250),MID(note_ter,1,250),0)),"n","y")</f>
        <v>n</v>
      </c>
      <c r="N34" s="1562"/>
      <c r="O34" s="1550" t="str">
        <f>H34&amp;"("&amp;I34&amp;")"</f>
        <v>Починковское(66633101)</v>
      </c>
      <c r="P34" s="1086"/>
      <c r="Q34" s="1086"/>
      <c r="R34" s="356"/>
      <c r="S34" s="1086"/>
      <c r="T34" s="1086"/>
      <c r="U34" s="1086"/>
      <c r="V34" s="358"/>
      <c r="W34" s="358"/>
      <c r="X34" s="355"/>
      <c r="Y34" s="355"/>
      <c r="Z34" s="355"/>
      <c r="AA34" s="355"/>
      <c r="AB34" s="355"/>
      <c r="AC34" s="355"/>
    </row>
    <row r="35" spans="1:29" ht="15" customHeight="1">
      <c r="A35" s="23935"/>
      <c r="B35" s="1086"/>
      <c r="C35" s="348"/>
      <c r="D35" s="731"/>
      <c r="E35" s="357"/>
      <c r="F35" s="114"/>
      <c r="G35" s="351" t="s">
        <v>94</v>
      </c>
      <c r="H35" s="124"/>
      <c r="I35" s="360"/>
      <c r="J35" s="1562"/>
      <c r="K35" s="1562"/>
      <c r="L35" s="1562"/>
      <c r="M35" s="1562"/>
      <c r="O35" s="1562"/>
      <c r="P35" s="1086"/>
      <c r="Q35" s="1086"/>
      <c r="R35" s="356"/>
      <c r="S35" s="1086"/>
      <c r="T35" s="1086"/>
      <c r="U35" s="1086"/>
      <c r="V35" s="358"/>
      <c r="W35" s="358"/>
      <c r="X35" s="355"/>
      <c r="Y35" s="355"/>
      <c r="Z35" s="355"/>
      <c r="AA35" s="355"/>
      <c r="AB35" s="355"/>
      <c r="AC35" s="355"/>
    </row>
    <row r="36" spans="1:29" ht="15" customHeight="1">
      <c r="A36" s="23935" t="s">
        <v>128</v>
      </c>
      <c r="B36" s="1086"/>
      <c r="C36" s="731" t="s">
        <v>96</v>
      </c>
      <c r="D36" s="1716"/>
      <c r="E36" s="1703" t="str">
        <f>A36</f>
        <v>9</v>
      </c>
      <c r="F36" s="734" t="s">
        <v>129</v>
      </c>
      <c r="G36" s="476" t="str">
        <f>"Территория "&amp;E36</f>
        <v>Территория 9</v>
      </c>
      <c r="H36" s="722"/>
      <c r="I36" s="722"/>
      <c r="J36" s="719"/>
      <c r="N36" s="162"/>
      <c r="T36" s="1717"/>
      <c r="U36" s="1717"/>
      <c r="V36" s="1717"/>
      <c r="W36" s="1717"/>
      <c r="X36" s="1717"/>
      <c r="Y36" s="1717"/>
      <c r="Z36" s="1717"/>
      <c r="AA36" s="1717"/>
      <c r="AB36" s="1717"/>
      <c r="AC36" s="1717"/>
    </row>
    <row r="37" spans="1:29" ht="15" customHeight="1">
      <c r="A37" s="23935"/>
      <c r="B37" s="1086">
        <v>1</v>
      </c>
      <c r="C37" s="1086"/>
      <c r="D37" s="730"/>
      <c r="E37" s="1711" t="str">
        <f>A36&amp;"."&amp;B37</f>
        <v>9.1</v>
      </c>
      <c r="F37" s="733" t="s">
        <v>130</v>
      </c>
      <c r="G37" s="723" t="s">
        <v>125</v>
      </c>
      <c r="H37" s="723" t="s">
        <v>131</v>
      </c>
      <c r="I37" s="721" t="s">
        <v>132</v>
      </c>
      <c r="K37" s="1562"/>
      <c r="L37" s="1562"/>
      <c r="M37" s="1550" t="str">
        <f t="array" ref="M37">IF(ISERROR(MATCH(MID(N37,1,250),MID(note_ter,1,250),0)),"n","y")</f>
        <v>n</v>
      </c>
      <c r="N37" s="1562"/>
      <c r="O37" s="1550" t="str">
        <f>H37&amp;"("&amp;I37&amp;")"</f>
        <v>Мурыгинское(66633450)</v>
      </c>
      <c r="P37" s="1086"/>
      <c r="Q37" s="1086"/>
      <c r="R37" s="356"/>
      <c r="S37" s="1086"/>
      <c r="T37" s="1086"/>
      <c r="U37" s="1086"/>
      <c r="V37" s="358"/>
      <c r="W37" s="358"/>
      <c r="X37" s="355"/>
      <c r="Y37" s="355"/>
      <c r="Z37" s="355"/>
      <c r="AA37" s="355"/>
      <c r="AB37" s="355"/>
      <c r="AC37" s="355"/>
    </row>
    <row r="38" spans="1:29" ht="15" customHeight="1">
      <c r="A38" s="23935"/>
      <c r="B38" s="1086"/>
      <c r="C38" s="348"/>
      <c r="D38" s="731"/>
      <c r="E38" s="357"/>
      <c r="F38" s="114"/>
      <c r="G38" s="351" t="s">
        <v>94</v>
      </c>
      <c r="H38" s="124"/>
      <c r="I38" s="360"/>
      <c r="J38" s="1562"/>
      <c r="K38" s="1562"/>
      <c r="L38" s="1562"/>
      <c r="M38" s="1562"/>
      <c r="O38" s="1562"/>
      <c r="P38" s="1086"/>
      <c r="Q38" s="1086"/>
      <c r="R38" s="356"/>
      <c r="S38" s="1086"/>
      <c r="T38" s="1086"/>
      <c r="U38" s="1086"/>
      <c r="V38" s="358"/>
      <c r="W38" s="358"/>
      <c r="X38" s="355"/>
      <c r="Y38" s="355"/>
      <c r="Z38" s="355"/>
      <c r="AA38" s="355"/>
      <c r="AB38" s="355"/>
      <c r="AC38" s="355"/>
    </row>
    <row r="39" spans="1:29" ht="15" customHeight="1">
      <c r="A39" s="23935" t="s">
        <v>133</v>
      </c>
      <c r="B39" s="1086"/>
      <c r="C39" s="731" t="s">
        <v>96</v>
      </c>
      <c r="D39" s="1716"/>
      <c r="E39" s="1703" t="str">
        <f>A39</f>
        <v>10</v>
      </c>
      <c r="F39" s="734" t="s">
        <v>134</v>
      </c>
      <c r="G39" s="476" t="str">
        <f>"Территория "&amp;E39</f>
        <v>Территория 10</v>
      </c>
      <c r="H39" s="722"/>
      <c r="I39" s="722"/>
      <c r="J39" s="719"/>
      <c r="N39" s="162"/>
      <c r="T39" s="1717"/>
      <c r="U39" s="1717"/>
      <c r="V39" s="1717"/>
      <c r="W39" s="1717"/>
      <c r="X39" s="1717"/>
      <c r="Y39" s="1717"/>
      <c r="Z39" s="1717"/>
      <c r="AA39" s="1717"/>
      <c r="AB39" s="1717"/>
      <c r="AC39" s="1717"/>
    </row>
    <row r="40" spans="1:29" ht="15" customHeight="1">
      <c r="A40" s="23935"/>
      <c r="B40" s="1086">
        <v>1</v>
      </c>
      <c r="C40" s="1086"/>
      <c r="D40" s="730"/>
      <c r="E40" s="1711" t="str">
        <f>A39&amp;"."&amp;B40</f>
        <v>10.1</v>
      </c>
      <c r="F40" s="733" t="s">
        <v>135</v>
      </c>
      <c r="G40" s="723" t="s">
        <v>125</v>
      </c>
      <c r="H40" s="723" t="s">
        <v>136</v>
      </c>
      <c r="I40" s="721" t="s">
        <v>137</v>
      </c>
      <c r="K40" s="1562"/>
      <c r="L40" s="1562"/>
      <c r="M40" s="1550" t="str">
        <f t="array" ref="M40">IF(ISERROR(MATCH(MID(N40,1,250),MID(note_ter,1,250),0)),"n","y")</f>
        <v>n</v>
      </c>
      <c r="N40" s="1562"/>
      <c r="O40" s="1550" t="str">
        <f>H40&amp;"("&amp;I40&amp;")"</f>
        <v>Прудковское(66633465)</v>
      </c>
      <c r="P40" s="1086"/>
      <c r="Q40" s="1086"/>
      <c r="R40" s="356"/>
      <c r="S40" s="1086"/>
      <c r="T40" s="1086"/>
      <c r="U40" s="1086"/>
      <c r="V40" s="358"/>
      <c r="W40" s="358"/>
      <c r="X40" s="355"/>
      <c r="Y40" s="355"/>
      <c r="Z40" s="355"/>
      <c r="AA40" s="355"/>
      <c r="AB40" s="355"/>
      <c r="AC40" s="355"/>
    </row>
    <row r="41" spans="1:29" ht="15" customHeight="1">
      <c r="A41" s="23935"/>
      <c r="B41" s="1086"/>
      <c r="C41" s="348"/>
      <c r="D41" s="731"/>
      <c r="E41" s="357"/>
      <c r="F41" s="114"/>
      <c r="G41" s="351" t="s">
        <v>94</v>
      </c>
      <c r="H41" s="124"/>
      <c r="I41" s="360"/>
      <c r="J41" s="1562"/>
      <c r="K41" s="1562"/>
      <c r="L41" s="1562"/>
      <c r="M41" s="1562"/>
      <c r="O41" s="1562"/>
      <c r="P41" s="1086"/>
      <c r="Q41" s="1086"/>
      <c r="R41" s="356"/>
      <c r="S41" s="1086"/>
      <c r="T41" s="1086"/>
      <c r="U41" s="1086"/>
      <c r="V41" s="358"/>
      <c r="W41" s="358"/>
      <c r="X41" s="355"/>
      <c r="Y41" s="355"/>
      <c r="Z41" s="355"/>
      <c r="AA41" s="355"/>
      <c r="AB41" s="355"/>
      <c r="AC41" s="355"/>
    </row>
    <row r="42" spans="1:29" ht="15" customHeight="1">
      <c r="A42" s="23935" t="s">
        <v>138</v>
      </c>
      <c r="B42" s="1086"/>
      <c r="C42" s="731" t="s">
        <v>96</v>
      </c>
      <c r="D42" s="1716"/>
      <c r="E42" s="1703" t="str">
        <f>A42</f>
        <v>11</v>
      </c>
      <c r="F42" s="734" t="s">
        <v>139</v>
      </c>
      <c r="G42" s="476" t="str">
        <f>"Территория "&amp;E42</f>
        <v>Территория 11</v>
      </c>
      <c r="H42" s="722"/>
      <c r="I42" s="722"/>
      <c r="J42" s="719"/>
      <c r="N42" s="162"/>
      <c r="T42" s="1717"/>
      <c r="U42" s="1717"/>
      <c r="V42" s="1717"/>
      <c r="W42" s="1717"/>
      <c r="X42" s="1717"/>
      <c r="Y42" s="1717"/>
      <c r="Z42" s="1717"/>
      <c r="AA42" s="1717"/>
      <c r="AB42" s="1717"/>
      <c r="AC42" s="1717"/>
    </row>
    <row r="43" spans="1:29" ht="15" customHeight="1">
      <c r="A43" s="23935"/>
      <c r="B43" s="1086">
        <v>1</v>
      </c>
      <c r="C43" s="1086"/>
      <c r="D43" s="730"/>
      <c r="E43" s="1711" t="str">
        <f>A42&amp;"."&amp;B43</f>
        <v>11.1</v>
      </c>
      <c r="F43" s="733" t="s">
        <v>140</v>
      </c>
      <c r="G43" s="723" t="s">
        <v>141</v>
      </c>
      <c r="H43" s="723" t="s">
        <v>142</v>
      </c>
      <c r="I43" s="721" t="s">
        <v>143</v>
      </c>
      <c r="K43" s="1562"/>
      <c r="L43" s="1562"/>
      <c r="M43" s="1550" t="str">
        <f t="array" ref="M43">IF(ISERROR(MATCH(MID(N43,1,250),MID(note_ter,1,250),0)),"n","y")</f>
        <v>n</v>
      </c>
      <c r="N43" s="1562"/>
      <c r="O43" s="1550" t="str">
        <f>H43&amp;"("&amp;I43&amp;")"</f>
        <v>Сафоновский(66641101)</v>
      </c>
      <c r="P43" s="1086"/>
      <c r="Q43" s="1086"/>
      <c r="R43" s="356"/>
      <c r="S43" s="1086"/>
      <c r="T43" s="1086"/>
      <c r="U43" s="1086"/>
      <c r="V43" s="358"/>
      <c r="W43" s="358"/>
      <c r="X43" s="355"/>
      <c r="Y43" s="355"/>
      <c r="Z43" s="355"/>
      <c r="AA43" s="355"/>
      <c r="AB43" s="355"/>
      <c r="AC43" s="355"/>
    </row>
    <row r="44" spans="1:29" ht="15" customHeight="1">
      <c r="A44" s="23935"/>
      <c r="B44" s="1292" t="s">
        <v>95</v>
      </c>
      <c r="C44" s="1292"/>
      <c r="D44" s="730" t="s">
        <v>96</v>
      </c>
      <c r="E44" s="1775" t="str">
        <f>A42&amp;"."&amp;B44</f>
        <v>11.2</v>
      </c>
      <c r="F44" s="1780" t="s">
        <v>144</v>
      </c>
      <c r="G44" s="1784" t="s">
        <v>141</v>
      </c>
      <c r="H44" s="1784" t="s">
        <v>145</v>
      </c>
      <c r="I44" s="1782" t="s">
        <v>146</v>
      </c>
      <c r="K44" s="1562"/>
      <c r="L44" s="1562"/>
      <c r="M44" s="1550" t="str">
        <f t="array" ref="M44">IF(ISERROR(MATCH(MID(N44,1,250),MID(note_ter,1,250),0)),"n","y")</f>
        <v>n</v>
      </c>
      <c r="N44" s="1562"/>
      <c r="O44" s="1550" t="str">
        <f>H44&amp;"("&amp;I44&amp;")"</f>
        <v>Беленинское(66641415)</v>
      </c>
      <c r="P44" s="1292"/>
      <c r="Q44" s="1292"/>
      <c r="R44" s="356"/>
      <c r="S44" s="1292"/>
      <c r="T44" s="1292"/>
      <c r="U44" s="1292"/>
      <c r="V44" s="763"/>
      <c r="W44" s="763"/>
      <c r="X44" s="563"/>
      <c r="Y44" s="563"/>
      <c r="Z44" s="563"/>
      <c r="AA44" s="563"/>
      <c r="AB44" s="563"/>
      <c r="AC44" s="563"/>
    </row>
    <row r="45" spans="1:29" ht="15" customHeight="1">
      <c r="A45" s="23935"/>
      <c r="B45" s="1086"/>
      <c r="C45" s="348"/>
      <c r="D45" s="731"/>
      <c r="E45" s="357"/>
      <c r="F45" s="114"/>
      <c r="G45" s="351" t="s">
        <v>94</v>
      </c>
      <c r="H45" s="124"/>
      <c r="I45" s="360"/>
      <c r="J45" s="1562"/>
      <c r="K45" s="1562"/>
      <c r="L45" s="1562"/>
      <c r="M45" s="1562"/>
      <c r="O45" s="1562"/>
      <c r="P45" s="1086"/>
      <c r="Q45" s="1086"/>
      <c r="R45" s="356"/>
      <c r="S45" s="1086"/>
      <c r="T45" s="1086"/>
      <c r="U45" s="1086"/>
      <c r="V45" s="358"/>
      <c r="W45" s="358"/>
      <c r="X45" s="355"/>
      <c r="Y45" s="355"/>
      <c r="Z45" s="355"/>
      <c r="AA45" s="355"/>
      <c r="AB45" s="355"/>
      <c r="AC45" s="355"/>
    </row>
    <row r="46" spans="1:29" ht="15" customHeight="1">
      <c r="A46" s="23935" t="s">
        <v>147</v>
      </c>
      <c r="B46" s="1086"/>
      <c r="C46" s="731" t="s">
        <v>96</v>
      </c>
      <c r="D46" s="1716"/>
      <c r="E46" s="1703" t="str">
        <f>A46</f>
        <v>12</v>
      </c>
      <c r="F46" s="734" t="s">
        <v>148</v>
      </c>
      <c r="G46" s="476" t="str">
        <f>"Территория "&amp;E46</f>
        <v>Территория 12</v>
      </c>
      <c r="H46" s="722"/>
      <c r="I46" s="722"/>
      <c r="J46" s="719"/>
      <c r="N46" s="162"/>
      <c r="T46" s="1717"/>
      <c r="U46" s="1717"/>
      <c r="V46" s="1717"/>
      <c r="W46" s="1717"/>
      <c r="X46" s="1717"/>
      <c r="Y46" s="1717"/>
      <c r="Z46" s="1717"/>
      <c r="AA46" s="1717"/>
      <c r="AB46" s="1717"/>
      <c r="AC46" s="1717"/>
    </row>
    <row r="47" spans="1:29" ht="15" customHeight="1">
      <c r="A47" s="23935"/>
      <c r="B47" s="1086">
        <v>1</v>
      </c>
      <c r="C47" s="1086"/>
      <c r="D47" s="730"/>
      <c r="E47" s="1711" t="str">
        <f>A46&amp;"."&amp;B47</f>
        <v>12.1</v>
      </c>
      <c r="F47" s="733" t="s">
        <v>140</v>
      </c>
      <c r="G47" s="723" t="s">
        <v>141</v>
      </c>
      <c r="H47" s="723" t="s">
        <v>142</v>
      </c>
      <c r="I47" s="721" t="s">
        <v>143</v>
      </c>
      <c r="K47" s="1562"/>
      <c r="L47" s="1562"/>
      <c r="M47" s="1550" t="str">
        <f t="array" ref="M47">IF(ISERROR(MATCH(MID(N47,1,250),MID(note_ter,1,250),0)),"n","y")</f>
        <v>n</v>
      </c>
      <c r="N47" s="1562"/>
      <c r="O47" s="1550" t="str">
        <f>H47&amp;"("&amp;I47&amp;")"</f>
        <v>Сафоновский(66641101)</v>
      </c>
      <c r="P47" s="1086"/>
      <c r="Q47" s="1086"/>
      <c r="R47" s="356"/>
      <c r="S47" s="1086"/>
      <c r="T47" s="1086"/>
      <c r="U47" s="1086"/>
      <c r="V47" s="358"/>
      <c r="W47" s="358"/>
      <c r="X47" s="355"/>
      <c r="Y47" s="355"/>
      <c r="Z47" s="355"/>
      <c r="AA47" s="355"/>
      <c r="AB47" s="355"/>
      <c r="AC47" s="355"/>
    </row>
    <row r="48" spans="1:29" ht="15" customHeight="1">
      <c r="A48" s="23935"/>
      <c r="B48" s="1086"/>
      <c r="C48" s="348"/>
      <c r="D48" s="731"/>
      <c r="E48" s="357"/>
      <c r="F48" s="114"/>
      <c r="G48" s="351" t="s">
        <v>94</v>
      </c>
      <c r="H48" s="124"/>
      <c r="I48" s="360"/>
      <c r="J48" s="1562"/>
      <c r="K48" s="1562"/>
      <c r="L48" s="1562"/>
      <c r="M48" s="1562"/>
      <c r="O48" s="1562"/>
      <c r="P48" s="1086"/>
      <c r="Q48" s="1086"/>
      <c r="R48" s="356"/>
      <c r="S48" s="1086"/>
      <c r="T48" s="1086"/>
      <c r="U48" s="1086"/>
      <c r="V48" s="358"/>
      <c r="W48" s="358"/>
      <c r="X48" s="355"/>
      <c r="Y48" s="355"/>
      <c r="Z48" s="355"/>
      <c r="AA48" s="355"/>
      <c r="AB48" s="355"/>
      <c r="AC48" s="355"/>
    </row>
    <row r="49" spans="1:29" ht="15" customHeight="1">
      <c r="A49" s="23935" t="s">
        <v>101</v>
      </c>
      <c r="B49" s="1086"/>
      <c r="C49" s="731" t="s">
        <v>96</v>
      </c>
      <c r="D49" s="1716"/>
      <c r="E49" s="1703" t="str">
        <f>A49</f>
        <v>13</v>
      </c>
      <c r="F49" s="734" t="s">
        <v>149</v>
      </c>
      <c r="G49" s="476" t="str">
        <f>"Территория "&amp;E49</f>
        <v>Территория 13</v>
      </c>
      <c r="H49" s="722"/>
      <c r="I49" s="722"/>
      <c r="J49" s="719"/>
      <c r="N49" s="162"/>
      <c r="T49" s="1717"/>
      <c r="U49" s="1717"/>
      <c r="V49" s="1717"/>
      <c r="W49" s="1717"/>
      <c r="X49" s="1717"/>
      <c r="Y49" s="1717"/>
      <c r="Z49" s="1717"/>
      <c r="AA49" s="1717"/>
      <c r="AB49" s="1717"/>
      <c r="AC49" s="1717"/>
    </row>
    <row r="50" spans="1:29" ht="15" customHeight="1">
      <c r="A50" s="23935"/>
      <c r="B50" s="1086">
        <v>1</v>
      </c>
      <c r="C50" s="1086"/>
      <c r="D50" s="730"/>
      <c r="E50" s="1711" t="str">
        <f>A49&amp;"."&amp;B50</f>
        <v>13.1</v>
      </c>
      <c r="F50" s="733" t="s">
        <v>150</v>
      </c>
      <c r="G50" s="723" t="s">
        <v>151</v>
      </c>
      <c r="H50" s="723" t="s">
        <v>152</v>
      </c>
      <c r="I50" s="721" t="s">
        <v>153</v>
      </c>
      <c r="K50" s="1562"/>
      <c r="L50" s="1562"/>
      <c r="M50" s="1550" t="str">
        <f t="array" ref="M50">IF(ISERROR(MATCH(MID(N50,1,250),MID(note_ter,1,250),0)),"n","y")</f>
        <v>n</v>
      </c>
      <c r="N50" s="1562"/>
      <c r="O50" s="1550" t="str">
        <f>H50&amp;"("&amp;I50&amp;")"</f>
        <v>Ельнинское городское поселение(66619101)</v>
      </c>
      <c r="P50" s="1086"/>
      <c r="Q50" s="1086"/>
      <c r="R50" s="356"/>
      <c r="S50" s="1086"/>
      <c r="T50" s="1086"/>
      <c r="U50" s="1086"/>
      <c r="V50" s="358"/>
      <c r="W50" s="358"/>
      <c r="X50" s="355"/>
      <c r="Y50" s="355"/>
      <c r="Z50" s="355"/>
      <c r="AA50" s="355"/>
      <c r="AB50" s="355"/>
      <c r="AC50" s="355"/>
    </row>
    <row r="51" spans="1:29" ht="15" customHeight="1">
      <c r="A51" s="23935"/>
      <c r="B51" s="1086"/>
      <c r="C51" s="348"/>
      <c r="D51" s="731"/>
      <c r="E51" s="357"/>
      <c r="F51" s="114"/>
      <c r="G51" s="351" t="s">
        <v>94</v>
      </c>
      <c r="H51" s="124"/>
      <c r="I51" s="360"/>
      <c r="J51" s="1562"/>
      <c r="K51" s="1562"/>
      <c r="L51" s="1562"/>
      <c r="M51" s="1562"/>
      <c r="O51" s="1562"/>
      <c r="P51" s="1086"/>
      <c r="Q51" s="1086"/>
      <c r="R51" s="356"/>
      <c r="S51" s="1086"/>
      <c r="T51" s="1086"/>
      <c r="U51" s="1086"/>
      <c r="V51" s="358"/>
      <c r="W51" s="358"/>
      <c r="X51" s="355"/>
      <c r="Y51" s="355"/>
      <c r="Z51" s="355"/>
      <c r="AA51" s="355"/>
      <c r="AB51" s="355"/>
      <c r="AC51" s="355"/>
    </row>
    <row r="52" spans="1:29" ht="15" customHeight="1">
      <c r="A52" s="23935" t="s">
        <v>154</v>
      </c>
      <c r="B52" s="1086"/>
      <c r="C52" s="731" t="s">
        <v>96</v>
      </c>
      <c r="D52" s="1716"/>
      <c r="E52" s="1703" t="str">
        <f>A52</f>
        <v>14</v>
      </c>
      <c r="F52" s="734" t="s">
        <v>155</v>
      </c>
      <c r="G52" s="476" t="str">
        <f>"Территория "&amp;E52</f>
        <v>Территория 14</v>
      </c>
      <c r="H52" s="722"/>
      <c r="I52" s="722"/>
      <c r="J52" s="719"/>
      <c r="N52" s="162"/>
      <c r="T52" s="1717"/>
      <c r="U52" s="1717"/>
      <c r="V52" s="1717"/>
      <c r="W52" s="1717"/>
      <c r="X52" s="1717"/>
      <c r="Y52" s="1717"/>
      <c r="Z52" s="1717"/>
      <c r="AA52" s="1717"/>
      <c r="AB52" s="1717"/>
      <c r="AC52" s="1717"/>
    </row>
    <row r="53" spans="1:29" ht="15" customHeight="1">
      <c r="A53" s="23935"/>
      <c r="B53" s="1086">
        <v>1</v>
      </c>
      <c r="C53" s="1086"/>
      <c r="D53" s="730"/>
      <c r="E53" s="1711" t="str">
        <f>A52&amp;"."&amp;B53</f>
        <v>14.1</v>
      </c>
      <c r="F53" s="733" t="s">
        <v>156</v>
      </c>
      <c r="G53" s="723" t="s">
        <v>157</v>
      </c>
      <c r="H53" s="723" t="s">
        <v>158</v>
      </c>
      <c r="I53" s="721" t="s">
        <v>159</v>
      </c>
      <c r="K53" s="1562"/>
      <c r="L53" s="1562"/>
      <c r="M53" s="1550" t="str">
        <f t="array" ref="M53">IF(ISERROR(MATCH(MID(N53,1,250),MID(note_ter,1,250),0)),"n","y")</f>
        <v>n</v>
      </c>
      <c r="N53" s="1562"/>
      <c r="O53" s="1550" t="str">
        <f>H53&amp;"("&amp;I53&amp;")"</f>
        <v>Сычевское(66646101)</v>
      </c>
      <c r="P53" s="1086"/>
      <c r="Q53" s="1086"/>
      <c r="R53" s="356"/>
      <c r="S53" s="1086"/>
      <c r="T53" s="1086"/>
      <c r="U53" s="1086"/>
      <c r="V53" s="358"/>
      <c r="W53" s="358"/>
      <c r="X53" s="355"/>
      <c r="Y53" s="355"/>
      <c r="Z53" s="355"/>
      <c r="AA53" s="355"/>
      <c r="AB53" s="355"/>
      <c r="AC53" s="355"/>
    </row>
    <row r="54" spans="1:29" ht="15" customHeight="1">
      <c r="A54" s="23935"/>
      <c r="B54" s="1086"/>
      <c r="C54" s="348"/>
      <c r="D54" s="731"/>
      <c r="E54" s="357"/>
      <c r="F54" s="114"/>
      <c r="G54" s="351" t="s">
        <v>94</v>
      </c>
      <c r="H54" s="124"/>
      <c r="I54" s="360"/>
      <c r="J54" s="1562"/>
      <c r="K54" s="1562"/>
      <c r="L54" s="1562"/>
      <c r="M54" s="1562"/>
      <c r="O54" s="1562"/>
      <c r="P54" s="1086"/>
      <c r="Q54" s="1086"/>
      <c r="R54" s="356"/>
      <c r="S54" s="1086"/>
      <c r="T54" s="1086"/>
      <c r="U54" s="1086"/>
      <c r="V54" s="358"/>
      <c r="W54" s="358"/>
      <c r="X54" s="355"/>
      <c r="Y54" s="355"/>
      <c r="Z54" s="355"/>
      <c r="AA54" s="355"/>
      <c r="AB54" s="355"/>
      <c r="AC54" s="355"/>
    </row>
    <row r="55" spans="1:29" ht="15" customHeight="1">
      <c r="A55" s="23935" t="s">
        <v>160</v>
      </c>
      <c r="B55" s="1086"/>
      <c r="C55" s="731" t="s">
        <v>96</v>
      </c>
      <c r="D55" s="1716"/>
      <c r="E55" s="1703" t="str">
        <f>A55</f>
        <v>15</v>
      </c>
      <c r="F55" s="734" t="s">
        <v>161</v>
      </c>
      <c r="G55" s="476" t="str">
        <f>"Территория "&amp;E55</f>
        <v>Территория 15</v>
      </c>
      <c r="H55" s="722"/>
      <c r="I55" s="722"/>
      <c r="J55" s="719"/>
      <c r="N55" s="162"/>
      <c r="T55" s="1717"/>
      <c r="U55" s="1717"/>
      <c r="V55" s="1717"/>
      <c r="W55" s="1717"/>
      <c r="X55" s="1717"/>
      <c r="Y55" s="1717"/>
      <c r="Z55" s="1717"/>
      <c r="AA55" s="1717"/>
      <c r="AB55" s="1717"/>
      <c r="AC55" s="1717"/>
    </row>
    <row r="56" spans="1:29" ht="15" customHeight="1">
      <c r="A56" s="23935"/>
      <c r="B56" s="1086">
        <v>1</v>
      </c>
      <c r="C56" s="1086"/>
      <c r="D56" s="730"/>
      <c r="E56" s="1711" t="str">
        <f>A55&amp;"."&amp;B56</f>
        <v>15.1</v>
      </c>
      <c r="F56" s="733" t="s">
        <v>162</v>
      </c>
      <c r="G56" s="723" t="s">
        <v>163</v>
      </c>
      <c r="H56" s="723" t="s">
        <v>164</v>
      </c>
      <c r="I56" s="721" t="s">
        <v>165</v>
      </c>
      <c r="K56" s="1562"/>
      <c r="L56" s="1562"/>
      <c r="M56" s="1550" t="str">
        <f t="array" ref="M56">IF(ISERROR(MATCH(MID(N56,1,250),MID(note_ter,1,250),0)),"n","y")</f>
        <v>n</v>
      </c>
      <c r="N56" s="1562"/>
      <c r="O56" s="1550" t="str">
        <f>H56&amp;"("&amp;I56&amp;")"</f>
        <v>Холм-Жирковское(66654151)</v>
      </c>
      <c r="P56" s="1086"/>
      <c r="Q56" s="1086"/>
      <c r="R56" s="356"/>
      <c r="S56" s="1086"/>
      <c r="T56" s="1086"/>
      <c r="U56" s="1086"/>
      <c r="V56" s="358"/>
      <c r="W56" s="358"/>
      <c r="X56" s="355"/>
      <c r="Y56" s="355"/>
      <c r="Z56" s="355"/>
      <c r="AA56" s="355"/>
      <c r="AB56" s="355"/>
      <c r="AC56" s="355"/>
    </row>
    <row r="57" spans="1:29" ht="15" customHeight="1">
      <c r="A57" s="23935"/>
      <c r="B57" s="1086"/>
      <c r="C57" s="348"/>
      <c r="D57" s="731"/>
      <c r="E57" s="357"/>
      <c r="F57" s="114"/>
      <c r="G57" s="351" t="s">
        <v>94</v>
      </c>
      <c r="H57" s="124"/>
      <c r="I57" s="360"/>
      <c r="J57" s="1562"/>
      <c r="K57" s="1562"/>
      <c r="L57" s="1562"/>
      <c r="M57" s="1562"/>
      <c r="O57" s="1562"/>
      <c r="P57" s="1086"/>
      <c r="Q57" s="1086"/>
      <c r="R57" s="356"/>
      <c r="S57" s="1086"/>
      <c r="T57" s="1086"/>
      <c r="U57" s="1086"/>
      <c r="V57" s="358"/>
      <c r="W57" s="358"/>
      <c r="X57" s="355"/>
      <c r="Y57" s="355"/>
      <c r="Z57" s="355"/>
      <c r="AA57" s="355"/>
      <c r="AB57" s="355"/>
      <c r="AC57" s="355"/>
    </row>
    <row r="58" spans="1:29" ht="15" customHeight="1">
      <c r="A58" s="23935" t="s">
        <v>105</v>
      </c>
      <c r="B58" s="1086"/>
      <c r="C58" s="731" t="s">
        <v>96</v>
      </c>
      <c r="D58" s="1716"/>
      <c r="E58" s="1703" t="str">
        <f>A58</f>
        <v>16</v>
      </c>
      <c r="F58" s="734" t="s">
        <v>166</v>
      </c>
      <c r="G58" s="476" t="str">
        <f>"Территория "&amp;E58</f>
        <v>Территория 16</v>
      </c>
      <c r="H58" s="722"/>
      <c r="I58" s="722"/>
      <c r="J58" s="719"/>
      <c r="N58" s="162"/>
      <c r="T58" s="1717"/>
      <c r="U58" s="1717"/>
      <c r="V58" s="1717"/>
      <c r="W58" s="1717"/>
      <c r="X58" s="1717"/>
      <c r="Y58" s="1717"/>
      <c r="Z58" s="1717"/>
      <c r="AA58" s="1717"/>
      <c r="AB58" s="1717"/>
      <c r="AC58" s="1717"/>
    </row>
    <row r="59" spans="1:29" ht="15" customHeight="1">
      <c r="A59" s="23935"/>
      <c r="B59" s="1086">
        <v>1</v>
      </c>
      <c r="C59" s="1086"/>
      <c r="D59" s="730"/>
      <c r="E59" s="1711" t="str">
        <f>A58&amp;"."&amp;B59</f>
        <v>16.1</v>
      </c>
      <c r="F59" s="733" t="s">
        <v>167</v>
      </c>
      <c r="G59" s="723" t="s">
        <v>168</v>
      </c>
      <c r="H59" s="723" t="s">
        <v>169</v>
      </c>
      <c r="I59" s="721" t="s">
        <v>170</v>
      </c>
      <c r="K59" s="1562"/>
      <c r="L59" s="1562"/>
      <c r="M59" s="1550" t="str">
        <f t="array" ref="M59">IF(ISERROR(MATCH(MID(N59,1,250),MID(note_ter,1,250),0)),"n","y")</f>
        <v>n</v>
      </c>
      <c r="N59" s="1562"/>
      <c r="O59" s="1550" t="str">
        <f>H59&amp;"("&amp;I59&amp;")"</f>
        <v>Ярцевское(66658101)</v>
      </c>
      <c r="P59" s="1086"/>
      <c r="Q59" s="1086"/>
      <c r="R59" s="356"/>
      <c r="S59" s="1086"/>
      <c r="T59" s="1086"/>
      <c r="U59" s="1086"/>
      <c r="V59" s="358"/>
      <c r="W59" s="358"/>
      <c r="X59" s="355"/>
      <c r="Y59" s="355"/>
      <c r="Z59" s="355"/>
      <c r="AA59" s="355"/>
      <c r="AB59" s="355"/>
      <c r="AC59" s="355"/>
    </row>
    <row r="60" spans="1:29" ht="15" customHeight="1">
      <c r="A60" s="23935"/>
      <c r="B60" s="1086"/>
      <c r="C60" s="348"/>
      <c r="D60" s="731"/>
      <c r="E60" s="357"/>
      <c r="F60" s="114"/>
      <c r="G60" s="351" t="s">
        <v>94</v>
      </c>
      <c r="H60" s="124"/>
      <c r="I60" s="360"/>
      <c r="J60" s="1562"/>
      <c r="K60" s="1562"/>
      <c r="L60" s="1562"/>
      <c r="M60" s="1562"/>
      <c r="O60" s="1562"/>
      <c r="P60" s="1086"/>
      <c r="Q60" s="1086"/>
      <c r="R60" s="356"/>
      <c r="S60" s="1086"/>
      <c r="T60" s="1086"/>
      <c r="U60" s="1086"/>
      <c r="V60" s="358"/>
      <c r="W60" s="358"/>
      <c r="X60" s="355"/>
      <c r="Y60" s="355"/>
      <c r="Z60" s="355"/>
      <c r="AA60" s="355"/>
      <c r="AB60" s="355"/>
      <c r="AC60" s="355"/>
    </row>
    <row r="61" spans="1:29" ht="15" customHeight="1">
      <c r="A61" s="23935" t="s">
        <v>171</v>
      </c>
      <c r="B61" s="1086"/>
      <c r="C61" s="731" t="s">
        <v>96</v>
      </c>
      <c r="D61" s="1716"/>
      <c r="E61" s="1703" t="str">
        <f>A61</f>
        <v>17</v>
      </c>
      <c r="F61" s="734" t="s">
        <v>172</v>
      </c>
      <c r="G61" s="476" t="str">
        <f>"Территория "&amp;E61</f>
        <v>Территория 17</v>
      </c>
      <c r="H61" s="722"/>
      <c r="I61" s="722"/>
      <c r="J61" s="719"/>
      <c r="N61" s="162"/>
      <c r="T61" s="1717"/>
      <c r="U61" s="1717"/>
      <c r="V61" s="1717"/>
      <c r="W61" s="1717"/>
      <c r="X61" s="1717"/>
      <c r="Y61" s="1717"/>
      <c r="Z61" s="1717"/>
      <c r="AA61" s="1717"/>
      <c r="AB61" s="1717"/>
      <c r="AC61" s="1717"/>
    </row>
    <row r="62" spans="1:29" ht="15" customHeight="1">
      <c r="A62" s="23935"/>
      <c r="B62" s="1086">
        <v>1</v>
      </c>
      <c r="C62" s="1086"/>
      <c r="D62" s="730"/>
      <c r="E62" s="1711" t="str">
        <f>A61&amp;"."&amp;B62</f>
        <v>17.1</v>
      </c>
      <c r="F62" s="733" t="s">
        <v>173</v>
      </c>
      <c r="G62" s="723" t="s">
        <v>174</v>
      </c>
      <c r="H62" s="723" t="s">
        <v>175</v>
      </c>
      <c r="I62" s="721" t="s">
        <v>176</v>
      </c>
      <c r="K62" s="1562"/>
      <c r="L62" s="1562"/>
      <c r="M62" s="1550" t="str">
        <f t="array" ref="M62">IF(ISERROR(MATCH(MID(N62,1,250),MID(note_ter,1,250),0)),"n","y")</f>
        <v>n</v>
      </c>
      <c r="N62" s="1562"/>
      <c r="O62" s="1550" t="str">
        <f>H62&amp;"("&amp;I62&amp;")"</f>
        <v>Михайловское(66614440)</v>
      </c>
      <c r="P62" s="1086"/>
      <c r="Q62" s="1086"/>
      <c r="R62" s="356"/>
      <c r="S62" s="1086"/>
      <c r="T62" s="1086"/>
      <c r="U62" s="1086"/>
      <c r="V62" s="358"/>
      <c r="W62" s="358"/>
      <c r="X62" s="355"/>
      <c r="Y62" s="355"/>
      <c r="Z62" s="355"/>
      <c r="AA62" s="355"/>
      <c r="AB62" s="355"/>
      <c r="AC62" s="355"/>
    </row>
    <row r="63" spans="1:29" ht="15" customHeight="1">
      <c r="A63" s="23935"/>
      <c r="B63" s="1086"/>
      <c r="C63" s="348"/>
      <c r="D63" s="731"/>
      <c r="E63" s="357"/>
      <c r="F63" s="114"/>
      <c r="G63" s="351" t="s">
        <v>94</v>
      </c>
      <c r="H63" s="124"/>
      <c r="I63" s="360"/>
      <c r="J63" s="1562"/>
      <c r="K63" s="1562"/>
      <c r="L63" s="1562"/>
      <c r="M63" s="1562"/>
      <c r="O63" s="1562"/>
      <c r="P63" s="1086"/>
      <c r="Q63" s="1086"/>
      <c r="R63" s="356"/>
      <c r="S63" s="1086"/>
      <c r="T63" s="1086"/>
      <c r="U63" s="1086"/>
      <c r="V63" s="358"/>
      <c r="W63" s="358"/>
      <c r="X63" s="355"/>
      <c r="Y63" s="355"/>
      <c r="Z63" s="355"/>
      <c r="AA63" s="355"/>
      <c r="AB63" s="355"/>
      <c r="AC63" s="355"/>
    </row>
    <row r="64" spans="1:29" ht="15" customHeight="1">
      <c r="A64" s="23935" t="s">
        <v>111</v>
      </c>
      <c r="B64" s="1086"/>
      <c r="C64" s="731" t="s">
        <v>96</v>
      </c>
      <c r="D64" s="1716"/>
      <c r="E64" s="1703" t="str">
        <f>A64</f>
        <v>18</v>
      </c>
      <c r="F64" s="734" t="s">
        <v>177</v>
      </c>
      <c r="G64" s="476" t="str">
        <f>"Территория "&amp;E64</f>
        <v>Территория 18</v>
      </c>
      <c r="H64" s="722"/>
      <c r="I64" s="722"/>
      <c r="J64" s="719"/>
      <c r="N64" s="162"/>
      <c r="T64" s="1717"/>
      <c r="U64" s="1717"/>
      <c r="V64" s="1717"/>
      <c r="W64" s="1717"/>
      <c r="X64" s="1717"/>
      <c r="Y64" s="1717"/>
      <c r="Z64" s="1717"/>
      <c r="AA64" s="1717"/>
      <c r="AB64" s="1717"/>
      <c r="AC64" s="1717"/>
    </row>
    <row r="65" spans="1:29" ht="15" customHeight="1">
      <c r="A65" s="23935"/>
      <c r="B65" s="1086">
        <v>1</v>
      </c>
      <c r="C65" s="1086"/>
      <c r="D65" s="730"/>
      <c r="E65" s="1711" t="str">
        <f>A64&amp;"."&amp;B65</f>
        <v>18.1</v>
      </c>
      <c r="F65" s="733" t="s">
        <v>178</v>
      </c>
      <c r="G65" s="723" t="s">
        <v>179</v>
      </c>
      <c r="H65" s="723" t="s">
        <v>180</v>
      </c>
      <c r="I65" s="721" t="s">
        <v>181</v>
      </c>
      <c r="K65" s="1562"/>
      <c r="L65" s="1562"/>
      <c r="M65" s="1550" t="str">
        <f t="array" ref="M65">IF(ISERROR(MATCH(MID(N65,1,250),MID(note_ter,1,250),0)),"n","y")</f>
        <v>n</v>
      </c>
      <c r="N65" s="1562"/>
      <c r="O65" s="1550" t="str">
        <f>H65&amp;"("&amp;I65&amp;")"</f>
        <v>Козинское(66644439)</v>
      </c>
      <c r="P65" s="1086"/>
      <c r="Q65" s="1086"/>
      <c r="R65" s="356"/>
      <c r="S65" s="1086"/>
      <c r="T65" s="1086"/>
      <c r="U65" s="1086"/>
      <c r="V65" s="358"/>
      <c r="W65" s="358"/>
      <c r="X65" s="355"/>
      <c r="Y65" s="355"/>
      <c r="Z65" s="355"/>
      <c r="AA65" s="355"/>
      <c r="AB65" s="355"/>
      <c r="AC65" s="355"/>
    </row>
    <row r="66" spans="1:29" ht="15" customHeight="1">
      <c r="A66" s="23935"/>
      <c r="B66" s="1086"/>
      <c r="C66" s="348"/>
      <c r="D66" s="731"/>
      <c r="E66" s="357"/>
      <c r="F66" s="114"/>
      <c r="G66" s="351" t="s">
        <v>94</v>
      </c>
      <c r="H66" s="124"/>
      <c r="I66" s="360"/>
      <c r="J66" s="1562"/>
      <c r="K66" s="1562"/>
      <c r="L66" s="1562"/>
      <c r="M66" s="1562"/>
      <c r="O66" s="1562"/>
      <c r="P66" s="1086"/>
      <c r="Q66" s="1086"/>
      <c r="R66" s="356"/>
      <c r="S66" s="1086"/>
      <c r="T66" s="1086"/>
      <c r="U66" s="1086"/>
      <c r="V66" s="358"/>
      <c r="W66" s="358"/>
      <c r="X66" s="355"/>
      <c r="Y66" s="355"/>
      <c r="Z66" s="355"/>
      <c r="AA66" s="355"/>
      <c r="AB66" s="355"/>
      <c r="AC66" s="355"/>
    </row>
    <row r="67" spans="1:29" ht="15" customHeight="1">
      <c r="A67" s="23935" t="s">
        <v>182</v>
      </c>
      <c r="B67" s="1086"/>
      <c r="C67" s="731" t="s">
        <v>96</v>
      </c>
      <c r="D67" s="1716"/>
      <c r="E67" s="1703" t="str">
        <f>A67</f>
        <v>19</v>
      </c>
      <c r="F67" s="734" t="s">
        <v>183</v>
      </c>
      <c r="G67" s="476" t="str">
        <f>"Территория "&amp;E67</f>
        <v>Территория 19</v>
      </c>
      <c r="H67" s="722"/>
      <c r="I67" s="722"/>
      <c r="J67" s="719"/>
      <c r="N67" s="162"/>
      <c r="T67" s="1717"/>
      <c r="U67" s="1717"/>
      <c r="V67" s="1717"/>
      <c r="W67" s="1717"/>
      <c r="X67" s="1717"/>
      <c r="Y67" s="1717"/>
      <c r="Z67" s="1717"/>
      <c r="AA67" s="1717"/>
      <c r="AB67" s="1717"/>
      <c r="AC67" s="1717"/>
    </row>
    <row r="68" spans="1:29" ht="15" customHeight="1">
      <c r="A68" s="23935"/>
      <c r="B68" s="1086">
        <v>1</v>
      </c>
      <c r="C68" s="1086"/>
      <c r="D68" s="730"/>
      <c r="E68" s="1711" t="str">
        <f>A67&amp;"."&amp;B68</f>
        <v>19.1</v>
      </c>
      <c r="F68" s="733" t="s">
        <v>184</v>
      </c>
      <c r="G68" s="723" t="s">
        <v>179</v>
      </c>
      <c r="H68" s="723" t="s">
        <v>185</v>
      </c>
      <c r="I68" s="721" t="s">
        <v>186</v>
      </c>
      <c r="K68" s="1562"/>
      <c r="L68" s="1562"/>
      <c r="M68" s="1550" t="str">
        <f t="array" ref="M68">IF(ISERROR(MATCH(MID(N68,1,250),MID(note_ter,1,250),0)),"n","y")</f>
        <v>n</v>
      </c>
      <c r="N68" s="1562"/>
      <c r="O68" s="1550" t="str">
        <f>H68&amp;"("&amp;I68&amp;")"</f>
        <v>Сметанинское(66644484)</v>
      </c>
      <c r="P68" s="1086"/>
      <c r="Q68" s="1086"/>
      <c r="R68" s="356"/>
      <c r="S68" s="1086"/>
      <c r="T68" s="1086"/>
      <c r="U68" s="1086"/>
      <c r="V68" s="358"/>
      <c r="W68" s="358"/>
      <c r="X68" s="355"/>
      <c r="Y68" s="355"/>
      <c r="Z68" s="355"/>
      <c r="AA68" s="355"/>
      <c r="AB68" s="355"/>
      <c r="AC68" s="355"/>
    </row>
    <row r="69" spans="1:29" ht="15" customHeight="1">
      <c r="A69" s="23935"/>
      <c r="B69" s="1086"/>
      <c r="C69" s="348"/>
      <c r="D69" s="731"/>
      <c r="E69" s="357"/>
      <c r="F69" s="114"/>
      <c r="G69" s="351" t="s">
        <v>94</v>
      </c>
      <c r="H69" s="124"/>
      <c r="I69" s="360"/>
      <c r="J69" s="1562"/>
      <c r="K69" s="1562"/>
      <c r="L69" s="1562"/>
      <c r="M69" s="1562"/>
      <c r="O69" s="1562"/>
      <c r="P69" s="1086"/>
      <c r="Q69" s="1086"/>
      <c r="R69" s="356"/>
      <c r="S69" s="1086"/>
      <c r="T69" s="1086"/>
      <c r="U69" s="1086"/>
      <c r="V69" s="358"/>
      <c r="W69" s="358"/>
      <c r="X69" s="355"/>
      <c r="Y69" s="355"/>
      <c r="Z69" s="355"/>
      <c r="AA69" s="355"/>
      <c r="AB69" s="355"/>
      <c r="AC69" s="355"/>
    </row>
    <row r="70" spans="1:29" ht="15" customHeight="1">
      <c r="A70" s="23935" t="s">
        <v>187</v>
      </c>
      <c r="B70" s="1086"/>
      <c r="C70" s="731" t="s">
        <v>96</v>
      </c>
      <c r="D70" s="1716"/>
      <c r="E70" s="1703" t="str">
        <f>A70</f>
        <v>20</v>
      </c>
      <c r="F70" s="734" t="s">
        <v>188</v>
      </c>
      <c r="G70" s="476" t="str">
        <f>"Территория "&amp;E70</f>
        <v>Территория 20</v>
      </c>
      <c r="H70" s="722"/>
      <c r="I70" s="722"/>
      <c r="J70" s="719"/>
      <c r="N70" s="162"/>
      <c r="T70" s="1717"/>
      <c r="U70" s="1717"/>
      <c r="V70" s="1717"/>
      <c r="W70" s="1717"/>
      <c r="X70" s="1717"/>
      <c r="Y70" s="1717"/>
      <c r="Z70" s="1717"/>
      <c r="AA70" s="1717"/>
      <c r="AB70" s="1717"/>
      <c r="AC70" s="1717"/>
    </row>
    <row r="71" spans="1:29" ht="15" customHeight="1">
      <c r="A71" s="23935"/>
      <c r="B71" s="1086">
        <v>1</v>
      </c>
      <c r="C71" s="1086"/>
      <c r="D71" s="730"/>
      <c r="E71" s="1711" t="str">
        <f>A70&amp;"."&amp;B71</f>
        <v>20.1</v>
      </c>
      <c r="F71" s="733" t="s">
        <v>189</v>
      </c>
      <c r="G71" s="723" t="s">
        <v>179</v>
      </c>
      <c r="H71" s="723" t="s">
        <v>190</v>
      </c>
      <c r="I71" s="721" t="s">
        <v>191</v>
      </c>
      <c r="K71" s="1562"/>
      <c r="L71" s="1562"/>
      <c r="M71" s="1550" t="str">
        <f t="array" ref="M71">IF(ISERROR(MATCH(MID(N71,1,250),MID(note_ter,1,250),0)),"n","y")</f>
        <v>n</v>
      </c>
      <c r="N71" s="1562"/>
      <c r="O71" s="1550" t="str">
        <f>H71&amp;"("&amp;I71&amp;")"</f>
        <v>Талашкинское(66644492)</v>
      </c>
      <c r="P71" s="1086"/>
      <c r="Q71" s="1086"/>
      <c r="R71" s="356"/>
      <c r="S71" s="1086"/>
      <c r="T71" s="1086"/>
      <c r="U71" s="1086"/>
      <c r="V71" s="358"/>
      <c r="W71" s="358"/>
      <c r="X71" s="355"/>
      <c r="Y71" s="355"/>
      <c r="Z71" s="355"/>
      <c r="AA71" s="355"/>
      <c r="AB71" s="355"/>
      <c r="AC71" s="355"/>
    </row>
    <row r="72" spans="1:29" ht="15" customHeight="1">
      <c r="A72" s="23935"/>
      <c r="B72" s="1086"/>
      <c r="C72" s="348"/>
      <c r="D72" s="731"/>
      <c r="E72" s="357"/>
      <c r="F72" s="114"/>
      <c r="G72" s="351" t="s">
        <v>94</v>
      </c>
      <c r="H72" s="124"/>
      <c r="I72" s="360"/>
      <c r="J72" s="1562"/>
      <c r="K72" s="1562"/>
      <c r="L72" s="1562"/>
      <c r="M72" s="1562"/>
      <c r="O72" s="1562"/>
      <c r="P72" s="1086"/>
      <c r="Q72" s="1086"/>
      <c r="R72" s="356"/>
      <c r="S72" s="1086"/>
      <c r="T72" s="1086"/>
      <c r="U72" s="1086"/>
      <c r="V72" s="358"/>
      <c r="W72" s="358"/>
      <c r="X72" s="355"/>
      <c r="Y72" s="355"/>
      <c r="Z72" s="355"/>
      <c r="AA72" s="355"/>
      <c r="AB72" s="355"/>
      <c r="AC72" s="355"/>
    </row>
    <row r="73" spans="1:29" ht="15" customHeight="1">
      <c r="A73" s="23935" t="s">
        <v>192</v>
      </c>
      <c r="B73" s="1086"/>
      <c r="C73" s="731" t="s">
        <v>96</v>
      </c>
      <c r="D73" s="1716"/>
      <c r="E73" s="1703" t="str">
        <f>A73</f>
        <v>21</v>
      </c>
      <c r="F73" s="734" t="s">
        <v>193</v>
      </c>
      <c r="G73" s="476" t="str">
        <f>"Территория "&amp;E73</f>
        <v>Территория 21</v>
      </c>
      <c r="H73" s="722"/>
      <c r="I73" s="722"/>
      <c r="J73" s="719"/>
      <c r="N73" s="162"/>
      <c r="T73" s="1717"/>
      <c r="U73" s="1717"/>
      <c r="V73" s="1717"/>
      <c r="W73" s="1717"/>
      <c r="X73" s="1717"/>
      <c r="Y73" s="1717"/>
      <c r="Z73" s="1717"/>
      <c r="AA73" s="1717"/>
      <c r="AB73" s="1717"/>
      <c r="AC73" s="1717"/>
    </row>
    <row r="74" spans="1:29" ht="15" customHeight="1">
      <c r="A74" s="23935"/>
      <c r="B74" s="1086">
        <v>1</v>
      </c>
      <c r="C74" s="1086"/>
      <c r="D74" s="730"/>
      <c r="E74" s="1711" t="str">
        <f>A73&amp;"."&amp;B74</f>
        <v>21.1</v>
      </c>
      <c r="F74" s="733" t="s">
        <v>194</v>
      </c>
      <c r="G74" s="723" t="s">
        <v>179</v>
      </c>
      <c r="H74" s="723" t="s">
        <v>195</v>
      </c>
      <c r="I74" s="721" t="s">
        <v>196</v>
      </c>
      <c r="K74" s="1562"/>
      <c r="L74" s="1562"/>
      <c r="M74" s="1550" t="str">
        <f t="array" ref="M74">IF(ISERROR(MATCH(MID(N74,1,250),MID(note_ter,1,250),0)),"n","y")</f>
        <v>n</v>
      </c>
      <c r="N74" s="1562"/>
      <c r="O74" s="1550" t="str">
        <f>H74&amp;"("&amp;I74&amp;")"</f>
        <v>Кощинское(66644445)</v>
      </c>
      <c r="P74" s="1086"/>
      <c r="Q74" s="1086"/>
      <c r="R74" s="356"/>
      <c r="S74" s="1086"/>
      <c r="T74" s="1086"/>
      <c r="U74" s="1086"/>
      <c r="V74" s="358"/>
      <c r="W74" s="358"/>
      <c r="X74" s="355"/>
      <c r="Y74" s="355"/>
      <c r="Z74" s="355"/>
      <c r="AA74" s="355"/>
      <c r="AB74" s="355"/>
      <c r="AC74" s="355"/>
    </row>
    <row r="75" spans="1:29" ht="15" customHeight="1">
      <c r="A75" s="23935"/>
      <c r="B75" s="1086"/>
      <c r="C75" s="348"/>
      <c r="D75" s="731"/>
      <c r="E75" s="357"/>
      <c r="F75" s="114"/>
      <c r="G75" s="351" t="s">
        <v>94</v>
      </c>
      <c r="H75" s="124"/>
      <c r="I75" s="360"/>
      <c r="J75" s="1562"/>
      <c r="K75" s="1562"/>
      <c r="L75" s="1562"/>
      <c r="M75" s="1562"/>
      <c r="O75" s="1562"/>
      <c r="P75" s="1086"/>
      <c r="Q75" s="1086"/>
      <c r="R75" s="356"/>
      <c r="S75" s="1086"/>
      <c r="T75" s="1086"/>
      <c r="U75" s="1086"/>
      <c r="V75" s="358"/>
      <c r="W75" s="358"/>
      <c r="X75" s="355"/>
      <c r="Y75" s="355"/>
      <c r="Z75" s="355"/>
      <c r="AA75" s="355"/>
      <c r="AB75" s="355"/>
      <c r="AC75" s="355"/>
    </row>
    <row r="76" spans="1:29" ht="15" customHeight="1">
      <c r="A76" s="23935" t="s">
        <v>197</v>
      </c>
      <c r="B76" s="1086"/>
      <c r="C76" s="731" t="s">
        <v>96</v>
      </c>
      <c r="D76" s="1716"/>
      <c r="E76" s="1703" t="str">
        <f>A76</f>
        <v>22</v>
      </c>
      <c r="F76" s="734" t="s">
        <v>198</v>
      </c>
      <c r="G76" s="476" t="str">
        <f>"Территория "&amp;E76</f>
        <v>Территория 22</v>
      </c>
      <c r="H76" s="722"/>
      <c r="I76" s="722"/>
      <c r="J76" s="719"/>
      <c r="N76" s="162"/>
      <c r="T76" s="1717"/>
      <c r="U76" s="1717"/>
      <c r="V76" s="1717"/>
      <c r="W76" s="1717"/>
      <c r="X76" s="1717"/>
      <c r="Y76" s="1717"/>
      <c r="Z76" s="1717"/>
      <c r="AA76" s="1717"/>
      <c r="AB76" s="1717"/>
      <c r="AC76" s="1717"/>
    </row>
    <row r="77" spans="1:29" ht="15" customHeight="1">
      <c r="A77" s="23935"/>
      <c r="B77" s="1086">
        <v>1</v>
      </c>
      <c r="C77" s="1086"/>
      <c r="D77" s="730"/>
      <c r="E77" s="1711" t="str">
        <f>A76&amp;"."&amp;B77</f>
        <v>22.1</v>
      </c>
      <c r="F77" s="733" t="s">
        <v>199</v>
      </c>
      <c r="G77" s="723" t="s">
        <v>200</v>
      </c>
      <c r="H77" s="723" t="s">
        <v>200</v>
      </c>
      <c r="I77" s="721" t="s">
        <v>201</v>
      </c>
      <c r="K77" s="1562"/>
      <c r="L77" s="1562"/>
      <c r="M77" s="1550" t="str">
        <f t="array" ref="M77">IF(ISERROR(MATCH(MID(N77,1,250),MID(note_ter,1,250),0)),"n","y")</f>
        <v>n</v>
      </c>
      <c r="N77" s="1562"/>
      <c r="O77" s="1550" t="str">
        <f>H77&amp;"("&amp;I77&amp;")"</f>
        <v>Дорогобужский муниципальный округ(66514000)</v>
      </c>
      <c r="P77" s="1086"/>
      <c r="Q77" s="1086"/>
      <c r="R77" s="356"/>
      <c r="S77" s="1086"/>
      <c r="T77" s="1086"/>
      <c r="U77" s="1086"/>
      <c r="V77" s="358"/>
      <c r="W77" s="358"/>
      <c r="X77" s="355"/>
      <c r="Y77" s="355"/>
      <c r="Z77" s="355"/>
      <c r="AA77" s="355"/>
      <c r="AB77" s="355"/>
      <c r="AC77" s="355"/>
    </row>
    <row r="78" spans="1:29" ht="15" customHeight="1">
      <c r="A78" s="23935"/>
      <c r="B78" s="1086"/>
      <c r="C78" s="348"/>
      <c r="D78" s="731"/>
      <c r="E78" s="357"/>
      <c r="F78" s="114"/>
      <c r="G78" s="351" t="s">
        <v>94</v>
      </c>
      <c r="H78" s="124"/>
      <c r="I78" s="360"/>
      <c r="J78" s="1562"/>
      <c r="K78" s="1562"/>
      <c r="L78" s="1562"/>
      <c r="M78" s="1562"/>
      <c r="O78" s="1562"/>
      <c r="P78" s="1086"/>
      <c r="Q78" s="1086"/>
      <c r="R78" s="356"/>
      <c r="S78" s="1086"/>
      <c r="T78" s="1086"/>
      <c r="U78" s="1086"/>
      <c r="V78" s="358"/>
      <c r="W78" s="358"/>
      <c r="X78" s="355"/>
      <c r="Y78" s="355"/>
      <c r="Z78" s="355"/>
      <c r="AA78" s="355"/>
      <c r="AB78" s="355"/>
      <c r="AC78" s="355"/>
    </row>
    <row r="79" spans="1:29" ht="15" customHeight="1">
      <c r="A79" s="23935" t="s">
        <v>202</v>
      </c>
      <c r="B79" s="1086"/>
      <c r="C79" s="731" t="s">
        <v>96</v>
      </c>
      <c r="D79" s="1716"/>
      <c r="E79" s="1703" t="str">
        <f>A79</f>
        <v>23</v>
      </c>
      <c r="F79" s="734" t="s">
        <v>203</v>
      </c>
      <c r="G79" s="476" t="str">
        <f>"Территория "&amp;E79</f>
        <v>Территория 23</v>
      </c>
      <c r="H79" s="722"/>
      <c r="I79" s="722"/>
      <c r="J79" s="719"/>
      <c r="N79" s="162"/>
      <c r="T79" s="1717"/>
      <c r="U79" s="1717"/>
      <c r="V79" s="1717"/>
      <c r="W79" s="1717"/>
      <c r="X79" s="1717"/>
      <c r="Y79" s="1717"/>
      <c r="Z79" s="1717"/>
      <c r="AA79" s="1717"/>
      <c r="AB79" s="1717"/>
      <c r="AC79" s="1717"/>
    </row>
    <row r="80" spans="1:29" ht="15" customHeight="1">
      <c r="A80" s="23935"/>
      <c r="B80" s="1086">
        <v>1</v>
      </c>
      <c r="C80" s="1086"/>
      <c r="D80" s="730"/>
      <c r="E80" s="1711" t="str">
        <f>A79&amp;"."&amp;B80</f>
        <v>23.1</v>
      </c>
      <c r="F80" s="733" t="s">
        <v>204</v>
      </c>
      <c r="G80" s="723" t="s">
        <v>205</v>
      </c>
      <c r="H80" s="723" t="s">
        <v>205</v>
      </c>
      <c r="I80" s="721" t="s">
        <v>206</v>
      </c>
      <c r="K80" s="1562"/>
      <c r="L80" s="1562"/>
      <c r="M80" s="1550" t="str">
        <f t="array" ref="M80">IF(ISERROR(MATCH(MID(N80,1,250),MID(note_ter,1,250),0)),"n","y")</f>
        <v>n</v>
      </c>
      <c r="N80" s="1562"/>
      <c r="O80" s="1550" t="str">
        <f>H80&amp;"("&amp;I80&amp;")"</f>
        <v>Краснинский муниципальный округ(66524000)</v>
      </c>
      <c r="P80" s="1086"/>
      <c r="Q80" s="1086"/>
      <c r="R80" s="356"/>
      <c r="S80" s="1086"/>
      <c r="T80" s="1086"/>
      <c r="U80" s="1086"/>
      <c r="V80" s="358"/>
      <c r="W80" s="358"/>
      <c r="X80" s="355"/>
      <c r="Y80" s="355"/>
      <c r="Z80" s="355"/>
      <c r="AA80" s="355"/>
      <c r="AB80" s="355"/>
      <c r="AC80" s="355"/>
    </row>
    <row r="81" spans="1:29" ht="15" customHeight="1">
      <c r="A81" s="23935"/>
      <c r="B81" s="1086"/>
      <c r="C81" s="348"/>
      <c r="D81" s="731"/>
      <c r="E81" s="357"/>
      <c r="F81" s="114"/>
      <c r="G81" s="351" t="s">
        <v>94</v>
      </c>
      <c r="H81" s="124"/>
      <c r="I81" s="360"/>
      <c r="J81" s="1562"/>
      <c r="K81" s="1562"/>
      <c r="L81" s="1562"/>
      <c r="M81" s="1562"/>
      <c r="O81" s="1562"/>
      <c r="P81" s="1086"/>
      <c r="Q81" s="1086"/>
      <c r="R81" s="356"/>
      <c r="S81" s="1086"/>
      <c r="T81" s="1086"/>
      <c r="U81" s="1086"/>
      <c r="V81" s="358"/>
      <c r="W81" s="358"/>
      <c r="X81" s="355"/>
      <c r="Y81" s="355"/>
      <c r="Z81" s="355"/>
      <c r="AA81" s="355"/>
      <c r="AB81" s="355"/>
      <c r="AC81" s="355"/>
    </row>
    <row r="82" spans="1:29" ht="15" customHeight="1">
      <c r="A82" s="23935" t="s">
        <v>207</v>
      </c>
      <c r="B82" s="1086"/>
      <c r="C82" s="731" t="s">
        <v>96</v>
      </c>
      <c r="D82" s="1716"/>
      <c r="E82" s="1703" t="str">
        <f>A82</f>
        <v>24</v>
      </c>
      <c r="F82" s="734" t="s">
        <v>208</v>
      </c>
      <c r="G82" s="476" t="str">
        <f>"Территория "&amp;E82</f>
        <v>Территория 24</v>
      </c>
      <c r="H82" s="722"/>
      <c r="I82" s="722"/>
      <c r="J82" s="719"/>
      <c r="N82" s="162"/>
      <c r="T82" s="1717"/>
      <c r="U82" s="1717"/>
      <c r="V82" s="1717"/>
      <c r="W82" s="1717"/>
      <c r="X82" s="1717"/>
      <c r="Y82" s="1717"/>
      <c r="Z82" s="1717"/>
      <c r="AA82" s="1717"/>
      <c r="AB82" s="1717"/>
      <c r="AC82" s="1717"/>
    </row>
    <row r="83" spans="1:29" ht="15" customHeight="1">
      <c r="A83" s="23935"/>
      <c r="B83" s="1086">
        <v>1</v>
      </c>
      <c r="C83" s="1086"/>
      <c r="D83" s="730"/>
      <c r="E83" s="1711" t="str">
        <f>A82&amp;"."&amp;B83</f>
        <v>24.1</v>
      </c>
      <c r="F83" s="733" t="s">
        <v>209</v>
      </c>
      <c r="G83" s="723" t="s">
        <v>210</v>
      </c>
      <c r="H83" s="723" t="s">
        <v>210</v>
      </c>
      <c r="I83" s="721" t="s">
        <v>211</v>
      </c>
      <c r="K83" s="1562"/>
      <c r="L83" s="1562"/>
      <c r="M83" s="1550" t="str">
        <f t="array" ref="M83">IF(ISERROR(MATCH(MID(N83,1,250),MID(note_ter,1,250),0)),"n","y")</f>
        <v>n</v>
      </c>
      <c r="N83" s="1562"/>
      <c r="O83" s="1550" t="str">
        <f>H83&amp;"("&amp;I83&amp;")"</f>
        <v>Шумячский муниципальный округ(66556000)</v>
      </c>
      <c r="P83" s="1086"/>
      <c r="Q83" s="1086"/>
      <c r="R83" s="356"/>
      <c r="S83" s="1086"/>
      <c r="T83" s="1086"/>
      <c r="U83" s="1086"/>
      <c r="V83" s="358"/>
      <c r="W83" s="358"/>
      <c r="X83" s="355"/>
      <c r="Y83" s="355"/>
      <c r="Z83" s="355"/>
      <c r="AA83" s="355"/>
      <c r="AB83" s="355"/>
      <c r="AC83" s="355"/>
    </row>
    <row r="84" spans="1:29" ht="15" customHeight="1">
      <c r="A84" s="23935"/>
      <c r="B84" s="1086"/>
      <c r="C84" s="348"/>
      <c r="D84" s="731"/>
      <c r="E84" s="357"/>
      <c r="F84" s="114"/>
      <c r="G84" s="351" t="s">
        <v>94</v>
      </c>
      <c r="H84" s="124"/>
      <c r="I84" s="360"/>
      <c r="J84" s="1562"/>
      <c r="K84" s="1562"/>
      <c r="L84" s="1562"/>
      <c r="M84" s="1562"/>
      <c r="O84" s="1562"/>
      <c r="P84" s="1086"/>
      <c r="Q84" s="1086"/>
      <c r="R84" s="356"/>
      <c r="S84" s="1086"/>
      <c r="T84" s="1086"/>
      <c r="U84" s="1086"/>
      <c r="V84" s="358"/>
      <c r="W84" s="358"/>
      <c r="X84" s="355"/>
      <c r="Y84" s="355"/>
      <c r="Z84" s="355"/>
      <c r="AA84" s="355"/>
      <c r="AB84" s="355"/>
      <c r="AC84" s="355"/>
    </row>
    <row r="85" spans="1:29" s="1717" customFormat="1" ht="14.65" customHeight="1">
      <c r="A85" s="692"/>
      <c r="B85" s="353"/>
      <c r="C85" s="692"/>
      <c r="D85" s="712"/>
      <c r="E85" s="724"/>
      <c r="F85" s="115"/>
      <c r="G85" s="352" t="s">
        <v>212</v>
      </c>
      <c r="H85" s="115"/>
      <c r="I85" s="116"/>
      <c r="J85" s="185"/>
      <c r="K85" s="92"/>
      <c r="L85" s="92"/>
      <c r="M85" s="92"/>
      <c r="N85" s="162" t="s">
        <v>213</v>
      </c>
      <c r="O85" s="92"/>
      <c r="P85" s="161"/>
      <c r="Q85" s="161"/>
      <c r="R85" s="161"/>
      <c r="S85" s="161"/>
      <c r="AC85" s="55">
        <v>14</v>
      </c>
    </row>
    <row r="86" spans="1:29" s="1717" customFormat="1" ht="21.95" customHeight="1">
      <c r="A86" s="692"/>
      <c r="B86" s="353"/>
      <c r="C86" s="692"/>
      <c r="D86" s="102"/>
      <c r="E86" s="117"/>
      <c r="F86" s="117"/>
      <c r="G86" s="117"/>
      <c r="H86" s="117"/>
      <c r="I86" s="117"/>
      <c r="J86" s="92"/>
      <c r="K86" s="92"/>
      <c r="L86" s="92"/>
      <c r="M86" s="92"/>
      <c r="N86" s="162"/>
      <c r="O86" s="92"/>
      <c r="P86" s="161"/>
      <c r="Q86" s="161"/>
      <c r="R86" s="161"/>
      <c r="S86" s="161"/>
      <c r="AC86" s="55">
        <v>21</v>
      </c>
    </row>
    <row r="87" spans="1:29" s="1717" customFormat="1" ht="14.65" customHeight="1">
      <c r="A87" s="692"/>
      <c r="B87" s="353"/>
      <c r="C87" s="692"/>
      <c r="D87" s="102"/>
      <c r="E87" s="22"/>
      <c r="F87" s="692"/>
      <c r="G87" s="22"/>
      <c r="H87" s="22"/>
      <c r="I87" s="22"/>
      <c r="J87" s="92"/>
      <c r="K87" s="92"/>
      <c r="L87" s="92"/>
      <c r="M87" s="92"/>
      <c r="N87" s="162"/>
      <c r="O87" s="92"/>
      <c r="P87" s="161"/>
      <c r="Q87" s="161"/>
      <c r="R87" s="161"/>
      <c r="S87" s="161"/>
      <c r="AC87" s="55">
        <v>14</v>
      </c>
    </row>
    <row r="88" spans="1:29" s="1717" customFormat="1" ht="1.1499999999999999" customHeight="1">
      <c r="A88" s="692"/>
      <c r="B88" s="353"/>
      <c r="C88" s="692"/>
      <c r="D88" s="102"/>
      <c r="E88" s="22"/>
      <c r="F88" s="692"/>
      <c r="G88" s="22"/>
      <c r="H88" s="22"/>
      <c r="I88" s="22"/>
      <c r="J88" s="92"/>
      <c r="K88" s="92"/>
      <c r="L88" s="92"/>
      <c r="M88" s="92"/>
      <c r="N88" s="162"/>
      <c r="O88" s="92"/>
      <c r="P88" s="161"/>
      <c r="Q88" s="161"/>
      <c r="R88" s="161"/>
      <c r="S88" s="161"/>
      <c r="AC88" s="55">
        <v>1</v>
      </c>
    </row>
    <row r="89" spans="1:29" s="993" customFormat="1" ht="10.5" customHeight="1">
      <c r="B89" s="764"/>
      <c r="D89" s="119"/>
      <c r="J89" s="92"/>
      <c r="K89" s="92"/>
      <c r="L89" s="92"/>
      <c r="M89" s="92"/>
      <c r="N89" s="162"/>
      <c r="O89" s="92"/>
      <c r="P89" s="161"/>
      <c r="Q89" s="161"/>
      <c r="R89" s="161"/>
      <c r="S89" s="161"/>
      <c r="AC89" s="118">
        <v>10</v>
      </c>
    </row>
    <row r="90" spans="1:29" s="993" customFormat="1" ht="10.5" customHeight="1">
      <c r="B90" s="764"/>
      <c r="D90" s="119"/>
      <c r="J90" s="92"/>
      <c r="K90" s="92"/>
      <c r="L90" s="92"/>
      <c r="M90" s="92"/>
      <c r="N90" s="162"/>
      <c r="O90" s="92"/>
      <c r="P90" s="161"/>
      <c r="Q90" s="161"/>
      <c r="R90" s="161"/>
      <c r="S90" s="161"/>
      <c r="AC90" s="118">
        <v>10</v>
      </c>
    </row>
    <row r="91" spans="1:29" ht="14.65" customHeight="1">
      <c r="AC91" s="22">
        <v>14</v>
      </c>
    </row>
    <row r="92" spans="1:29" ht="14.65" customHeight="1">
      <c r="AC92" s="22">
        <v>14</v>
      </c>
    </row>
    <row r="93" spans="1:29" ht="14.65" customHeight="1">
      <c r="AC93" s="22">
        <v>14</v>
      </c>
    </row>
    <row r="94" spans="1:29" ht="14.65" customHeight="1">
      <c r="H94" s="3"/>
      <c r="AC94" s="22">
        <v>14</v>
      </c>
    </row>
    <row r="95" spans="1:29" ht="14.65" customHeight="1">
      <c r="AC95" s="22">
        <v>14</v>
      </c>
    </row>
    <row r="96" spans="1:29" ht="14.65" customHeight="1">
      <c r="AC96" s="22">
        <v>14</v>
      </c>
    </row>
    <row r="97" spans="1:29" ht="14.65" customHeight="1">
      <c r="AC97" s="22">
        <v>14</v>
      </c>
    </row>
    <row r="98" spans="1:29" ht="14.65" customHeight="1">
      <c r="J98" s="22"/>
      <c r="K98" s="22"/>
      <c r="L98" s="22"/>
      <c r="AC98" s="22">
        <v>14</v>
      </c>
    </row>
    <row r="99" spans="1:29" ht="22.5" hidden="1" customHeight="1">
      <c r="A99" s="692" t="s">
        <v>73</v>
      </c>
      <c r="B99" s="353">
        <v>0</v>
      </c>
      <c r="C99" s="692">
        <v>3</v>
      </c>
      <c r="D99" s="102">
        <v>3</v>
      </c>
      <c r="E99" s="22">
        <v>6</v>
      </c>
      <c r="F99" s="692">
        <v>0</v>
      </c>
      <c r="G99" s="22">
        <v>46</v>
      </c>
      <c r="H99" s="22">
        <v>42</v>
      </c>
      <c r="I99" s="22">
        <v>14</v>
      </c>
      <c r="J99" s="92">
        <v>3</v>
      </c>
      <c r="K99" s="92">
        <v>0</v>
      </c>
      <c r="L99" s="92">
        <v>0</v>
      </c>
      <c r="M99" s="92">
        <v>0</v>
      </c>
      <c r="N99" s="162">
        <v>0</v>
      </c>
      <c r="O99" s="92">
        <v>0</v>
      </c>
      <c r="P99" s="161">
        <v>0</v>
      </c>
      <c r="Q99" s="161">
        <v>0</v>
      </c>
      <c r="R99" s="161">
        <v>0</v>
      </c>
      <c r="S99" s="161">
        <v>0</v>
      </c>
      <c r="T99" s="22">
        <v>0</v>
      </c>
      <c r="U99" s="22">
        <v>0</v>
      </c>
      <c r="V99" s="22">
        <v>0</v>
      </c>
      <c r="W99" s="22">
        <v>0</v>
      </c>
      <c r="X99" s="22">
        <v>0</v>
      </c>
      <c r="Y99" s="22">
        <v>0</v>
      </c>
      <c r="Z99" s="22">
        <v>0</v>
      </c>
      <c r="AA99" s="22">
        <v>0</v>
      </c>
      <c r="AB99" s="22">
        <v>8</v>
      </c>
      <c r="AC99" s="22">
        <v>23</v>
      </c>
    </row>
  </sheetData>
  <sheetProtection formatColumns="0" formatRows="0" insertRows="0" deleteColumns="0" deleteRows="0" sort="0" autoFilter="0"/>
  <mergeCells count="27">
    <mergeCell ref="A79:A81"/>
    <mergeCell ref="A82:A84"/>
    <mergeCell ref="A64:A66"/>
    <mergeCell ref="A67:A69"/>
    <mergeCell ref="A70:A72"/>
    <mergeCell ref="A73:A75"/>
    <mergeCell ref="A76:A78"/>
    <mergeCell ref="A49:A51"/>
    <mergeCell ref="A52:A54"/>
    <mergeCell ref="A55:A57"/>
    <mergeCell ref="A58:A60"/>
    <mergeCell ref="A61:A63"/>
    <mergeCell ref="A33:A35"/>
    <mergeCell ref="A36:A38"/>
    <mergeCell ref="A39:A41"/>
    <mergeCell ref="A42:A45"/>
    <mergeCell ref="A46:A48"/>
    <mergeCell ref="A18:A20"/>
    <mergeCell ref="A21:A23"/>
    <mergeCell ref="A24:A26"/>
    <mergeCell ref="A27:A29"/>
    <mergeCell ref="A30:A32"/>
    <mergeCell ref="A12:A14"/>
    <mergeCell ref="E4:I4"/>
    <mergeCell ref="E8:G8"/>
    <mergeCell ref="H8:I8"/>
    <mergeCell ref="A15:A17"/>
  </mergeCells>
  <dataValidations count="24">
    <dataValidation type="textLength" operator="lessThanOrEqual" allowBlank="1" showInputMessage="1" showErrorMessage="1" errorTitle="Ошибка" error="Допускается ввод не более 900 символов!" sqref="G82">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46">
      <formula1>900</formula1>
    </dataValidation>
    <dataValidation type="textLength" operator="lessThanOrEqual" allowBlank="1" showInputMessage="1" showErrorMessage="1" errorTitle="Ошибка" error="Допускается ввод не более 900 символов!" sqref="G49">
      <formula1>900</formula1>
    </dataValidation>
    <dataValidation type="textLength" operator="lessThanOrEqual" allowBlank="1" showInputMessage="1" showErrorMessage="1" errorTitle="Ошибка" error="Допускается ввод не более 900 символов!" sqref="G52">
      <formula1>900</formula1>
    </dataValidation>
    <dataValidation type="textLength" operator="lessThanOrEqual" allowBlank="1" showInputMessage="1" showErrorMessage="1" errorTitle="Ошибка" error="Допускается ввод не более 900 символов!" sqref="G55">
      <formula1>900</formula1>
    </dataValidation>
    <dataValidation type="textLength" operator="lessThanOrEqual" allowBlank="1" showInputMessage="1" showErrorMessage="1" errorTitle="Ошибка" error="Допускается ввод не более 900 символов!" sqref="G58">
      <formula1>900</formula1>
    </dataValidation>
    <dataValidation type="textLength" operator="lessThanOrEqual" allowBlank="1" showInputMessage="1" showErrorMessage="1" errorTitle="Ошибка" error="Допускается ввод не более 900 символов!" sqref="G61">
      <formula1>900</formula1>
    </dataValidation>
    <dataValidation type="textLength" operator="lessThanOrEqual" allowBlank="1" showInputMessage="1" showErrorMessage="1" errorTitle="Ошибка" error="Допускается ввод не более 900 символов!" sqref="G64">
      <formula1>900</formula1>
    </dataValidation>
    <dataValidation type="textLength" operator="lessThanOrEqual" allowBlank="1" showInputMessage="1" showErrorMessage="1" errorTitle="Ошибка" error="Допускается ввод не более 900 символов!" sqref="G67">
      <formula1>900</formula1>
    </dataValidation>
    <dataValidation type="textLength" operator="lessThanOrEqual" allowBlank="1" showInputMessage="1" showErrorMessage="1" errorTitle="Ошибка" error="Допускается ввод не более 900 символов!" sqref="G70">
      <formula1>900</formula1>
    </dataValidation>
    <dataValidation type="textLength" operator="lessThanOrEqual" allowBlank="1" showInputMessage="1" showErrorMessage="1" errorTitle="Ошибка" error="Допускается ввод не более 900 символов!" sqref="G73">
      <formula1>900</formula1>
    </dataValidation>
    <dataValidation type="textLength" operator="lessThanOrEqual" allowBlank="1" showInputMessage="1" showErrorMessage="1" errorTitle="Ошибка" error="Допускается ввод не более 900 символов!" sqref="G76">
      <formula1>900</formula1>
    </dataValidation>
    <dataValidation type="textLength" operator="lessThanOrEqual" allowBlank="1" showInputMessage="1" showErrorMessage="1" errorTitle="Ошибка" error="Допускается ввод не более 900 символов!" sqref="G79">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v>
      </c>
    </row>
    <row r="2" spans="1:43" ht="23.25" hidden="1" customHeight="1">
      <c r="A2" s="1289"/>
      <c r="B2" s="1289"/>
      <c r="C2" s="1289"/>
      <c r="D2" s="1289"/>
      <c r="E2" s="24088">
        <v>1</v>
      </c>
      <c r="F2" s="1289"/>
      <c r="G2" s="1289"/>
      <c r="H2" s="1289"/>
      <c r="I2" s="1289"/>
      <c r="J2" s="1289"/>
      <c r="K2" s="1289"/>
      <c r="L2" s="1290"/>
      <c r="M2" s="1291"/>
      <c r="N2" s="1291"/>
      <c r="O2" s="1291"/>
      <c r="P2" s="297"/>
      <c r="Q2" s="296"/>
      <c r="R2" s="291"/>
      <c r="S2" s="1351" t="e">
        <f>INDEX(PT_DIFFERENTIATION_NUM_NTAR,MATCH(A2,PT_DIFFERENTIATION_NTAR_ID,0))</f>
        <v>#N/A</v>
      </c>
      <c r="T2" s="234" t="s">
        <v>229</v>
      </c>
      <c r="U2" s="236"/>
      <c r="V2" s="24082"/>
      <c r="W2" s="24083"/>
      <c r="X2" s="24083"/>
      <c r="Y2" s="24083"/>
      <c r="Z2" s="24083"/>
      <c r="AA2" s="24083"/>
      <c r="AB2" s="24084"/>
      <c r="AC2" s="24082" t="e">
        <f>INDEX(PT_DIFFERENTIATION_NTAR,MATCH(A2,PT_DIFFERENTIATION_NTAR_ID,0))</f>
        <v>#N/A</v>
      </c>
      <c r="AD2" s="24083"/>
      <c r="AE2" s="24083"/>
      <c r="AF2" s="24083"/>
      <c r="AG2" s="24083"/>
      <c r="AH2" s="24083"/>
      <c r="AI2" s="24083"/>
      <c r="AJ2" s="240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089"/>
      <c r="F3" s="24088">
        <v>1</v>
      </c>
      <c r="G3" s="1289"/>
      <c r="H3" s="1289"/>
      <c r="I3" s="1289"/>
      <c r="J3" s="1289"/>
      <c r="K3" s="1289"/>
      <c r="L3" s="1290"/>
      <c r="M3" s="1291"/>
      <c r="N3" s="1291"/>
      <c r="O3" s="1291"/>
      <c r="P3" s="1349"/>
      <c r="Q3" s="288"/>
      <c r="R3" s="289"/>
      <c r="S3" s="1351" t="e">
        <f>INDEX(PT_DIFFERENTIATION_NUM_TER,MATCH(B3,PT_DIFFERENTIATION_TER_ID,0))</f>
        <v>#N/A</v>
      </c>
      <c r="T3" s="244" t="s">
        <v>626</v>
      </c>
      <c r="U3" s="236"/>
      <c r="V3" s="24082"/>
      <c r="W3" s="24083"/>
      <c r="X3" s="24083"/>
      <c r="Y3" s="24083"/>
      <c r="Z3" s="24083"/>
      <c r="AA3" s="24083"/>
      <c r="AB3" s="24084"/>
      <c r="AC3" s="24082" t="e">
        <f>INDEX(PT_DIFFERENTIATION_TER,MATCH(B3,PT_DIFFERENTIATION_TER_ID,0))</f>
        <v>#N/A</v>
      </c>
      <c r="AD3" s="24083"/>
      <c r="AE3" s="24083"/>
      <c r="AF3" s="24083"/>
      <c r="AG3" s="24083"/>
      <c r="AH3" s="24083"/>
      <c r="AI3" s="24083"/>
      <c r="AJ3" s="24084"/>
      <c r="AK3" s="1184" t="s">
        <v>627</v>
      </c>
      <c r="AM3" s="436"/>
      <c r="AN3" s="436" t="str">
        <f t="shared" si="0"/>
        <v>Территория действия тарифа</v>
      </c>
      <c r="AO3" s="436"/>
      <c r="AP3" s="436"/>
      <c r="AQ3" s="1081">
        <v>0</v>
      </c>
    </row>
    <row r="4" spans="1:43" ht="23.25" hidden="1" customHeight="1">
      <c r="A4" s="1289"/>
      <c r="B4" s="1289"/>
      <c r="C4" s="1289"/>
      <c r="D4" s="1289"/>
      <c r="E4" s="24089"/>
      <c r="F4" s="24089"/>
      <c r="G4" s="24088">
        <v>1</v>
      </c>
      <c r="H4" s="1289"/>
      <c r="I4" s="1289"/>
      <c r="J4" s="1289"/>
      <c r="K4" s="1289"/>
      <c r="L4" s="1290"/>
      <c r="M4" s="1291"/>
      <c r="N4" s="1291"/>
      <c r="O4" s="1291"/>
      <c r="P4" s="290"/>
      <c r="Q4" s="288"/>
      <c r="R4" s="289"/>
      <c r="S4" s="1351" t="e">
        <f>INDEX(PT_DIFFERENTIATION_NUM_CS,MATCH(C4,PT_DIFFERENTIATION_CS_ID,0))</f>
        <v>#N/A</v>
      </c>
      <c r="T4" s="245" t="s">
        <v>707</v>
      </c>
      <c r="U4" s="236"/>
      <c r="V4" s="24082"/>
      <c r="W4" s="24083"/>
      <c r="X4" s="24083"/>
      <c r="Y4" s="24083"/>
      <c r="Z4" s="24083"/>
      <c r="AA4" s="24083"/>
      <c r="AB4" s="24084"/>
      <c r="AC4" s="24082" t="e">
        <f>INDEX(PT_DIFFERENTIATION_CS,MATCH(C4,PT_DIFFERENTIATION_CS_ID,0))</f>
        <v>#N/A</v>
      </c>
      <c r="AD4" s="24083"/>
      <c r="AE4" s="24083"/>
      <c r="AF4" s="24083"/>
      <c r="AG4" s="24083"/>
      <c r="AH4" s="24083"/>
      <c r="AI4" s="24083"/>
      <c r="AJ4" s="24084"/>
      <c r="AK4" s="1184" t="s">
        <v>708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089"/>
      <c r="F5" s="24089"/>
      <c r="G5" s="24089"/>
      <c r="H5" s="24089"/>
      <c r="I5" s="24090" t="e">
        <f>S4&amp;".1"</f>
        <v>#N/A</v>
      </c>
      <c r="J5" s="1289"/>
      <c r="K5" s="1289"/>
      <c r="L5" s="1290"/>
      <c r="P5" s="24092">
        <v>1</v>
      </c>
      <c r="Q5" s="1348"/>
      <c r="R5" s="292"/>
      <c r="S5" s="1351" t="e">
        <f>$I5</f>
        <v>#N/A</v>
      </c>
      <c r="T5" s="221" t="s">
        <v>709</v>
      </c>
      <c r="U5" s="236"/>
      <c r="V5" s="24156"/>
      <c r="W5" s="24157"/>
      <c r="X5" s="24157"/>
      <c r="Y5" s="24157"/>
      <c r="Z5" s="24157"/>
      <c r="AA5" s="24157"/>
      <c r="AB5" s="24158"/>
      <c r="AC5" s="24159"/>
      <c r="AD5" s="24160"/>
      <c r="AE5" s="24160"/>
      <c r="AF5" s="24160"/>
      <c r="AG5" s="24160"/>
      <c r="AH5" s="24160"/>
      <c r="AI5" s="24160"/>
      <c r="AJ5" s="24161"/>
      <c r="AK5" s="1184" t="s">
        <v>710</v>
      </c>
      <c r="AM5" s="436"/>
      <c r="AN5" s="436" t="str">
        <f t="shared" si="0"/>
        <v>Наименование признака дифференциации</v>
      </c>
      <c r="AO5" s="436"/>
      <c r="AP5" s="436"/>
      <c r="AQ5" s="1081">
        <v>0</v>
      </c>
    </row>
    <row r="6" spans="1:43" ht="23.25" hidden="1" customHeight="1">
      <c r="A6" s="1289"/>
      <c r="B6" s="1289"/>
      <c r="C6" s="1289"/>
      <c r="D6" s="1289"/>
      <c r="E6" s="24089"/>
      <c r="F6" s="24089"/>
      <c r="G6" s="24089"/>
      <c r="H6" s="24089"/>
      <c r="I6" s="24091"/>
      <c r="J6" s="24090" t="e">
        <f>I5&amp;".1"</f>
        <v>#N/A</v>
      </c>
      <c r="K6" s="1289"/>
      <c r="L6" s="1290" t="s">
        <v>635</v>
      </c>
      <c r="P6" s="24092"/>
      <c r="Q6" s="24092">
        <v>1</v>
      </c>
      <c r="R6" s="293"/>
      <c r="S6" s="1351" t="e">
        <f>$J6</f>
        <v>#N/A</v>
      </c>
      <c r="T6" s="222" t="s">
        <v>636</v>
      </c>
      <c r="U6" s="236"/>
      <c r="V6" s="24076"/>
      <c r="W6" s="24077"/>
      <c r="X6" s="24077"/>
      <c r="Y6" s="24077"/>
      <c r="Z6" s="24077"/>
      <c r="AA6" s="24077"/>
      <c r="AB6" s="24078"/>
      <c r="AC6" s="24076"/>
      <c r="AD6" s="24077"/>
      <c r="AE6" s="24077"/>
      <c r="AF6" s="24077"/>
      <c r="AG6" s="24077"/>
      <c r="AH6" s="24077"/>
      <c r="AI6" s="24077"/>
      <c r="AJ6" s="24078"/>
      <c r="AK6" s="1233" t="s">
        <v>711</v>
      </c>
      <c r="AM6" s="436"/>
      <c r="AN6" s="436" t="str">
        <f t="shared" si="0"/>
        <v>Группа потребителей</v>
      </c>
      <c r="AO6" s="436"/>
      <c r="AP6" s="436"/>
      <c r="AQ6" s="1081">
        <v>0</v>
      </c>
    </row>
    <row r="7" spans="1:43" ht="23.25" hidden="1" customHeight="1">
      <c r="A7" s="1289"/>
      <c r="B7" s="1289"/>
      <c r="C7" s="1289"/>
      <c r="D7" s="1289"/>
      <c r="E7" s="24089"/>
      <c r="F7" s="24089"/>
      <c r="G7" s="24089"/>
      <c r="H7" s="24089"/>
      <c r="I7" s="24091"/>
      <c r="J7" s="24091"/>
      <c r="K7" s="24090" t="e">
        <f>J6&amp;".1"</f>
        <v>#N/A</v>
      </c>
      <c r="L7" s="1290"/>
      <c r="P7" s="24092"/>
      <c r="Q7" s="24092"/>
      <c r="R7" s="293">
        <v>1</v>
      </c>
      <c r="S7" s="1351" t="e">
        <f>$K7</f>
        <v>#N/A</v>
      </c>
      <c r="T7" s="1363"/>
      <c r="U7" s="236"/>
      <c r="V7" s="687"/>
      <c r="W7" s="687"/>
      <c r="X7" s="1183"/>
      <c r="Y7" s="24093"/>
      <c r="Z7" s="23957" t="s">
        <v>59</v>
      </c>
      <c r="AA7" s="24093"/>
      <c r="AB7" s="23957" t="s">
        <v>59</v>
      </c>
      <c r="AC7" s="687"/>
      <c r="AD7" s="687"/>
      <c r="AE7" s="1183"/>
      <c r="AF7" s="24093"/>
      <c r="AG7" s="23957" t="s">
        <v>59</v>
      </c>
      <c r="AH7" s="24095"/>
      <c r="AI7" s="23957" t="s">
        <v>59</v>
      </c>
      <c r="AJ7" s="1364"/>
      <c r="AK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089"/>
      <c r="F8" s="24089"/>
      <c r="G8" s="24089"/>
      <c r="H8" s="24089"/>
      <c r="I8" s="24091"/>
      <c r="J8" s="24091"/>
      <c r="K8" s="24090"/>
      <c r="L8" s="1290"/>
      <c r="P8" s="24092"/>
      <c r="Q8" s="24092"/>
      <c r="R8" s="293"/>
      <c r="S8" s="1350"/>
      <c r="T8" s="236"/>
      <c r="U8" s="236"/>
      <c r="V8" s="261"/>
      <c r="W8" s="261"/>
      <c r="X8" s="264" t="str">
        <f>Y7&amp;"-"&amp;AA7</f>
        <v>-</v>
      </c>
      <c r="Y8" s="24094"/>
      <c r="Z8" s="23957"/>
      <c r="AA8" s="24094"/>
      <c r="AB8" s="23957"/>
      <c r="AC8" s="261"/>
      <c r="AD8" s="261"/>
      <c r="AE8" s="264" t="str">
        <f>AF7&amp;"-"&amp;AH7</f>
        <v>-</v>
      </c>
      <c r="AF8" s="24094"/>
      <c r="AG8" s="23957"/>
      <c r="AH8" s="24096"/>
      <c r="AI8" s="23957"/>
      <c r="AJ8" s="1365"/>
      <c r="AK8" s="24162"/>
      <c r="AM8" s="436"/>
      <c r="AN8" s="436" t="str">
        <f t="shared" si="0"/>
        <v/>
      </c>
      <c r="AO8" s="436"/>
      <c r="AP8" s="436"/>
      <c r="AQ8" s="1081">
        <v>0</v>
      </c>
    </row>
    <row r="9" spans="1:43" ht="21" hidden="1" customHeight="1">
      <c r="A9" s="1289"/>
      <c r="B9" s="1289"/>
      <c r="C9" s="1289"/>
      <c r="D9" s="1289"/>
      <c r="E9" s="24089"/>
      <c r="F9" s="24089"/>
      <c r="G9" s="24089"/>
      <c r="H9" s="24089"/>
      <c r="I9" s="24091"/>
      <c r="J9" s="24090"/>
      <c r="K9" s="1289"/>
      <c r="L9" s="1290"/>
      <c r="P9" s="24092"/>
      <c r="Q9" s="24092"/>
      <c r="R9" s="292"/>
      <c r="S9" s="1204"/>
      <c r="T9" s="223" t="s">
        <v>712</v>
      </c>
      <c r="U9" s="303"/>
      <c r="V9" s="303"/>
      <c r="W9" s="303"/>
      <c r="X9" s="303"/>
      <c r="Y9" s="303"/>
      <c r="Z9" s="303"/>
      <c r="AA9" s="303"/>
      <c r="AB9" s="303"/>
      <c r="AC9" s="303"/>
      <c r="AD9" s="303"/>
      <c r="AE9" s="303"/>
      <c r="AF9" s="303"/>
      <c r="AG9" s="303"/>
      <c r="AH9" s="303"/>
      <c r="AI9" s="303"/>
      <c r="AJ9" s="303"/>
      <c r="AK9" s="1184" t="s">
        <v>713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089"/>
      <c r="F10" s="24089"/>
      <c r="G10" s="24089"/>
      <c r="H10" s="24089"/>
      <c r="I10" s="24090"/>
      <c r="J10" s="1289"/>
      <c r="K10" s="1289"/>
      <c r="L10" s="1290"/>
      <c r="P10" s="24092"/>
      <c r="Q10" s="1348"/>
      <c r="R10" s="292"/>
      <c r="S10" s="1204"/>
      <c r="T10" s="301" t="s">
        <v>641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089"/>
      <c r="F12" s="24088"/>
      <c r="G12" s="1240"/>
      <c r="H12" s="1240"/>
      <c r="I12" s="1240"/>
      <c r="J12" s="1240"/>
      <c r="K12" s="1240"/>
      <c r="L12" s="1352"/>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4086"/>
      <c r="AG15" s="24085" t="s">
        <v>59</v>
      </c>
      <c r="AH15" s="24086"/>
      <c r="AI15" s="24085" t="s">
        <v>59</v>
      </c>
      <c r="AQ15" s="1081">
        <v>0</v>
      </c>
    </row>
    <row r="16" spans="1:43" ht="14.25" hidden="1" customHeight="1">
      <c r="AC16" s="1286"/>
      <c r="AD16" s="1286"/>
      <c r="AE16" s="264" t="str">
        <f>AF15&amp;"-"&amp;AH15</f>
        <v>-</v>
      </c>
      <c r="AF16" s="24085"/>
      <c r="AG16" s="24085"/>
      <c r="AH16" s="24085"/>
      <c r="AI16" s="24085"/>
      <c r="AQ16" s="1081">
        <v>0</v>
      </c>
    </row>
    <row r="17" spans="1:43" ht="14.25" hidden="1" customHeight="1">
      <c r="AI17" s="263"/>
      <c r="AQ17" s="1081">
        <v>0</v>
      </c>
    </row>
    <row r="18" spans="1:43" s="1292" customFormat="1" ht="22.5" hidden="1" customHeight="1">
      <c r="L18" s="1347"/>
      <c r="M18" s="1288"/>
      <c r="N18" s="1288"/>
      <c r="O18" s="1293" t="s">
        <v>644</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645</v>
      </c>
      <c r="P20" s="1288"/>
      <c r="Q20" s="1368"/>
      <c r="R20" s="1368"/>
      <c r="S20" s="665"/>
      <c r="T20" s="1086" t="s">
        <v>646</v>
      </c>
      <c r="Z20" s="123" t="s">
        <v>647</v>
      </c>
      <c r="AB20" s="123" t="s">
        <v>648</v>
      </c>
      <c r="AC20" s="1086" t="s">
        <v>646</v>
      </c>
      <c r="AG20" s="123" t="s">
        <v>649</v>
      </c>
      <c r="AI20" s="123" t="s">
        <v>648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1169"/>
      <c r="AQ24" s="1081">
        <v>14</v>
      </c>
    </row>
    <row r="25" spans="1:4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62"/>
      <c r="AC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D27" s="24081"/>
      <c r="AE27" s="24081"/>
      <c r="AF27" s="24081"/>
      <c r="AG27" s="24081"/>
      <c r="AH27" s="24081"/>
      <c r="AI27" s="262"/>
      <c r="AJ27" s="262"/>
      <c r="AK27" s="216"/>
      <c r="AL27" s="304"/>
      <c r="AM27" s="304"/>
      <c r="AN27" s="304"/>
      <c r="AO27" s="304"/>
      <c r="AP27" s="304"/>
      <c r="AQ27" s="354">
        <v>0</v>
      </c>
    </row>
    <row r="28" spans="1:4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62"/>
      <c r="AC28" s="24080" t="str">
        <f>IF(TITLE_DATE_PR_CHANGE="",IF(TITLE_DATE_PR="","",TITLE_DATE_PR),TITLE_DATE_PR_CHANGE)</f>
        <v>20.12.2024</v>
      </c>
      <c r="AD28" s="24080"/>
      <c r="AE28" s="24080"/>
      <c r="AF28" s="24080"/>
      <c r="AG28" s="24080"/>
      <c r="AH28" s="24080"/>
      <c r="AI28" s="262"/>
      <c r="AJ28" s="262"/>
      <c r="AK28" s="216"/>
      <c r="AL28" s="304"/>
      <c r="AM28" s="304"/>
      <c r="AN28" s="304"/>
      <c r="AO28" s="304"/>
      <c r="AP28" s="304"/>
      <c r="AQ28" s="354">
        <v>0</v>
      </c>
    </row>
    <row r="29" spans="1:4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62"/>
      <c r="AC29" s="24081" t="str">
        <f>IF(TITLE_NUMBER_PR_CHANGE="",IF(TITLE_NUMBER_PR="","",TITLE_NUMBER_PR),TITLE_NUMBER_PR_CHANGE)</f>
        <v>403, 404</v>
      </c>
      <c r="AD29" s="24081"/>
      <c r="AE29" s="24081"/>
      <c r="AF29" s="24081"/>
      <c r="AG29" s="24081"/>
      <c r="AH29" s="24081"/>
      <c r="AI29" s="262"/>
      <c r="AJ29" s="262"/>
      <c r="AK29" s="216"/>
      <c r="AL29" s="304"/>
      <c r="AM29" s="304"/>
      <c r="AN29" s="304"/>
      <c r="AO29" s="304"/>
      <c r="AP29" s="304"/>
      <c r="AQ29" s="354">
        <v>0</v>
      </c>
    </row>
    <row r="30" spans="1:4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62"/>
      <c r="AC30" s="24081" t="str">
        <f>IF(TITLE_IST_PUB_CHANGE="",IF(TITLE_IST_PUB="","",TITLE_IST_PUB),TITLE_IST_PUB_CHANGE)</f>
        <v>Смоленская газета</v>
      </c>
      <c r="AD30" s="24081"/>
      <c r="AE30" s="24081"/>
      <c r="AF30" s="24081"/>
      <c r="AG30" s="24081"/>
      <c r="AH30" s="2408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62"/>
      <c r="AC32" s="24080" t="str">
        <f>IF(TITLE_DATE_PR_CHANGE="",IF(TITLE_DATE_PR="","",TITLE_DATE_PR),TITLE_DATE_PR_CHANGE)</f>
        <v>20.12.2024</v>
      </c>
      <c r="AD32" s="24080"/>
      <c r="AE32" s="24080"/>
      <c r="AF32" s="24080"/>
      <c r="AG32" s="24080"/>
      <c r="AH32" s="24080"/>
      <c r="AI32" s="262"/>
      <c r="AJ32" s="262"/>
      <c r="AK32" s="216"/>
      <c r="AL32" s="304"/>
      <c r="AM32" s="304"/>
      <c r="AN32" s="304"/>
      <c r="AO32" s="304"/>
      <c r="AP32" s="304"/>
      <c r="AQ32" s="354">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62"/>
      <c r="AC33" s="24081" t="str">
        <f>IF(TITLE_NUMBER_PR_CHANGE="",IF(TITLE_NUMBER_PR="","",TITLE_NUMBER_PR),TITLE_NUMBER_PR_CHANGE)</f>
        <v>403, 404</v>
      </c>
      <c r="AD33" s="24081"/>
      <c r="AE33" s="24081"/>
      <c r="AF33" s="24081"/>
      <c r="AG33" s="24081"/>
      <c r="AH33" s="24081"/>
      <c r="AI33" s="262"/>
      <c r="AJ33" s="262"/>
      <c r="AK33" s="216"/>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281"/>
      <c r="V34" s="262"/>
      <c r="W34" s="262"/>
      <c r="X34" s="262"/>
      <c r="Y34" s="262"/>
      <c r="Z34" s="262"/>
      <c r="AA34" s="262"/>
      <c r="AB34" s="214" t="s">
        <v>654</v>
      </c>
      <c r="AC34" s="262"/>
      <c r="AD34" s="262"/>
      <c r="AE34" s="262"/>
      <c r="AF34" s="262"/>
      <c r="AG34" s="262"/>
      <c r="AH34" s="262"/>
      <c r="AI34" s="214" t="s">
        <v>654</v>
      </c>
      <c r="AL34" s="304"/>
      <c r="AM34" s="304"/>
      <c r="AN34" s="304"/>
      <c r="AO34" s="304"/>
      <c r="AP34" s="304"/>
      <c r="AQ34" s="354">
        <v>1</v>
      </c>
    </row>
    <row r="35" spans="1:4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Q35" s="1081">
        <v>14</v>
      </c>
    </row>
    <row r="36" spans="1:43"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t="s">
        <v>530</v>
      </c>
      <c r="AQ36" s="1081">
        <v>14</v>
      </c>
    </row>
    <row r="37" spans="1:43" ht="14.65" customHeight="1">
      <c r="Q37" s="312"/>
      <c r="R37" s="312"/>
      <c r="S37" s="24101" t="s">
        <v>79</v>
      </c>
      <c r="T37" s="24050" t="s">
        <v>655</v>
      </c>
      <c r="U37" s="237"/>
      <c r="V37" s="24102" t="s">
        <v>656</v>
      </c>
      <c r="W37" s="24103"/>
      <c r="X37" s="24103"/>
      <c r="Y37" s="24103"/>
      <c r="Z37" s="24103"/>
      <c r="AA37" s="24104"/>
      <c r="AB37" s="24105" t="s">
        <v>657</v>
      </c>
      <c r="AC37" s="24102" t="s">
        <v>656</v>
      </c>
      <c r="AD37" s="24103"/>
      <c r="AE37" s="24103"/>
      <c r="AF37" s="24103"/>
      <c r="AG37" s="24103"/>
      <c r="AH37" s="24104"/>
      <c r="AI37" s="24105" t="s">
        <v>658</v>
      </c>
      <c r="AJ37" s="24108" t="s">
        <v>659</v>
      </c>
      <c r="AK37" s="23947"/>
      <c r="AQ37" s="1081">
        <v>14</v>
      </c>
    </row>
    <row r="38" spans="1:43" ht="35.65" customHeight="1">
      <c r="Q38" s="312"/>
      <c r="R38" s="312"/>
      <c r="S38" s="24101"/>
      <c r="T38" s="24050"/>
      <c r="U38" s="960"/>
      <c r="V38" s="1278" t="s">
        <v>715</v>
      </c>
      <c r="W38" s="23928" t="s">
        <v>662</v>
      </c>
      <c r="X38" s="23927"/>
      <c r="Y38" s="23928" t="s">
        <v>663</v>
      </c>
      <c r="Z38" s="23933"/>
      <c r="AA38" s="23927"/>
      <c r="AB38" s="24106"/>
      <c r="AC38" s="1278" t="s">
        <v>715</v>
      </c>
      <c r="AD38" s="23928" t="s">
        <v>662</v>
      </c>
      <c r="AE38" s="23927"/>
      <c r="AF38" s="23928" t="s">
        <v>663</v>
      </c>
      <c r="AG38" s="23933"/>
      <c r="AH38" s="23927"/>
      <c r="AI38" s="24106"/>
      <c r="AJ38" s="24109"/>
      <c r="AK38" s="23947"/>
      <c r="AQ38" s="1081">
        <v>34</v>
      </c>
    </row>
    <row r="39" spans="1:43" ht="35.65" customHeight="1">
      <c r="A39" s="1296"/>
      <c r="B39" s="1296" t="s">
        <v>241</v>
      </c>
      <c r="C39" s="1296" t="s">
        <v>242</v>
      </c>
      <c r="D39" s="1296" t="s">
        <v>243</v>
      </c>
      <c r="E39" s="1290" t="s">
        <v>664</v>
      </c>
      <c r="F39" s="1290" t="s">
        <v>665</v>
      </c>
      <c r="G39" s="1290" t="s">
        <v>666</v>
      </c>
      <c r="H39" s="1290"/>
      <c r="I39" s="1290" t="s">
        <v>716</v>
      </c>
      <c r="J39" s="1290" t="s">
        <v>669</v>
      </c>
      <c r="K39" s="1290" t="s">
        <v>717</v>
      </c>
      <c r="L39" s="1290" t="s">
        <v>645</v>
      </c>
      <c r="Q39" s="312"/>
      <c r="R39" s="312"/>
      <c r="S39" s="24101"/>
      <c r="T39" s="24050"/>
      <c r="U39" s="238"/>
      <c r="V39" s="1278" t="s">
        <v>718</v>
      </c>
      <c r="W39" s="1148" t="s">
        <v>719</v>
      </c>
      <c r="X39" s="1148" t="s">
        <v>720</v>
      </c>
      <c r="Y39" s="1283" t="s">
        <v>673</v>
      </c>
      <c r="Z39" s="24055" t="s">
        <v>674</v>
      </c>
      <c r="AA39" s="24068"/>
      <c r="AB39" s="24107"/>
      <c r="AC39" s="1278" t="s">
        <v>718</v>
      </c>
      <c r="AD39" s="1148" t="s">
        <v>719</v>
      </c>
      <c r="AE39" s="1148" t="s">
        <v>720</v>
      </c>
      <c r="AF39" s="1283" t="s">
        <v>673</v>
      </c>
      <c r="AG39" s="24055" t="s">
        <v>674</v>
      </c>
      <c r="AH39" s="24068"/>
      <c r="AI39" s="24107"/>
      <c r="AJ39" s="24110"/>
      <c r="AK39" s="23947"/>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218</v>
      </c>
      <c r="T40" s="1181" t="s">
        <v>95</v>
      </c>
      <c r="U40" s="1171" t="str">
        <f ca="1">OFFSET(U40,0,-1)</f>
        <v>2</v>
      </c>
      <c r="V40" s="1279">
        <f ca="1">OFFSET(V40,0,-1)+1</f>
        <v>3</v>
      </c>
      <c r="W40" s="1279">
        <f ca="1">OFFSET(W40,0,-1)+1</f>
        <v>4</v>
      </c>
      <c r="X40" s="1279">
        <f ca="1">OFFSET(X40,0,-1)+1</f>
        <v>5</v>
      </c>
      <c r="Y40" s="1279">
        <f ca="1">OFFSET(Y40,0,-1)+1</f>
        <v>6</v>
      </c>
      <c r="Z40" s="24099">
        <f ca="1">OFFSET(Z40,0,-1)+1</f>
        <v>7</v>
      </c>
      <c r="AA40" s="24099"/>
      <c r="AB40" s="1279">
        <f ca="1">OFFSET(AB40,0,-2)+1</f>
        <v>8</v>
      </c>
      <c r="AC40" s="1279">
        <f ca="1">OFFSET(AC40,0,-1)+1</f>
        <v>9</v>
      </c>
      <c r="AD40" s="1279">
        <f ca="1">OFFSET(AD40,0,-1)+1</f>
        <v>10</v>
      </c>
      <c r="AE40" s="1279">
        <f ca="1">OFFSET(AE40,0,-1)+1</f>
        <v>11</v>
      </c>
      <c r="AF40" s="1279">
        <f ca="1">OFFSET(AF40,0,-1)+1</f>
        <v>12</v>
      </c>
      <c r="AG40" s="24099">
        <f ca="1">OFFSET(AG40,0,-1)+1</f>
        <v>13</v>
      </c>
      <c r="AH40" s="24099"/>
      <c r="AI40" s="1279">
        <f ca="1">OFFSET(AI40,0,-2)+1</f>
        <v>14</v>
      </c>
      <c r="AJ40" s="1171">
        <f ca="1">OFFSET(AJ40,0,-1)</f>
        <v>14</v>
      </c>
      <c r="AK40" s="1279">
        <f ca="1">OFFSET(AK40,0,-1)+1</f>
        <v>15</v>
      </c>
      <c r="AL40" s="447"/>
      <c r="AM40" s="447"/>
      <c r="AN40" s="447"/>
      <c r="AO40" s="447"/>
      <c r="AP40" s="447"/>
      <c r="AQ40" s="432">
        <v>0</v>
      </c>
    </row>
    <row r="41" spans="1:43" ht="24" customHeight="1">
      <c r="A41" s="1289" t="s">
        <v>324</v>
      </c>
      <c r="B41" s="1289"/>
      <c r="C41" s="1289"/>
      <c r="D41" s="1289"/>
      <c r="E41" s="24088">
        <v>1</v>
      </c>
      <c r="F41" s="1289"/>
      <c r="G41" s="1289"/>
      <c r="H41" s="1289"/>
      <c r="I41" s="1289"/>
      <c r="J41" s="1289"/>
      <c r="K41" s="1289"/>
      <c r="L41" s="1290"/>
      <c r="M41" s="1291"/>
      <c r="N41" s="1291"/>
      <c r="O41" s="1291"/>
      <c r="P41" s="297"/>
      <c r="Q41" s="296"/>
      <c r="R41" s="291"/>
      <c r="S41" s="1284">
        <f>INDEX(PT_DIFFERENTIATION_NUM_NTAR,MATCH(A41,PT_DIFFERENTIATION_NTAR_ID,0))</f>
        <v>0</v>
      </c>
      <c r="T41" s="234" t="s">
        <v>229</v>
      </c>
      <c r="U41" s="236"/>
      <c r="V41" s="24082"/>
      <c r="W41" s="24083"/>
      <c r="X41" s="24083"/>
      <c r="Y41" s="24083"/>
      <c r="Z41" s="24083"/>
      <c r="AA41" s="24083"/>
      <c r="AB41" s="24084"/>
      <c r="AC41" s="24082" t="str">
        <f>INDEX(PT_DIFFERENTIATION_NTAR,MATCH(A41,PT_DIFFERENTIATION_NTAR_ID,0))</f>
        <v/>
      </c>
      <c r="AD41" s="24083"/>
      <c r="AE41" s="24083"/>
      <c r="AF41" s="24083"/>
      <c r="AG41" s="24083"/>
      <c r="AH41" s="24083"/>
      <c r="AI41" s="24083"/>
      <c r="AJ41" s="240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324</v>
      </c>
      <c r="B42" s="1289" t="s">
        <v>325</v>
      </c>
      <c r="C42" s="1289"/>
      <c r="D42" s="1289"/>
      <c r="E42" s="24089"/>
      <c r="F42" s="24088">
        <v>1</v>
      </c>
      <c r="G42" s="1289"/>
      <c r="H42" s="1289"/>
      <c r="I42" s="1289"/>
      <c r="J42" s="1289"/>
      <c r="K42" s="1289"/>
      <c r="L42" s="1290"/>
      <c r="M42" s="1291"/>
      <c r="N42" s="1291"/>
      <c r="O42" s="1291"/>
      <c r="P42" s="1282"/>
      <c r="Q42" s="288"/>
      <c r="R42" s="289"/>
      <c r="S42" s="1284" t="str">
        <f>INDEX(PT_DIFFERENTIATION_NUM_TER,MATCH(B42,PT_DIFFERENTIATION_TER_ID,0))</f>
        <v>.</v>
      </c>
      <c r="T42" s="244" t="s">
        <v>626</v>
      </c>
      <c r="U42" s="236"/>
      <c r="V42" s="24082"/>
      <c r="W42" s="24083"/>
      <c r="X42" s="24083"/>
      <c r="Y42" s="24083"/>
      <c r="Z42" s="24083"/>
      <c r="AA42" s="24083"/>
      <c r="AB42" s="24084"/>
      <c r="AC42" s="24082" t="str">
        <f>INDEX(PT_DIFFERENTIATION_TER,MATCH(B42,PT_DIFFERENTIATION_TER_ID,0))</f>
        <v/>
      </c>
      <c r="AD42" s="24083"/>
      <c r="AE42" s="24083"/>
      <c r="AF42" s="24083"/>
      <c r="AG42" s="24083"/>
      <c r="AH42" s="24083"/>
      <c r="AI42" s="24083"/>
      <c r="AJ42" s="24084"/>
      <c r="AK42" s="1184" t="s">
        <v>627</v>
      </c>
      <c r="AM42" s="436"/>
      <c r="AN42" s="436" t="str">
        <f t="shared" si="1"/>
        <v>Территория действия тарифа</v>
      </c>
      <c r="AO42" s="436"/>
      <c r="AP42" s="436"/>
      <c r="AQ42" s="1081">
        <v>23</v>
      </c>
    </row>
    <row r="43" spans="1:43" ht="24" customHeight="1">
      <c r="A43" s="1289" t="s">
        <v>324</v>
      </c>
      <c r="B43" s="1289" t="s">
        <v>325</v>
      </c>
      <c r="C43" s="1289" t="s">
        <v>326</v>
      </c>
      <c r="D43" s="1289"/>
      <c r="E43" s="24089"/>
      <c r="F43" s="24089"/>
      <c r="G43" s="24088">
        <v>1</v>
      </c>
      <c r="H43" s="1289"/>
      <c r="I43" s="1289"/>
      <c r="J43" s="1289"/>
      <c r="K43" s="1289"/>
      <c r="L43" s="1290"/>
      <c r="M43" s="1291"/>
      <c r="N43" s="1291"/>
      <c r="O43" s="1291"/>
      <c r="P43" s="290"/>
      <c r="Q43" s="288"/>
      <c r="R43" s="289"/>
      <c r="S43" s="1284" t="str">
        <f>INDEX(PT_DIFFERENTIATION_NUM_CS,MATCH(C43,PT_DIFFERENTIATION_CS_ID,0))</f>
        <v>..</v>
      </c>
      <c r="T43" s="245" t="s">
        <v>707</v>
      </c>
      <c r="U43" s="236"/>
      <c r="V43" s="24082"/>
      <c r="W43" s="24083"/>
      <c r="X43" s="24083"/>
      <c r="Y43" s="24083"/>
      <c r="Z43" s="24083"/>
      <c r="AA43" s="24083"/>
      <c r="AB43" s="24084"/>
      <c r="AC43" s="24082" t="str">
        <f>INDEX(PT_DIFFERENTIATION_CS,MATCH(C43,PT_DIFFERENTIATION_CS_ID,0))</f>
        <v/>
      </c>
      <c r="AD43" s="24083"/>
      <c r="AE43" s="24083"/>
      <c r="AF43" s="24083"/>
      <c r="AG43" s="24083"/>
      <c r="AH43" s="24083"/>
      <c r="AI43" s="24083"/>
      <c r="AJ43" s="24084"/>
      <c r="AK43" s="1184" t="s">
        <v>708</v>
      </c>
      <c r="AM43" s="436"/>
      <c r="AN43" s="436" t="str">
        <f t="shared" si="1"/>
        <v>Наименование централизованной системы холодного водоснабжения</v>
      </c>
      <c r="AO43" s="436"/>
      <c r="AP43" s="436"/>
      <c r="AQ43" s="1081">
        <v>23</v>
      </c>
    </row>
    <row r="44" spans="1:43" ht="24" customHeight="1">
      <c r="A44" s="1289" t="s">
        <v>324</v>
      </c>
      <c r="B44" s="1289" t="s">
        <v>325</v>
      </c>
      <c r="C44" s="1289" t="s">
        <v>326</v>
      </c>
      <c r="D44" s="1289" t="s">
        <v>721</v>
      </c>
      <c r="E44" s="24089"/>
      <c r="F44" s="24089"/>
      <c r="G44" s="24089"/>
      <c r="H44" s="24089"/>
      <c r="I44" s="24090" t="str">
        <f>S43&amp;".1"</f>
        <v>...1</v>
      </c>
      <c r="J44" s="1289"/>
      <c r="K44" s="1289"/>
      <c r="L44" s="1290"/>
      <c r="P44" s="24092">
        <v>1</v>
      </c>
      <c r="Q44" s="1280"/>
      <c r="R44" s="292"/>
      <c r="S44" s="1284" t="str">
        <f>$I44</f>
        <v>...1</v>
      </c>
      <c r="T44" s="221" t="s">
        <v>709</v>
      </c>
      <c r="U44" s="236"/>
      <c r="V44" s="24156"/>
      <c r="W44" s="24157"/>
      <c r="X44" s="24157"/>
      <c r="Y44" s="24157"/>
      <c r="Z44" s="24157"/>
      <c r="AA44" s="24157"/>
      <c r="AB44" s="24158"/>
      <c r="AC44" s="24159"/>
      <c r="AD44" s="24160"/>
      <c r="AE44" s="24160"/>
      <c r="AF44" s="24160"/>
      <c r="AG44" s="24160"/>
      <c r="AH44" s="24160"/>
      <c r="AI44" s="24160"/>
      <c r="AJ44" s="24161"/>
      <c r="AK44" s="1184" t="s">
        <v>710</v>
      </c>
      <c r="AM44" s="436"/>
      <c r="AN44" s="436" t="str">
        <f t="shared" si="1"/>
        <v>Наименование признака дифференциации</v>
      </c>
      <c r="AO44" s="436"/>
      <c r="AP44" s="436"/>
      <c r="AQ44" s="1081">
        <v>23</v>
      </c>
    </row>
    <row r="45" spans="1:43" ht="24" customHeight="1">
      <c r="A45" s="1289" t="s">
        <v>324</v>
      </c>
      <c r="B45" s="1289" t="s">
        <v>325</v>
      </c>
      <c r="C45" s="1289" t="s">
        <v>326</v>
      </c>
      <c r="D45" s="1289" t="s">
        <v>721</v>
      </c>
      <c r="E45" s="24089"/>
      <c r="F45" s="24089"/>
      <c r="G45" s="24089"/>
      <c r="H45" s="24089"/>
      <c r="I45" s="24091"/>
      <c r="J45" s="24090" t="str">
        <f>I44&amp;".1"</f>
        <v>...1.1</v>
      </c>
      <c r="K45" s="1289"/>
      <c r="L45" s="1290" t="s">
        <v>635</v>
      </c>
      <c r="P45" s="24092"/>
      <c r="Q45" s="24092">
        <v>1</v>
      </c>
      <c r="R45" s="293"/>
      <c r="S45" s="1284" t="str">
        <f>$J45</f>
        <v>...1.1</v>
      </c>
      <c r="T45" s="222" t="s">
        <v>636</v>
      </c>
      <c r="U45" s="236"/>
      <c r="V45" s="24076"/>
      <c r="W45" s="24077"/>
      <c r="X45" s="24077"/>
      <c r="Y45" s="24077"/>
      <c r="Z45" s="24077"/>
      <c r="AA45" s="24077"/>
      <c r="AB45" s="24078"/>
      <c r="AC45" s="24076"/>
      <c r="AD45" s="24077"/>
      <c r="AE45" s="24077"/>
      <c r="AF45" s="24077"/>
      <c r="AG45" s="24077"/>
      <c r="AH45" s="24077"/>
      <c r="AI45" s="24077"/>
      <c r="AJ45" s="24078"/>
      <c r="AK45" s="1233" t="s">
        <v>711</v>
      </c>
      <c r="AM45" s="436"/>
      <c r="AN45" s="436" t="str">
        <f t="shared" si="1"/>
        <v>Группа потребителей</v>
      </c>
      <c r="AO45" s="436"/>
      <c r="AP45" s="436"/>
      <c r="AQ45" s="1081">
        <v>23</v>
      </c>
    </row>
    <row r="46" spans="1:43" ht="24" customHeight="1">
      <c r="A46" s="1289" t="s">
        <v>324</v>
      </c>
      <c r="B46" s="1289" t="s">
        <v>325</v>
      </c>
      <c r="C46" s="1289" t="s">
        <v>326</v>
      </c>
      <c r="D46" s="1289" t="s">
        <v>721</v>
      </c>
      <c r="E46" s="24089"/>
      <c r="F46" s="24089"/>
      <c r="G46" s="24089"/>
      <c r="H46" s="24089"/>
      <c r="I46" s="24091"/>
      <c r="J46" s="24091"/>
      <c r="K46" s="24090" t="str">
        <f>J45&amp;".1"</f>
        <v>...1.1.1</v>
      </c>
      <c r="L46" s="1290"/>
      <c r="P46" s="24092"/>
      <c r="Q46" s="24092"/>
      <c r="R46" s="293">
        <v>1</v>
      </c>
      <c r="S46" s="1284" t="str">
        <f>$K46</f>
        <v>...1.1.1</v>
      </c>
      <c r="T46" s="1363"/>
      <c r="U46" s="236"/>
      <c r="V46" s="1286"/>
      <c r="W46" s="1286"/>
      <c r="X46" s="1287"/>
      <c r="Y46" s="24086"/>
      <c r="Z46" s="24085" t="s">
        <v>59</v>
      </c>
      <c r="AA46" s="24086"/>
      <c r="AB46" s="24085" t="s">
        <v>59</v>
      </c>
      <c r="AC46" s="687"/>
      <c r="AD46" s="687"/>
      <c r="AE46" s="1183"/>
      <c r="AF46" s="24093"/>
      <c r="AG46" s="23957" t="s">
        <v>59</v>
      </c>
      <c r="AH46" s="24095"/>
      <c r="AI46" s="23957" t="s">
        <v>6</v>
      </c>
      <c r="AJ46" s="1364"/>
      <c r="AK46"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324</v>
      </c>
      <c r="B47" s="1289" t="s">
        <v>325</v>
      </c>
      <c r="C47" s="1289" t="s">
        <v>326</v>
      </c>
      <c r="D47" s="1289" t="s">
        <v>721</v>
      </c>
      <c r="E47" s="24089"/>
      <c r="F47" s="24089"/>
      <c r="G47" s="24089"/>
      <c r="H47" s="24089"/>
      <c r="I47" s="24091"/>
      <c r="J47" s="24091"/>
      <c r="K47" s="24090"/>
      <c r="L47" s="1290"/>
      <c r="P47" s="24092"/>
      <c r="Q47" s="24092"/>
      <c r="R47" s="293"/>
      <c r="S47" s="1285"/>
      <c r="T47" s="236"/>
      <c r="U47" s="236"/>
      <c r="V47" s="1286"/>
      <c r="W47" s="1286"/>
      <c r="X47" s="264" t="str">
        <f>Y46&amp;"-"&amp;AA46</f>
        <v>-</v>
      </c>
      <c r="Y47" s="24085"/>
      <c r="Z47" s="24085"/>
      <c r="AA47" s="24085"/>
      <c r="AB47" s="24085"/>
      <c r="AC47" s="261"/>
      <c r="AD47" s="261"/>
      <c r="AE47" s="264" t="str">
        <f>AF46&amp;"-"&amp;AH46</f>
        <v>-</v>
      </c>
      <c r="AF47" s="24094"/>
      <c r="AG47" s="23957"/>
      <c r="AH47" s="24096"/>
      <c r="AI47" s="23957"/>
      <c r="AJ47" s="1365"/>
      <c r="AK47" s="24162"/>
      <c r="AM47" s="436"/>
      <c r="AN47" s="436" t="str">
        <f t="shared" si="1"/>
        <v/>
      </c>
      <c r="AO47" s="436"/>
      <c r="AP47" s="436"/>
      <c r="AQ47" s="1081">
        <v>0</v>
      </c>
    </row>
    <row r="48" spans="1:43" ht="21" customHeight="1">
      <c r="A48" s="1289" t="s">
        <v>324</v>
      </c>
      <c r="B48" s="1289" t="s">
        <v>325</v>
      </c>
      <c r="C48" s="1289" t="s">
        <v>326</v>
      </c>
      <c r="D48" s="1289" t="s">
        <v>721</v>
      </c>
      <c r="E48" s="24089"/>
      <c r="F48" s="24089"/>
      <c r="G48" s="24089"/>
      <c r="H48" s="24089"/>
      <c r="I48" s="24091"/>
      <c r="J48" s="24090"/>
      <c r="K48" s="1289"/>
      <c r="L48" s="1290"/>
      <c r="P48" s="24092"/>
      <c r="Q48" s="24092"/>
      <c r="R48" s="292"/>
      <c r="S48" s="1204"/>
      <c r="T48" s="223" t="s">
        <v>712</v>
      </c>
      <c r="U48" s="303"/>
      <c r="V48" s="303"/>
      <c r="W48" s="303"/>
      <c r="X48" s="303"/>
      <c r="Y48" s="303"/>
      <c r="Z48" s="303"/>
      <c r="AA48" s="303"/>
      <c r="AB48" s="303"/>
      <c r="AC48" s="303"/>
      <c r="AD48" s="303"/>
      <c r="AE48" s="303"/>
      <c r="AF48" s="303"/>
      <c r="AG48" s="303"/>
      <c r="AH48" s="303"/>
      <c r="AI48" s="303"/>
      <c r="AJ48" s="303"/>
      <c r="AK48" s="1184" t="s">
        <v>713</v>
      </c>
      <c r="AM48" s="436"/>
      <c r="AN48" s="436" t="str">
        <f t="shared" si="1"/>
        <v>Добавить значение признака дифференциации</v>
      </c>
      <c r="AO48" s="436"/>
      <c r="AP48" s="436"/>
      <c r="AQ48" s="1081">
        <v>20</v>
      </c>
    </row>
    <row r="49" spans="1:43" ht="21.95" customHeight="1">
      <c r="A49" s="1289" t="s">
        <v>324</v>
      </c>
      <c r="B49" s="1289" t="s">
        <v>325</v>
      </c>
      <c r="C49" s="1289" t="s">
        <v>326</v>
      </c>
      <c r="D49" s="1289" t="s">
        <v>721</v>
      </c>
      <c r="E49" s="24089"/>
      <c r="F49" s="24089"/>
      <c r="G49" s="24089"/>
      <c r="H49" s="24089"/>
      <c r="I49" s="24090"/>
      <c r="J49" s="1289"/>
      <c r="K49" s="1289"/>
      <c r="L49" s="1290"/>
      <c r="P49" s="24092"/>
      <c r="Q49" s="1280"/>
      <c r="R49" s="292"/>
      <c r="S49" s="1204"/>
      <c r="T49" s="301" t="s">
        <v>641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324</v>
      </c>
      <c r="B50" s="1289" t="s">
        <v>325</v>
      </c>
      <c r="C50" s="1289" t="s">
        <v>326</v>
      </c>
      <c r="D50" s="1289" t="s">
        <v>721</v>
      </c>
      <c r="E50" s="24089"/>
      <c r="F50" s="24089"/>
      <c r="G50" s="24089"/>
      <c r="H50" s="24088"/>
      <c r="I50" s="1289"/>
      <c r="J50" s="1289"/>
      <c r="K50" s="1289"/>
      <c r="L50" s="1290"/>
      <c r="M50" s="1291"/>
      <c r="N50" s="1291"/>
      <c r="O50" s="473"/>
      <c r="P50" s="296"/>
      <c r="Q50" s="311"/>
      <c r="R50" s="291"/>
      <c r="S50" s="1204"/>
      <c r="T50" s="308" t="s">
        <v>714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324</v>
      </c>
      <c r="B51" s="1269" t="s">
        <v>325</v>
      </c>
      <c r="C51" s="1240"/>
      <c r="D51" s="1240"/>
      <c r="E51" s="24089"/>
      <c r="F51" s="24088"/>
      <c r="G51" s="1240"/>
      <c r="H51" s="1240"/>
      <c r="I51" s="1240"/>
      <c r="J51" s="1240"/>
      <c r="K51" s="1240"/>
      <c r="L51" s="1352"/>
      <c r="M51" s="1247"/>
      <c r="N51" s="1247"/>
      <c r="P51" s="1242"/>
      <c r="Q51" s="1243"/>
      <c r="R51" s="1242"/>
      <c r="S51" s="1248"/>
      <c r="T51" s="1251" t="s">
        <v>370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324</v>
      </c>
      <c r="B52" s="1269"/>
      <c r="C52" s="1269"/>
      <c r="D52" s="1269"/>
      <c r="E52" s="24088"/>
      <c r="F52" s="1269"/>
      <c r="G52" s="1269"/>
      <c r="H52" s="1269"/>
      <c r="I52" s="1269"/>
      <c r="J52" s="1269"/>
      <c r="K52" s="1269"/>
      <c r="L52" s="1272"/>
      <c r="M52" s="1247"/>
      <c r="N52" s="1247"/>
      <c r="O52" s="454"/>
      <c r="P52" s="316"/>
      <c r="Q52" s="1270"/>
      <c r="R52" s="316"/>
      <c r="S52" s="1248"/>
      <c r="T52" s="1251" t="s">
        <v>481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087"/>
      <c r="U55" s="24087"/>
      <c r="V55" s="24087"/>
      <c r="W55" s="24087"/>
      <c r="X55" s="24087"/>
      <c r="Y55" s="24087"/>
      <c r="Z55" s="24087"/>
      <c r="AA55" s="24087"/>
      <c r="AB55" s="24087"/>
      <c r="AC55" s="24087"/>
      <c r="AD55" s="24087"/>
      <c r="AE55" s="24087"/>
      <c r="AF55" s="24087"/>
      <c r="AG55" s="24087"/>
      <c r="AH55" s="24087"/>
      <c r="AI55" s="24087"/>
      <c r="AJ55" s="24087"/>
      <c r="AK55" s="24087"/>
      <c r="AQ55" s="1081">
        <v>14</v>
      </c>
    </row>
    <row r="56" spans="1:43" ht="14.65" customHeight="1">
      <c r="O56" s="473"/>
      <c r="AQ56" s="1081">
        <v>14</v>
      </c>
    </row>
    <row r="57" spans="1:43" ht="14.65" customHeight="1">
      <c r="O57" s="473"/>
      <c r="S57" s="1179"/>
      <c r="T57" s="24087"/>
      <c r="U57" s="24087"/>
      <c r="V57" s="24087"/>
      <c r="W57" s="24087"/>
      <c r="X57" s="24087"/>
      <c r="Y57" s="24087"/>
      <c r="Z57" s="24087"/>
      <c r="AA57" s="24087"/>
      <c r="AB57" s="24087"/>
      <c r="AC57" s="24087"/>
      <c r="AD57" s="24087"/>
      <c r="AE57" s="24087"/>
      <c r="AF57" s="24087"/>
      <c r="AG57" s="24087"/>
      <c r="AH57" s="24087"/>
      <c r="AI57" s="24087"/>
      <c r="AJ57" s="24087"/>
      <c r="AK57" s="24087"/>
      <c r="AQ57" s="1081">
        <v>14</v>
      </c>
    </row>
    <row r="58" spans="1:43" ht="22.5" hidden="1" customHeight="1">
      <c r="A58" s="1086" t="s">
        <v>73</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v>
      </c>
    </row>
    <row r="2" spans="1:43" ht="23.25" hidden="1" customHeight="1">
      <c r="A2" s="1289"/>
      <c r="B2" s="1289"/>
      <c r="C2" s="1289"/>
      <c r="D2" s="1289"/>
      <c r="E2" s="24088">
        <v>1</v>
      </c>
      <c r="F2" s="1289"/>
      <c r="G2" s="1289"/>
      <c r="H2" s="1289"/>
      <c r="I2" s="1289"/>
      <c r="J2" s="1289"/>
      <c r="K2" s="1289"/>
      <c r="L2" s="1290"/>
      <c r="M2" s="1291"/>
      <c r="N2" s="1291"/>
      <c r="O2" s="1291"/>
      <c r="P2" s="297"/>
      <c r="Q2" s="296"/>
      <c r="R2" s="291"/>
      <c r="S2" s="1383" t="e">
        <f>INDEX(PT_DIFFERENTIATION_NUM_NTAR,MATCH(A2,PT_DIFFERENTIATION_NTAR_ID,0))</f>
        <v>#N/A</v>
      </c>
      <c r="T2" s="234" t="s">
        <v>229</v>
      </c>
      <c r="U2" s="236"/>
      <c r="V2" s="24082"/>
      <c r="W2" s="24083"/>
      <c r="X2" s="24083"/>
      <c r="Y2" s="24083"/>
      <c r="Z2" s="24083"/>
      <c r="AA2" s="24083"/>
      <c r="AB2" s="24084"/>
      <c r="AC2" s="24082" t="e">
        <f>INDEX(PT_DIFFERENTIATION_NTAR,MATCH(A2,PT_DIFFERENTIATION_NTAR_ID,0))</f>
        <v>#N/A</v>
      </c>
      <c r="AD2" s="24083"/>
      <c r="AE2" s="24083"/>
      <c r="AF2" s="24083"/>
      <c r="AG2" s="24083"/>
      <c r="AH2" s="24083"/>
      <c r="AI2" s="24083"/>
      <c r="AJ2" s="240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089"/>
      <c r="F3" s="24088">
        <v>1</v>
      </c>
      <c r="G3" s="1289"/>
      <c r="H3" s="1289"/>
      <c r="I3" s="1289"/>
      <c r="J3" s="1289"/>
      <c r="K3" s="1289"/>
      <c r="L3" s="1290"/>
      <c r="M3" s="1291"/>
      <c r="N3" s="1291"/>
      <c r="O3" s="1291"/>
      <c r="P3" s="1379"/>
      <c r="Q3" s="288"/>
      <c r="R3" s="289"/>
      <c r="S3" s="1383" t="e">
        <f>INDEX(PT_DIFFERENTIATION_NUM_TER,MATCH(B3,PT_DIFFERENTIATION_TER_ID,0))</f>
        <v>#N/A</v>
      </c>
      <c r="T3" s="244" t="s">
        <v>626</v>
      </c>
      <c r="U3" s="236"/>
      <c r="V3" s="24082"/>
      <c r="W3" s="24083"/>
      <c r="X3" s="24083"/>
      <c r="Y3" s="24083"/>
      <c r="Z3" s="24083"/>
      <c r="AA3" s="24083"/>
      <c r="AB3" s="24084"/>
      <c r="AC3" s="24082" t="e">
        <f>INDEX(PT_DIFFERENTIATION_TER,MATCH(B3,PT_DIFFERENTIATION_TER_ID,0))</f>
        <v>#N/A</v>
      </c>
      <c r="AD3" s="24083"/>
      <c r="AE3" s="24083"/>
      <c r="AF3" s="24083"/>
      <c r="AG3" s="24083"/>
      <c r="AH3" s="24083"/>
      <c r="AI3" s="24083"/>
      <c r="AJ3" s="24084"/>
      <c r="AK3" s="1184" t="s">
        <v>627</v>
      </c>
      <c r="AM3" s="436"/>
      <c r="AN3" s="436" t="str">
        <f t="shared" si="0"/>
        <v>Территория действия тарифа</v>
      </c>
      <c r="AO3" s="436"/>
      <c r="AP3" s="436"/>
      <c r="AQ3" s="1081">
        <v>0</v>
      </c>
    </row>
    <row r="4" spans="1:43" ht="23.25" hidden="1" customHeight="1">
      <c r="A4" s="1289"/>
      <c r="B4" s="1289"/>
      <c r="C4" s="1289"/>
      <c r="D4" s="1289"/>
      <c r="E4" s="24089"/>
      <c r="F4" s="24089"/>
      <c r="G4" s="24088">
        <v>1</v>
      </c>
      <c r="H4" s="1289"/>
      <c r="I4" s="1289"/>
      <c r="J4" s="1289"/>
      <c r="K4" s="1289"/>
      <c r="L4" s="1290"/>
      <c r="M4" s="1291"/>
      <c r="N4" s="1291"/>
      <c r="O4" s="1291"/>
      <c r="P4" s="290"/>
      <c r="Q4" s="288"/>
      <c r="R4" s="289"/>
      <c r="S4" s="1383" t="e">
        <f>INDEX(PT_DIFFERENTIATION_NUM_CS,MATCH(C4,PT_DIFFERENTIATION_CS_ID,0))</f>
        <v>#N/A</v>
      </c>
      <c r="T4" s="245" t="s">
        <v>707</v>
      </c>
      <c r="U4" s="236"/>
      <c r="V4" s="24082"/>
      <c r="W4" s="24083"/>
      <c r="X4" s="24083"/>
      <c r="Y4" s="24083"/>
      <c r="Z4" s="24083"/>
      <c r="AA4" s="24083"/>
      <c r="AB4" s="24084"/>
      <c r="AC4" s="24082" t="e">
        <f>INDEX(PT_DIFFERENTIATION_CS,MATCH(C4,PT_DIFFERENTIATION_CS_ID,0))</f>
        <v>#N/A</v>
      </c>
      <c r="AD4" s="24083"/>
      <c r="AE4" s="24083"/>
      <c r="AF4" s="24083"/>
      <c r="AG4" s="24083"/>
      <c r="AH4" s="24083"/>
      <c r="AI4" s="24083"/>
      <c r="AJ4" s="24084"/>
      <c r="AK4" s="1184" t="s">
        <v>708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089"/>
      <c r="F5" s="24089"/>
      <c r="G5" s="24089"/>
      <c r="H5" s="24089"/>
      <c r="I5" s="24090" t="e">
        <f>S4&amp;".1"</f>
        <v>#N/A</v>
      </c>
      <c r="J5" s="1289"/>
      <c r="K5" s="1289"/>
      <c r="L5" s="1290"/>
      <c r="P5" s="24092">
        <v>1</v>
      </c>
      <c r="Q5" s="1376"/>
      <c r="R5" s="292"/>
      <c r="S5" s="1383" t="e">
        <f>$I5</f>
        <v>#N/A</v>
      </c>
      <c r="T5" s="221" t="s">
        <v>709</v>
      </c>
      <c r="U5" s="236"/>
      <c r="V5" s="24156"/>
      <c r="W5" s="24157"/>
      <c r="X5" s="24157"/>
      <c r="Y5" s="24157"/>
      <c r="Z5" s="24157"/>
      <c r="AA5" s="24157"/>
      <c r="AB5" s="24158"/>
      <c r="AC5" s="24159"/>
      <c r="AD5" s="24160"/>
      <c r="AE5" s="24160"/>
      <c r="AF5" s="24160"/>
      <c r="AG5" s="24160"/>
      <c r="AH5" s="24160"/>
      <c r="AI5" s="24160"/>
      <c r="AJ5" s="24161"/>
      <c r="AK5" s="1184" t="s">
        <v>710</v>
      </c>
      <c r="AM5" s="436"/>
      <c r="AN5" s="436" t="str">
        <f t="shared" si="0"/>
        <v>Наименование признака дифференциации</v>
      </c>
      <c r="AO5" s="436"/>
      <c r="AP5" s="436"/>
      <c r="AQ5" s="1081">
        <v>0</v>
      </c>
    </row>
    <row r="6" spans="1:43" ht="23.25" hidden="1" customHeight="1">
      <c r="A6" s="1289"/>
      <c r="B6" s="1289"/>
      <c r="C6" s="1289"/>
      <c r="D6" s="1289"/>
      <c r="E6" s="24089"/>
      <c r="F6" s="24089"/>
      <c r="G6" s="24089"/>
      <c r="H6" s="24089"/>
      <c r="I6" s="24091"/>
      <c r="J6" s="24090" t="e">
        <f>I5&amp;".1"</f>
        <v>#N/A</v>
      </c>
      <c r="K6" s="1289"/>
      <c r="L6" s="1290" t="s">
        <v>635</v>
      </c>
      <c r="P6" s="24092"/>
      <c r="Q6" s="24092">
        <v>1</v>
      </c>
      <c r="R6" s="293"/>
      <c r="S6" s="1383" t="e">
        <f>$J6</f>
        <v>#N/A</v>
      </c>
      <c r="T6" s="222" t="s">
        <v>636</v>
      </c>
      <c r="U6" s="236"/>
      <c r="V6" s="24076"/>
      <c r="W6" s="24077"/>
      <c r="X6" s="24077"/>
      <c r="Y6" s="24077"/>
      <c r="Z6" s="24077"/>
      <c r="AA6" s="24077"/>
      <c r="AB6" s="24078"/>
      <c r="AC6" s="24076"/>
      <c r="AD6" s="24077"/>
      <c r="AE6" s="24077"/>
      <c r="AF6" s="24077"/>
      <c r="AG6" s="24077"/>
      <c r="AH6" s="24077"/>
      <c r="AI6" s="24077"/>
      <c r="AJ6" s="24078"/>
      <c r="AK6" s="1233" t="s">
        <v>711</v>
      </c>
      <c r="AM6" s="436"/>
      <c r="AN6" s="436" t="str">
        <f t="shared" si="0"/>
        <v>Группа потребителей</v>
      </c>
      <c r="AO6" s="436"/>
      <c r="AP6" s="436"/>
      <c r="AQ6" s="1081">
        <v>0</v>
      </c>
    </row>
    <row r="7" spans="1:43" ht="23.25" hidden="1" customHeight="1">
      <c r="A7" s="1289"/>
      <c r="B7" s="1289"/>
      <c r="C7" s="1289"/>
      <c r="D7" s="1289"/>
      <c r="E7" s="24089"/>
      <c r="F7" s="24089"/>
      <c r="G7" s="24089"/>
      <c r="H7" s="24089"/>
      <c r="I7" s="24091"/>
      <c r="J7" s="24091"/>
      <c r="K7" s="24090" t="e">
        <f>J6&amp;".1"</f>
        <v>#N/A</v>
      </c>
      <c r="L7" s="1290"/>
      <c r="P7" s="24092"/>
      <c r="Q7" s="24092"/>
      <c r="R7" s="293">
        <v>1</v>
      </c>
      <c r="S7" s="1383" t="e">
        <f>$K7</f>
        <v>#N/A</v>
      </c>
      <c r="T7" s="1363"/>
      <c r="U7" s="236"/>
      <c r="V7" s="687"/>
      <c r="W7" s="687"/>
      <c r="X7" s="1183"/>
      <c r="Y7" s="24093"/>
      <c r="Z7" s="23957" t="s">
        <v>59</v>
      </c>
      <c r="AA7" s="24093"/>
      <c r="AB7" s="23957" t="s">
        <v>59</v>
      </c>
      <c r="AC7" s="687"/>
      <c r="AD7" s="687"/>
      <c r="AE7" s="1183"/>
      <c r="AF7" s="24093"/>
      <c r="AG7" s="23957" t="s">
        <v>59</v>
      </c>
      <c r="AH7" s="24095"/>
      <c r="AI7" s="23957" t="s">
        <v>59</v>
      </c>
      <c r="AJ7" s="1364"/>
      <c r="AK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089"/>
      <c r="F8" s="24089"/>
      <c r="G8" s="24089"/>
      <c r="H8" s="24089"/>
      <c r="I8" s="24091"/>
      <c r="J8" s="24091"/>
      <c r="K8" s="24090"/>
      <c r="L8" s="1290"/>
      <c r="P8" s="24092"/>
      <c r="Q8" s="24092"/>
      <c r="R8" s="293"/>
      <c r="S8" s="1382"/>
      <c r="T8" s="236"/>
      <c r="U8" s="236"/>
      <c r="V8" s="261"/>
      <c r="W8" s="261"/>
      <c r="X8" s="264" t="str">
        <f>Y7&amp;"-"&amp;AA7</f>
        <v>-</v>
      </c>
      <c r="Y8" s="24094"/>
      <c r="Z8" s="23957"/>
      <c r="AA8" s="24094"/>
      <c r="AB8" s="23957"/>
      <c r="AC8" s="261"/>
      <c r="AD8" s="261"/>
      <c r="AE8" s="264" t="str">
        <f>AF7&amp;"-"&amp;AH7</f>
        <v>-</v>
      </c>
      <c r="AF8" s="24094"/>
      <c r="AG8" s="23957"/>
      <c r="AH8" s="24096"/>
      <c r="AI8" s="23957"/>
      <c r="AJ8" s="1365"/>
      <c r="AK8" s="24162"/>
      <c r="AM8" s="436"/>
      <c r="AN8" s="436" t="str">
        <f t="shared" si="0"/>
        <v/>
      </c>
      <c r="AO8" s="436"/>
      <c r="AP8" s="436"/>
      <c r="AQ8" s="1081">
        <v>0</v>
      </c>
    </row>
    <row r="9" spans="1:43" ht="21" hidden="1" customHeight="1">
      <c r="A9" s="1289"/>
      <c r="B9" s="1289"/>
      <c r="C9" s="1289"/>
      <c r="D9" s="1289"/>
      <c r="E9" s="24089"/>
      <c r="F9" s="24089"/>
      <c r="G9" s="24089"/>
      <c r="H9" s="24089"/>
      <c r="I9" s="24091"/>
      <c r="J9" s="24090"/>
      <c r="K9" s="1289"/>
      <c r="L9" s="1290"/>
      <c r="P9" s="24092"/>
      <c r="Q9" s="24092"/>
      <c r="R9" s="292"/>
      <c r="S9" s="1204"/>
      <c r="T9" s="223" t="s">
        <v>712</v>
      </c>
      <c r="U9" s="303"/>
      <c r="V9" s="303"/>
      <c r="W9" s="303"/>
      <c r="X9" s="303"/>
      <c r="Y9" s="303"/>
      <c r="Z9" s="303"/>
      <c r="AA9" s="303"/>
      <c r="AB9" s="303"/>
      <c r="AC9" s="303"/>
      <c r="AD9" s="303"/>
      <c r="AE9" s="303"/>
      <c r="AF9" s="303"/>
      <c r="AG9" s="303"/>
      <c r="AH9" s="303"/>
      <c r="AI9" s="303"/>
      <c r="AJ9" s="303"/>
      <c r="AK9" s="1184" t="s">
        <v>713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089"/>
      <c r="F10" s="24089"/>
      <c r="G10" s="24089"/>
      <c r="H10" s="24089"/>
      <c r="I10" s="24090"/>
      <c r="J10" s="1289"/>
      <c r="K10" s="1289"/>
      <c r="L10" s="1290"/>
      <c r="P10" s="24092"/>
      <c r="Q10" s="1376"/>
      <c r="R10" s="292"/>
      <c r="S10" s="1204"/>
      <c r="T10" s="301" t="s">
        <v>641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089"/>
      <c r="F12" s="24088"/>
      <c r="G12" s="1240"/>
      <c r="H12" s="1240"/>
      <c r="I12" s="1240"/>
      <c r="J12" s="1240"/>
      <c r="K12" s="1240"/>
      <c r="L12" s="1384"/>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4086"/>
      <c r="AG15" s="24085" t="s">
        <v>59</v>
      </c>
      <c r="AH15" s="24086"/>
      <c r="AI15" s="24085" t="s">
        <v>59</v>
      </c>
      <c r="AQ15" s="1081">
        <v>0</v>
      </c>
    </row>
    <row r="16" spans="1:43" ht="14.25" hidden="1" customHeight="1">
      <c r="AC16" s="1286"/>
      <c r="AD16" s="1286"/>
      <c r="AE16" s="264" t="str">
        <f>AF15&amp;"-"&amp;AH15</f>
        <v>-</v>
      </c>
      <c r="AF16" s="24085"/>
      <c r="AG16" s="24085"/>
      <c r="AH16" s="24085"/>
      <c r="AI16" s="24085"/>
      <c r="AQ16" s="1081">
        <v>0</v>
      </c>
    </row>
    <row r="17" spans="1:43" ht="14.25" hidden="1" customHeight="1">
      <c r="AI17" s="263"/>
      <c r="AQ17" s="1081">
        <v>0</v>
      </c>
    </row>
    <row r="18" spans="1:43" s="1292" customFormat="1" ht="22.5" hidden="1" customHeight="1">
      <c r="L18" s="1373"/>
      <c r="M18" s="1288"/>
      <c r="N18" s="1288"/>
      <c r="O18" s="1293" t="s">
        <v>644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645</v>
      </c>
      <c r="P20" s="1288"/>
      <c r="Q20" s="1368"/>
      <c r="R20" s="1368"/>
      <c r="S20" s="665"/>
      <c r="T20" s="1086" t="s">
        <v>646</v>
      </c>
      <c r="Z20" s="123" t="s">
        <v>647</v>
      </c>
      <c r="AB20" s="123" t="s">
        <v>648</v>
      </c>
      <c r="AC20" s="1086" t="s">
        <v>646</v>
      </c>
      <c r="AG20" s="123" t="s">
        <v>649</v>
      </c>
      <c r="AI20" s="123" t="s">
        <v>648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1169"/>
      <c r="AQ24" s="1081">
        <v>14</v>
      </c>
    </row>
    <row r="25" spans="1:4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62"/>
      <c r="AC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D27" s="24081"/>
      <c r="AE27" s="24081"/>
      <c r="AF27" s="24081"/>
      <c r="AG27" s="24081"/>
      <c r="AH27" s="24081"/>
      <c r="AI27" s="262"/>
      <c r="AJ27" s="262"/>
      <c r="AK27" s="216"/>
      <c r="AL27" s="304"/>
      <c r="AM27" s="304"/>
      <c r="AN27" s="304"/>
      <c r="AO27" s="304"/>
      <c r="AP27" s="304"/>
      <c r="AQ27" s="354">
        <v>0</v>
      </c>
    </row>
    <row r="28" spans="1:4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62"/>
      <c r="AC28" s="24080" t="str">
        <f>IF(TITLE_DATE_PR_CHANGE="",IF(TITLE_DATE_PR="","",TITLE_DATE_PR),TITLE_DATE_PR_CHANGE)</f>
        <v>20.12.2024</v>
      </c>
      <c r="AD28" s="24080"/>
      <c r="AE28" s="24080"/>
      <c r="AF28" s="24080"/>
      <c r="AG28" s="24080"/>
      <c r="AH28" s="24080"/>
      <c r="AI28" s="262"/>
      <c r="AJ28" s="262"/>
      <c r="AK28" s="216"/>
      <c r="AL28" s="304"/>
      <c r="AM28" s="304"/>
      <c r="AN28" s="304"/>
      <c r="AO28" s="304"/>
      <c r="AP28" s="304"/>
      <c r="AQ28" s="354">
        <v>0</v>
      </c>
    </row>
    <row r="29" spans="1:4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62"/>
      <c r="AC29" s="24081" t="str">
        <f>IF(TITLE_NUMBER_PR_CHANGE="",IF(TITLE_NUMBER_PR="","",TITLE_NUMBER_PR),TITLE_NUMBER_PR_CHANGE)</f>
        <v>403, 404</v>
      </c>
      <c r="AD29" s="24081"/>
      <c r="AE29" s="24081"/>
      <c r="AF29" s="24081"/>
      <c r="AG29" s="24081"/>
      <c r="AH29" s="24081"/>
      <c r="AI29" s="262"/>
      <c r="AJ29" s="262"/>
      <c r="AK29" s="216"/>
      <c r="AL29" s="304"/>
      <c r="AM29" s="304"/>
      <c r="AN29" s="304"/>
      <c r="AO29" s="304"/>
      <c r="AP29" s="304"/>
      <c r="AQ29" s="354">
        <v>0</v>
      </c>
    </row>
    <row r="30" spans="1:4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62"/>
      <c r="AC30" s="24081" t="str">
        <f>IF(TITLE_IST_PUB_CHANGE="",IF(TITLE_IST_PUB="","",TITLE_IST_PUB),TITLE_IST_PUB_CHANGE)</f>
        <v>Смоленская газета</v>
      </c>
      <c r="AD30" s="24081"/>
      <c r="AE30" s="24081"/>
      <c r="AF30" s="24081"/>
      <c r="AG30" s="24081"/>
      <c r="AH30" s="2408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62"/>
      <c r="AC32" s="24080" t="str">
        <f>IF(TITLE_DATE_PR_CHANGE="",IF(TITLE_DATE_PR="","",TITLE_DATE_PR),TITLE_DATE_PR_CHANGE)</f>
        <v>20.12.2024</v>
      </c>
      <c r="AD32" s="24080"/>
      <c r="AE32" s="24080"/>
      <c r="AF32" s="24080"/>
      <c r="AG32" s="24080"/>
      <c r="AH32" s="24080"/>
      <c r="AI32" s="262"/>
      <c r="AJ32" s="262"/>
      <c r="AK32" s="216"/>
      <c r="AL32" s="304"/>
      <c r="AM32" s="304"/>
      <c r="AN32" s="304"/>
      <c r="AO32" s="304"/>
      <c r="AP32" s="304"/>
      <c r="AQ32" s="354">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62"/>
      <c r="AC33" s="24081" t="str">
        <f>IF(TITLE_NUMBER_PR_CHANGE="",IF(TITLE_NUMBER_PR="","",TITLE_NUMBER_PR),TITLE_NUMBER_PR_CHANGE)</f>
        <v>403, 404</v>
      </c>
      <c r="AD33" s="24081"/>
      <c r="AE33" s="24081"/>
      <c r="AF33" s="24081"/>
      <c r="AG33" s="24081"/>
      <c r="AH33" s="24081"/>
      <c r="AI33" s="262"/>
      <c r="AJ33" s="262"/>
      <c r="AK33" s="216"/>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654</v>
      </c>
      <c r="AC34" s="262"/>
      <c r="AD34" s="262"/>
      <c r="AE34" s="262"/>
      <c r="AF34" s="262"/>
      <c r="AG34" s="262"/>
      <c r="AH34" s="262"/>
      <c r="AI34" s="214" t="s">
        <v>654</v>
      </c>
      <c r="AL34" s="304"/>
      <c r="AM34" s="304"/>
      <c r="AN34" s="304"/>
      <c r="AO34" s="304"/>
      <c r="AP34" s="304"/>
      <c r="AQ34" s="354">
        <v>1</v>
      </c>
    </row>
    <row r="35" spans="1:4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Q35" s="1081">
        <v>14</v>
      </c>
    </row>
    <row r="36" spans="1:43"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t="s">
        <v>530</v>
      </c>
      <c r="AQ36" s="1081">
        <v>14</v>
      </c>
    </row>
    <row r="37" spans="1:43" ht="14.65" customHeight="1">
      <c r="Q37" s="312"/>
      <c r="R37" s="312"/>
      <c r="S37" s="24101" t="s">
        <v>79</v>
      </c>
      <c r="T37" s="24050" t="s">
        <v>655</v>
      </c>
      <c r="U37" s="237"/>
      <c r="V37" s="24102" t="s">
        <v>656</v>
      </c>
      <c r="W37" s="24103"/>
      <c r="X37" s="24103"/>
      <c r="Y37" s="24103"/>
      <c r="Z37" s="24103"/>
      <c r="AA37" s="24104"/>
      <c r="AB37" s="24105" t="s">
        <v>657</v>
      </c>
      <c r="AC37" s="24102" t="s">
        <v>656</v>
      </c>
      <c r="AD37" s="24103"/>
      <c r="AE37" s="24103"/>
      <c r="AF37" s="24103"/>
      <c r="AG37" s="24103"/>
      <c r="AH37" s="24104"/>
      <c r="AI37" s="24105" t="s">
        <v>658</v>
      </c>
      <c r="AJ37" s="24108" t="s">
        <v>659</v>
      </c>
      <c r="AK37" s="23947"/>
      <c r="AQ37" s="1081">
        <v>14</v>
      </c>
    </row>
    <row r="38" spans="1:43" ht="35.65" customHeight="1">
      <c r="Q38" s="312"/>
      <c r="R38" s="312"/>
      <c r="S38" s="24101"/>
      <c r="T38" s="24050"/>
      <c r="U38" s="960"/>
      <c r="V38" s="1378" t="s">
        <v>715</v>
      </c>
      <c r="W38" s="23928" t="s">
        <v>662</v>
      </c>
      <c r="X38" s="23927"/>
      <c r="Y38" s="23928" t="s">
        <v>663</v>
      </c>
      <c r="Z38" s="23933"/>
      <c r="AA38" s="23927"/>
      <c r="AB38" s="24106"/>
      <c r="AC38" s="1378" t="s">
        <v>715</v>
      </c>
      <c r="AD38" s="23928" t="s">
        <v>662</v>
      </c>
      <c r="AE38" s="23927"/>
      <c r="AF38" s="23928" t="s">
        <v>663</v>
      </c>
      <c r="AG38" s="23933"/>
      <c r="AH38" s="23927"/>
      <c r="AI38" s="24106"/>
      <c r="AJ38" s="24109"/>
      <c r="AK38" s="23947"/>
      <c r="AQ38" s="1081">
        <v>34</v>
      </c>
    </row>
    <row r="39" spans="1:43" ht="35.65" customHeight="1">
      <c r="A39" s="1296"/>
      <c r="B39" s="1296" t="s">
        <v>241</v>
      </c>
      <c r="C39" s="1296" t="s">
        <v>242</v>
      </c>
      <c r="D39" s="1296" t="s">
        <v>243</v>
      </c>
      <c r="E39" s="1290" t="s">
        <v>664</v>
      </c>
      <c r="F39" s="1290" t="s">
        <v>665</v>
      </c>
      <c r="G39" s="1290" t="s">
        <v>666</v>
      </c>
      <c r="H39" s="1290"/>
      <c r="I39" s="1290" t="s">
        <v>716</v>
      </c>
      <c r="J39" s="1290" t="s">
        <v>669</v>
      </c>
      <c r="K39" s="1290" t="s">
        <v>717</v>
      </c>
      <c r="L39" s="1290" t="s">
        <v>645</v>
      </c>
      <c r="Q39" s="312"/>
      <c r="R39" s="312"/>
      <c r="S39" s="24101"/>
      <c r="T39" s="24050"/>
      <c r="U39" s="238"/>
      <c r="V39" s="1378" t="s">
        <v>718</v>
      </c>
      <c r="W39" s="1148" t="s">
        <v>719</v>
      </c>
      <c r="X39" s="1148" t="s">
        <v>720</v>
      </c>
      <c r="Y39" s="1381" t="s">
        <v>673</v>
      </c>
      <c r="Z39" s="24055" t="s">
        <v>674</v>
      </c>
      <c r="AA39" s="24068"/>
      <c r="AB39" s="24107"/>
      <c r="AC39" s="1378" t="s">
        <v>718</v>
      </c>
      <c r="AD39" s="1148" t="s">
        <v>719</v>
      </c>
      <c r="AE39" s="1148" t="s">
        <v>720</v>
      </c>
      <c r="AF39" s="1381" t="s">
        <v>673</v>
      </c>
      <c r="AG39" s="24055" t="s">
        <v>674</v>
      </c>
      <c r="AH39" s="24068"/>
      <c r="AI39" s="24107"/>
      <c r="AJ39" s="24110"/>
      <c r="AK39" s="2394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218</v>
      </c>
      <c r="T40" s="1181" t="s">
        <v>95</v>
      </c>
      <c r="U40" s="1171" t="str">
        <f ca="1">OFFSET(U40,0,-1)</f>
        <v>2</v>
      </c>
      <c r="V40" s="1377">
        <f ca="1">OFFSET(V40,0,-1)+1</f>
        <v>3</v>
      </c>
      <c r="W40" s="1377">
        <f ca="1">OFFSET(W40,0,-1)+1</f>
        <v>4</v>
      </c>
      <c r="X40" s="1377">
        <f ca="1">OFFSET(X40,0,-1)+1</f>
        <v>5</v>
      </c>
      <c r="Y40" s="1377">
        <f ca="1">OFFSET(Y40,0,-1)+1</f>
        <v>6</v>
      </c>
      <c r="Z40" s="24099">
        <f ca="1">OFFSET(Z40,0,-1)+1</f>
        <v>7</v>
      </c>
      <c r="AA40" s="24099"/>
      <c r="AB40" s="1377">
        <f ca="1">OFFSET(AB40,0,-2)+1</f>
        <v>8</v>
      </c>
      <c r="AC40" s="1377">
        <f ca="1">OFFSET(AC40,0,-1)+1</f>
        <v>9</v>
      </c>
      <c r="AD40" s="1377">
        <f ca="1">OFFSET(AD40,0,-1)+1</f>
        <v>10</v>
      </c>
      <c r="AE40" s="1377">
        <f ca="1">OFFSET(AE40,0,-1)+1</f>
        <v>11</v>
      </c>
      <c r="AF40" s="1377">
        <f ca="1">OFFSET(AF40,0,-1)+1</f>
        <v>12</v>
      </c>
      <c r="AG40" s="24099">
        <f ca="1">OFFSET(AG40,0,-1)+1</f>
        <v>13</v>
      </c>
      <c r="AH40" s="24099"/>
      <c r="AI40" s="1377">
        <f ca="1">OFFSET(AI40,0,-2)+1</f>
        <v>14</v>
      </c>
      <c r="AJ40" s="1171">
        <f ca="1">OFFSET(AJ40,0,-1)</f>
        <v>14</v>
      </c>
      <c r="AK40" s="1377">
        <f ca="1">OFFSET(AK40,0,-1)+1</f>
        <v>15</v>
      </c>
      <c r="AL40" s="447"/>
      <c r="AM40" s="447"/>
      <c r="AN40" s="447"/>
      <c r="AO40" s="447"/>
      <c r="AP40" s="447"/>
      <c r="AQ40" s="432">
        <v>0</v>
      </c>
    </row>
    <row r="41" spans="1:43" ht="24" customHeight="1">
      <c r="A41" s="1289" t="s">
        <v>329</v>
      </c>
      <c r="B41" s="1289"/>
      <c r="C41" s="1289"/>
      <c r="D41" s="1289"/>
      <c r="E41" s="24088">
        <v>1</v>
      </c>
      <c r="F41" s="1289"/>
      <c r="G41" s="1289"/>
      <c r="H41" s="1289"/>
      <c r="I41" s="1289"/>
      <c r="J41" s="1289"/>
      <c r="K41" s="1289"/>
      <c r="L41" s="1290"/>
      <c r="M41" s="1291"/>
      <c r="N41" s="1291"/>
      <c r="O41" s="1291"/>
      <c r="P41" s="297"/>
      <c r="Q41" s="296"/>
      <c r="R41" s="291"/>
      <c r="S41" s="1383">
        <f>INDEX(PT_DIFFERENTIATION_NUM_NTAR,MATCH(A41,PT_DIFFERENTIATION_NTAR_ID,0))</f>
        <v>0</v>
      </c>
      <c r="T41" s="234" t="s">
        <v>229</v>
      </c>
      <c r="U41" s="236"/>
      <c r="V41" s="24082"/>
      <c r="W41" s="24083"/>
      <c r="X41" s="24083"/>
      <c r="Y41" s="24083"/>
      <c r="Z41" s="24083"/>
      <c r="AA41" s="24083"/>
      <c r="AB41" s="24084"/>
      <c r="AC41" s="24082" t="str">
        <f>INDEX(PT_DIFFERENTIATION_NTAR,MATCH(A41,PT_DIFFERENTIATION_NTAR_ID,0))</f>
        <v/>
      </c>
      <c r="AD41" s="24083"/>
      <c r="AE41" s="24083"/>
      <c r="AF41" s="24083"/>
      <c r="AG41" s="24083"/>
      <c r="AH41" s="24083"/>
      <c r="AI41" s="24083"/>
      <c r="AJ41" s="240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329</v>
      </c>
      <c r="B42" s="1289" t="s">
        <v>330</v>
      </c>
      <c r="C42" s="1289"/>
      <c r="D42" s="1289"/>
      <c r="E42" s="24089"/>
      <c r="F42" s="24088">
        <v>1</v>
      </c>
      <c r="G42" s="1289"/>
      <c r="H42" s="1289"/>
      <c r="I42" s="1289"/>
      <c r="J42" s="1289"/>
      <c r="K42" s="1289"/>
      <c r="L42" s="1290"/>
      <c r="M42" s="1291"/>
      <c r="N42" s="1291"/>
      <c r="O42" s="1291"/>
      <c r="P42" s="1379"/>
      <c r="Q42" s="288"/>
      <c r="R42" s="289"/>
      <c r="S42" s="1383" t="str">
        <f>INDEX(PT_DIFFERENTIATION_NUM_TER,MATCH(B42,PT_DIFFERENTIATION_TER_ID,0))</f>
        <v>.</v>
      </c>
      <c r="T42" s="244" t="s">
        <v>626</v>
      </c>
      <c r="U42" s="236"/>
      <c r="V42" s="24082"/>
      <c r="W42" s="24083"/>
      <c r="X42" s="24083"/>
      <c r="Y42" s="24083"/>
      <c r="Z42" s="24083"/>
      <c r="AA42" s="24083"/>
      <c r="AB42" s="24084"/>
      <c r="AC42" s="24082" t="str">
        <f>INDEX(PT_DIFFERENTIATION_TER,MATCH(B42,PT_DIFFERENTIATION_TER_ID,0))</f>
        <v/>
      </c>
      <c r="AD42" s="24083"/>
      <c r="AE42" s="24083"/>
      <c r="AF42" s="24083"/>
      <c r="AG42" s="24083"/>
      <c r="AH42" s="24083"/>
      <c r="AI42" s="24083"/>
      <c r="AJ42" s="24084"/>
      <c r="AK42" s="1184" t="s">
        <v>627</v>
      </c>
      <c r="AM42" s="436"/>
      <c r="AN42" s="436" t="str">
        <f t="shared" si="1"/>
        <v>Территория действия тарифа</v>
      </c>
      <c r="AO42" s="436"/>
      <c r="AP42" s="436"/>
      <c r="AQ42" s="1081">
        <v>23</v>
      </c>
    </row>
    <row r="43" spans="1:43" ht="24" customHeight="1">
      <c r="A43" s="1289" t="s">
        <v>329</v>
      </c>
      <c r="B43" s="1289" t="s">
        <v>330</v>
      </c>
      <c r="C43" s="1289" t="s">
        <v>331</v>
      </c>
      <c r="D43" s="1289"/>
      <c r="E43" s="24089"/>
      <c r="F43" s="24089"/>
      <c r="G43" s="24088">
        <v>1</v>
      </c>
      <c r="H43" s="1289"/>
      <c r="I43" s="1289"/>
      <c r="J43" s="1289"/>
      <c r="K43" s="1289"/>
      <c r="L43" s="1290"/>
      <c r="M43" s="1291"/>
      <c r="N43" s="1291"/>
      <c r="O43" s="1291"/>
      <c r="P43" s="290"/>
      <c r="Q43" s="288"/>
      <c r="R43" s="289"/>
      <c r="S43" s="1383" t="str">
        <f>INDEX(PT_DIFFERENTIATION_NUM_CS,MATCH(C43,PT_DIFFERENTIATION_CS_ID,0))</f>
        <v>..</v>
      </c>
      <c r="T43" s="245" t="s">
        <v>707</v>
      </c>
      <c r="U43" s="236"/>
      <c r="V43" s="24082"/>
      <c r="W43" s="24083"/>
      <c r="X43" s="24083"/>
      <c r="Y43" s="24083"/>
      <c r="Z43" s="24083"/>
      <c r="AA43" s="24083"/>
      <c r="AB43" s="24084"/>
      <c r="AC43" s="24082" t="str">
        <f>INDEX(PT_DIFFERENTIATION_CS,MATCH(C43,PT_DIFFERENTIATION_CS_ID,0))</f>
        <v/>
      </c>
      <c r="AD43" s="24083"/>
      <c r="AE43" s="24083"/>
      <c r="AF43" s="24083"/>
      <c r="AG43" s="24083"/>
      <c r="AH43" s="24083"/>
      <c r="AI43" s="24083"/>
      <c r="AJ43" s="24084"/>
      <c r="AK43" s="1184" t="s">
        <v>708</v>
      </c>
      <c r="AM43" s="436"/>
      <c r="AN43" s="436" t="str">
        <f t="shared" si="1"/>
        <v>Наименование централизованной системы холодного водоснабжения</v>
      </c>
      <c r="AO43" s="436"/>
      <c r="AP43" s="436"/>
      <c r="AQ43" s="1081">
        <v>23</v>
      </c>
    </row>
    <row r="44" spans="1:43" ht="24" customHeight="1">
      <c r="A44" s="1289" t="s">
        <v>329</v>
      </c>
      <c r="B44" s="1289" t="s">
        <v>330</v>
      </c>
      <c r="C44" s="1289" t="s">
        <v>331</v>
      </c>
      <c r="D44" s="1289" t="s">
        <v>722</v>
      </c>
      <c r="E44" s="24089"/>
      <c r="F44" s="24089"/>
      <c r="G44" s="24089"/>
      <c r="H44" s="24089"/>
      <c r="I44" s="24090" t="str">
        <f>S43&amp;".1"</f>
        <v>...1</v>
      </c>
      <c r="J44" s="1289"/>
      <c r="K44" s="1289"/>
      <c r="L44" s="1290"/>
      <c r="P44" s="24092">
        <v>1</v>
      </c>
      <c r="Q44" s="1376"/>
      <c r="R44" s="292"/>
      <c r="S44" s="1383" t="str">
        <f>$I44</f>
        <v>...1</v>
      </c>
      <c r="T44" s="221" t="s">
        <v>709</v>
      </c>
      <c r="U44" s="236"/>
      <c r="V44" s="24156"/>
      <c r="W44" s="24157"/>
      <c r="X44" s="24157"/>
      <c r="Y44" s="24157"/>
      <c r="Z44" s="24157"/>
      <c r="AA44" s="24157"/>
      <c r="AB44" s="24158"/>
      <c r="AC44" s="24159"/>
      <c r="AD44" s="24160"/>
      <c r="AE44" s="24160"/>
      <c r="AF44" s="24160"/>
      <c r="AG44" s="24160"/>
      <c r="AH44" s="24160"/>
      <c r="AI44" s="24160"/>
      <c r="AJ44" s="24161"/>
      <c r="AK44" s="1184" t="s">
        <v>710</v>
      </c>
      <c r="AM44" s="436"/>
      <c r="AN44" s="436" t="str">
        <f t="shared" si="1"/>
        <v>Наименование признака дифференциации</v>
      </c>
      <c r="AO44" s="436"/>
      <c r="AP44" s="436"/>
      <c r="AQ44" s="1081">
        <v>23</v>
      </c>
    </row>
    <row r="45" spans="1:43" ht="24" customHeight="1">
      <c r="A45" s="1289" t="s">
        <v>329</v>
      </c>
      <c r="B45" s="1289" t="s">
        <v>330</v>
      </c>
      <c r="C45" s="1289" t="s">
        <v>331</v>
      </c>
      <c r="D45" s="1289" t="s">
        <v>722</v>
      </c>
      <c r="E45" s="24089"/>
      <c r="F45" s="24089"/>
      <c r="G45" s="24089"/>
      <c r="H45" s="24089"/>
      <c r="I45" s="24091"/>
      <c r="J45" s="24090" t="str">
        <f>I44&amp;".1"</f>
        <v>...1.1</v>
      </c>
      <c r="K45" s="1289"/>
      <c r="L45" s="1290" t="s">
        <v>635</v>
      </c>
      <c r="P45" s="24092"/>
      <c r="Q45" s="24092">
        <v>1</v>
      </c>
      <c r="R45" s="293"/>
      <c r="S45" s="1383" t="str">
        <f>$J45</f>
        <v>...1.1</v>
      </c>
      <c r="T45" s="222" t="s">
        <v>636</v>
      </c>
      <c r="U45" s="236"/>
      <c r="V45" s="24076"/>
      <c r="W45" s="24077"/>
      <c r="X45" s="24077"/>
      <c r="Y45" s="24077"/>
      <c r="Z45" s="24077"/>
      <c r="AA45" s="24077"/>
      <c r="AB45" s="24078"/>
      <c r="AC45" s="24076"/>
      <c r="AD45" s="24077"/>
      <c r="AE45" s="24077"/>
      <c r="AF45" s="24077"/>
      <c r="AG45" s="24077"/>
      <c r="AH45" s="24077"/>
      <c r="AI45" s="24077"/>
      <c r="AJ45" s="24078"/>
      <c r="AK45" s="1233" t="s">
        <v>711</v>
      </c>
      <c r="AM45" s="436"/>
      <c r="AN45" s="436" t="str">
        <f t="shared" si="1"/>
        <v>Группа потребителей</v>
      </c>
      <c r="AO45" s="436"/>
      <c r="AP45" s="436"/>
      <c r="AQ45" s="1081">
        <v>23</v>
      </c>
    </row>
    <row r="46" spans="1:43" ht="24" customHeight="1">
      <c r="A46" s="1289" t="s">
        <v>329</v>
      </c>
      <c r="B46" s="1289" t="s">
        <v>330</v>
      </c>
      <c r="C46" s="1289" t="s">
        <v>331</v>
      </c>
      <c r="D46" s="1289" t="s">
        <v>722</v>
      </c>
      <c r="E46" s="24089"/>
      <c r="F46" s="24089"/>
      <c r="G46" s="24089"/>
      <c r="H46" s="24089"/>
      <c r="I46" s="24091"/>
      <c r="J46" s="24091"/>
      <c r="K46" s="24090" t="str">
        <f>J45&amp;".1"</f>
        <v>...1.1.1</v>
      </c>
      <c r="L46" s="1290"/>
      <c r="P46" s="24092"/>
      <c r="Q46" s="24092"/>
      <c r="R46" s="293">
        <v>1</v>
      </c>
      <c r="S46" s="1383" t="str">
        <f>$K46</f>
        <v>...1.1.1</v>
      </c>
      <c r="T46" s="1363"/>
      <c r="U46" s="236"/>
      <c r="V46" s="687"/>
      <c r="W46" s="687"/>
      <c r="X46" s="1183"/>
      <c r="Y46" s="24093"/>
      <c r="Z46" s="23957" t="s">
        <v>59</v>
      </c>
      <c r="AA46" s="24093"/>
      <c r="AB46" s="23957" t="s">
        <v>59</v>
      </c>
      <c r="AC46" s="687"/>
      <c r="AD46" s="687"/>
      <c r="AE46" s="1183"/>
      <c r="AF46" s="24093"/>
      <c r="AG46" s="23957" t="s">
        <v>59</v>
      </c>
      <c r="AH46" s="24095"/>
      <c r="AI46" s="23957" t="s">
        <v>59</v>
      </c>
      <c r="AJ46" s="1364"/>
      <c r="AK46"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329</v>
      </c>
      <c r="B47" s="1289" t="s">
        <v>330</v>
      </c>
      <c r="C47" s="1289" t="s">
        <v>331</v>
      </c>
      <c r="D47" s="1289" t="s">
        <v>722</v>
      </c>
      <c r="E47" s="24089"/>
      <c r="F47" s="24089"/>
      <c r="G47" s="24089"/>
      <c r="H47" s="24089"/>
      <c r="I47" s="24091"/>
      <c r="J47" s="24091"/>
      <c r="K47" s="24090"/>
      <c r="L47" s="1290"/>
      <c r="P47" s="24092"/>
      <c r="Q47" s="24092"/>
      <c r="R47" s="293"/>
      <c r="S47" s="1382"/>
      <c r="T47" s="236"/>
      <c r="U47" s="236"/>
      <c r="V47" s="261"/>
      <c r="W47" s="261"/>
      <c r="X47" s="264" t="str">
        <f>Y46&amp;"-"&amp;AA46</f>
        <v>-</v>
      </c>
      <c r="Y47" s="24094"/>
      <c r="Z47" s="23957"/>
      <c r="AA47" s="24094"/>
      <c r="AB47" s="23957"/>
      <c r="AC47" s="261"/>
      <c r="AD47" s="261"/>
      <c r="AE47" s="264" t="str">
        <f>AF46&amp;"-"&amp;AH46</f>
        <v>-</v>
      </c>
      <c r="AF47" s="24094"/>
      <c r="AG47" s="23957"/>
      <c r="AH47" s="24096"/>
      <c r="AI47" s="23957"/>
      <c r="AJ47" s="1365"/>
      <c r="AK47" s="24162"/>
      <c r="AM47" s="436"/>
      <c r="AN47" s="436" t="str">
        <f t="shared" si="1"/>
        <v/>
      </c>
      <c r="AO47" s="436"/>
      <c r="AP47" s="436"/>
      <c r="AQ47" s="1081">
        <v>0</v>
      </c>
    </row>
    <row r="48" spans="1:43" ht="21" customHeight="1">
      <c r="A48" s="1289" t="s">
        <v>329</v>
      </c>
      <c r="B48" s="1289" t="s">
        <v>330</v>
      </c>
      <c r="C48" s="1289" t="s">
        <v>331</v>
      </c>
      <c r="D48" s="1289" t="s">
        <v>722</v>
      </c>
      <c r="E48" s="24089"/>
      <c r="F48" s="24089"/>
      <c r="G48" s="24089"/>
      <c r="H48" s="24089"/>
      <c r="I48" s="24091"/>
      <c r="J48" s="24090"/>
      <c r="K48" s="1289"/>
      <c r="L48" s="1290"/>
      <c r="P48" s="24092"/>
      <c r="Q48" s="24092"/>
      <c r="R48" s="292"/>
      <c r="S48" s="1204"/>
      <c r="T48" s="223" t="s">
        <v>712</v>
      </c>
      <c r="U48" s="303"/>
      <c r="V48" s="303"/>
      <c r="W48" s="303"/>
      <c r="X48" s="303"/>
      <c r="Y48" s="303"/>
      <c r="Z48" s="303"/>
      <c r="AA48" s="303"/>
      <c r="AB48" s="303"/>
      <c r="AC48" s="303"/>
      <c r="AD48" s="303"/>
      <c r="AE48" s="303"/>
      <c r="AF48" s="303"/>
      <c r="AG48" s="303"/>
      <c r="AH48" s="303"/>
      <c r="AI48" s="303"/>
      <c r="AJ48" s="303"/>
      <c r="AK48" s="1184" t="s">
        <v>713</v>
      </c>
      <c r="AM48" s="436"/>
      <c r="AN48" s="436" t="str">
        <f t="shared" si="1"/>
        <v>Добавить значение признака дифференциации</v>
      </c>
      <c r="AO48" s="436"/>
      <c r="AP48" s="436"/>
      <c r="AQ48" s="1081">
        <v>20</v>
      </c>
    </row>
    <row r="49" spans="1:43" ht="21.95" customHeight="1">
      <c r="A49" s="1289" t="s">
        <v>329</v>
      </c>
      <c r="B49" s="1289" t="s">
        <v>330</v>
      </c>
      <c r="C49" s="1289" t="s">
        <v>331</v>
      </c>
      <c r="D49" s="1289" t="s">
        <v>722</v>
      </c>
      <c r="E49" s="24089"/>
      <c r="F49" s="24089"/>
      <c r="G49" s="24089"/>
      <c r="H49" s="24089"/>
      <c r="I49" s="24090"/>
      <c r="J49" s="1289"/>
      <c r="K49" s="1289"/>
      <c r="L49" s="1290"/>
      <c r="P49" s="24092"/>
      <c r="Q49" s="1376"/>
      <c r="R49" s="292"/>
      <c r="S49" s="1204"/>
      <c r="T49" s="301" t="s">
        <v>641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329</v>
      </c>
      <c r="B50" s="1289" t="s">
        <v>330</v>
      </c>
      <c r="C50" s="1289" t="s">
        <v>331</v>
      </c>
      <c r="D50" s="1289" t="s">
        <v>722</v>
      </c>
      <c r="E50" s="24089"/>
      <c r="F50" s="24089"/>
      <c r="G50" s="24089"/>
      <c r="H50" s="24088"/>
      <c r="I50" s="1289"/>
      <c r="J50" s="1289"/>
      <c r="K50" s="1289"/>
      <c r="L50" s="1290"/>
      <c r="M50" s="1291"/>
      <c r="N50" s="1291"/>
      <c r="O50" s="473"/>
      <c r="P50" s="296"/>
      <c r="Q50" s="311"/>
      <c r="R50" s="291"/>
      <c r="S50" s="1204"/>
      <c r="T50" s="308" t="s">
        <v>714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329</v>
      </c>
      <c r="B51" s="1269" t="s">
        <v>330</v>
      </c>
      <c r="C51" s="1240"/>
      <c r="D51" s="1240"/>
      <c r="E51" s="24089"/>
      <c r="F51" s="24088"/>
      <c r="G51" s="1240"/>
      <c r="H51" s="1240"/>
      <c r="I51" s="1240"/>
      <c r="J51" s="1240"/>
      <c r="K51" s="1240"/>
      <c r="L51" s="1384"/>
      <c r="M51" s="1247"/>
      <c r="N51" s="1247"/>
      <c r="P51" s="1242"/>
      <c r="Q51" s="1243"/>
      <c r="R51" s="1242"/>
      <c r="S51" s="1248"/>
      <c r="T51" s="1251" t="s">
        <v>370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329</v>
      </c>
      <c r="B52" s="1269"/>
      <c r="C52" s="1269"/>
      <c r="D52" s="1269"/>
      <c r="E52" s="24088"/>
      <c r="F52" s="1269"/>
      <c r="G52" s="1269"/>
      <c r="H52" s="1269"/>
      <c r="I52" s="1269"/>
      <c r="J52" s="1269"/>
      <c r="K52" s="1269"/>
      <c r="L52" s="1272"/>
      <c r="M52" s="1247"/>
      <c r="N52" s="1247"/>
      <c r="O52" s="454"/>
      <c r="P52" s="316"/>
      <c r="Q52" s="1270"/>
      <c r="R52" s="316"/>
      <c r="S52" s="1248"/>
      <c r="T52" s="1251" t="s">
        <v>481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087"/>
      <c r="U55" s="24087"/>
      <c r="V55" s="24087"/>
      <c r="W55" s="24087"/>
      <c r="X55" s="24087"/>
      <c r="Y55" s="24087"/>
      <c r="Z55" s="24087"/>
      <c r="AA55" s="24087"/>
      <c r="AB55" s="24087"/>
      <c r="AC55" s="24087"/>
      <c r="AD55" s="24087"/>
      <c r="AE55" s="24087"/>
      <c r="AF55" s="24087"/>
      <c r="AG55" s="24087"/>
      <c r="AH55" s="24087"/>
      <c r="AI55" s="24087"/>
      <c r="AJ55" s="24087"/>
      <c r="AK55" s="24087"/>
      <c r="AQ55" s="1081">
        <v>14</v>
      </c>
    </row>
    <row r="56" spans="1:43" ht="14.65" customHeight="1">
      <c r="O56" s="473"/>
      <c r="AQ56" s="1081">
        <v>14</v>
      </c>
    </row>
    <row r="57" spans="1:43" ht="14.65" customHeight="1">
      <c r="O57" s="473"/>
      <c r="S57" s="1179"/>
      <c r="T57" s="24087"/>
      <c r="U57" s="24087"/>
      <c r="V57" s="24087"/>
      <c r="W57" s="24087"/>
      <c r="X57" s="24087"/>
      <c r="Y57" s="24087"/>
      <c r="Z57" s="24087"/>
      <c r="AA57" s="24087"/>
      <c r="AB57" s="24087"/>
      <c r="AC57" s="24087"/>
      <c r="AD57" s="24087"/>
      <c r="AE57" s="24087"/>
      <c r="AF57" s="24087"/>
      <c r="AG57" s="24087"/>
      <c r="AH57" s="24087"/>
      <c r="AI57" s="24087"/>
      <c r="AJ57" s="24087"/>
      <c r="AK57" s="24087"/>
      <c r="AQ57" s="1081">
        <v>14</v>
      </c>
    </row>
    <row r="58" spans="1:43" ht="22.5" hidden="1" customHeight="1">
      <c r="A58" s="1086" t="s">
        <v>73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v>
      </c>
    </row>
    <row r="2" spans="1:43" ht="23.25" hidden="1" customHeight="1">
      <c r="A2" s="1289"/>
      <c r="B2" s="1289"/>
      <c r="C2" s="1289"/>
      <c r="D2" s="1289"/>
      <c r="E2" s="24088">
        <v>1</v>
      </c>
      <c r="F2" s="1289"/>
      <c r="G2" s="1289"/>
      <c r="H2" s="1289"/>
      <c r="I2" s="1289"/>
      <c r="J2" s="1289"/>
      <c r="K2" s="1289"/>
      <c r="L2" s="1290"/>
      <c r="M2" s="1291"/>
      <c r="N2" s="1291"/>
      <c r="O2" s="1291"/>
      <c r="P2" s="297"/>
      <c r="Q2" s="296"/>
      <c r="R2" s="291"/>
      <c r="S2" s="1383" t="e">
        <f>INDEX(PT_DIFFERENTIATION_NUM_NTAR,MATCH(A2,PT_DIFFERENTIATION_NTAR_ID,0))</f>
        <v>#N/A</v>
      </c>
      <c r="T2" s="234" t="s">
        <v>229</v>
      </c>
      <c r="U2" s="236"/>
      <c r="V2" s="24082"/>
      <c r="W2" s="24083"/>
      <c r="X2" s="24083"/>
      <c r="Y2" s="24083"/>
      <c r="Z2" s="24083"/>
      <c r="AA2" s="24083"/>
      <c r="AB2" s="24084"/>
      <c r="AC2" s="24082" t="e">
        <f>INDEX(PT_DIFFERENTIATION_NTAR,MATCH(A2,PT_DIFFERENTIATION_NTAR_ID,0))</f>
        <v>#N/A</v>
      </c>
      <c r="AD2" s="24083"/>
      <c r="AE2" s="24083"/>
      <c r="AF2" s="24083"/>
      <c r="AG2" s="24083"/>
      <c r="AH2" s="24083"/>
      <c r="AI2" s="24083"/>
      <c r="AJ2" s="240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089"/>
      <c r="F3" s="24088">
        <v>1</v>
      </c>
      <c r="G3" s="1289"/>
      <c r="H3" s="1289"/>
      <c r="I3" s="1289"/>
      <c r="J3" s="1289"/>
      <c r="K3" s="1289"/>
      <c r="L3" s="1290"/>
      <c r="M3" s="1291"/>
      <c r="N3" s="1291"/>
      <c r="O3" s="1291"/>
      <c r="P3" s="1379"/>
      <c r="Q3" s="288"/>
      <c r="R3" s="289"/>
      <c r="S3" s="1383" t="e">
        <f>INDEX(PT_DIFFERENTIATION_NUM_TER,MATCH(B3,PT_DIFFERENTIATION_TER_ID,0))</f>
        <v>#N/A</v>
      </c>
      <c r="T3" s="244" t="s">
        <v>626</v>
      </c>
      <c r="U3" s="236"/>
      <c r="V3" s="24082"/>
      <c r="W3" s="24083"/>
      <c r="X3" s="24083"/>
      <c r="Y3" s="24083"/>
      <c r="Z3" s="24083"/>
      <c r="AA3" s="24083"/>
      <c r="AB3" s="24084"/>
      <c r="AC3" s="24082" t="e">
        <f>INDEX(PT_DIFFERENTIATION_TER,MATCH(B3,PT_DIFFERENTIATION_TER_ID,0))</f>
        <v>#N/A</v>
      </c>
      <c r="AD3" s="24083"/>
      <c r="AE3" s="24083"/>
      <c r="AF3" s="24083"/>
      <c r="AG3" s="24083"/>
      <c r="AH3" s="24083"/>
      <c r="AI3" s="24083"/>
      <c r="AJ3" s="24084"/>
      <c r="AK3" s="1184" t="s">
        <v>627</v>
      </c>
      <c r="AM3" s="436"/>
      <c r="AN3" s="436" t="str">
        <f t="shared" si="0"/>
        <v>Территория действия тарифа</v>
      </c>
      <c r="AO3" s="436"/>
      <c r="AP3" s="436"/>
      <c r="AQ3" s="1081">
        <v>0</v>
      </c>
    </row>
    <row r="4" spans="1:43" ht="23.25" hidden="1" customHeight="1">
      <c r="A4" s="1289"/>
      <c r="B4" s="1289"/>
      <c r="C4" s="1289"/>
      <c r="D4" s="1289"/>
      <c r="E4" s="24089"/>
      <c r="F4" s="24089"/>
      <c r="G4" s="24088">
        <v>1</v>
      </c>
      <c r="H4" s="1289"/>
      <c r="I4" s="1289"/>
      <c r="J4" s="1289"/>
      <c r="K4" s="1289"/>
      <c r="L4" s="1290"/>
      <c r="M4" s="1291"/>
      <c r="N4" s="1291"/>
      <c r="O4" s="1291"/>
      <c r="P4" s="290"/>
      <c r="Q4" s="288"/>
      <c r="R4" s="289"/>
      <c r="S4" s="1383" t="e">
        <f>INDEX(PT_DIFFERENTIATION_NUM_CS,MATCH(C4,PT_DIFFERENTIATION_CS_ID,0))</f>
        <v>#N/A</v>
      </c>
      <c r="T4" s="245" t="s">
        <v>707</v>
      </c>
      <c r="U4" s="236"/>
      <c r="V4" s="24082"/>
      <c r="W4" s="24083"/>
      <c r="X4" s="24083"/>
      <c r="Y4" s="24083"/>
      <c r="Z4" s="24083"/>
      <c r="AA4" s="24083"/>
      <c r="AB4" s="24084"/>
      <c r="AC4" s="24082" t="e">
        <f>INDEX(PT_DIFFERENTIATION_CS,MATCH(C4,PT_DIFFERENTIATION_CS_ID,0))</f>
        <v>#N/A</v>
      </c>
      <c r="AD4" s="24083"/>
      <c r="AE4" s="24083"/>
      <c r="AF4" s="24083"/>
      <c r="AG4" s="24083"/>
      <c r="AH4" s="24083"/>
      <c r="AI4" s="24083"/>
      <c r="AJ4" s="24084"/>
      <c r="AK4" s="1184" t="s">
        <v>708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089"/>
      <c r="F5" s="24089"/>
      <c r="G5" s="24089"/>
      <c r="H5" s="24089"/>
      <c r="I5" s="24090" t="e">
        <f>S4&amp;".1"</f>
        <v>#N/A</v>
      </c>
      <c r="J5" s="1289"/>
      <c r="K5" s="1289"/>
      <c r="L5" s="1290"/>
      <c r="P5" s="24092">
        <v>1</v>
      </c>
      <c r="Q5" s="1376"/>
      <c r="R5" s="292"/>
      <c r="S5" s="1383" t="e">
        <f>$I5</f>
        <v>#N/A</v>
      </c>
      <c r="T5" s="221" t="s">
        <v>709</v>
      </c>
      <c r="U5" s="236"/>
      <c r="V5" s="24156"/>
      <c r="W5" s="24157"/>
      <c r="X5" s="24157"/>
      <c r="Y5" s="24157"/>
      <c r="Z5" s="24157"/>
      <c r="AA5" s="24157"/>
      <c r="AB5" s="24158"/>
      <c r="AC5" s="24159"/>
      <c r="AD5" s="24160"/>
      <c r="AE5" s="24160"/>
      <c r="AF5" s="24160"/>
      <c r="AG5" s="24160"/>
      <c r="AH5" s="24160"/>
      <c r="AI5" s="24160"/>
      <c r="AJ5" s="24161"/>
      <c r="AK5" s="1184" t="s">
        <v>710</v>
      </c>
      <c r="AM5" s="436"/>
      <c r="AN5" s="436" t="str">
        <f t="shared" si="0"/>
        <v>Наименование признака дифференциации</v>
      </c>
      <c r="AO5" s="436"/>
      <c r="AP5" s="436"/>
      <c r="AQ5" s="1081">
        <v>0</v>
      </c>
    </row>
    <row r="6" spans="1:43" ht="23.25" hidden="1" customHeight="1">
      <c r="A6" s="1289"/>
      <c r="B6" s="1289"/>
      <c r="C6" s="1289"/>
      <c r="D6" s="1289"/>
      <c r="E6" s="24089"/>
      <c r="F6" s="24089"/>
      <c r="G6" s="24089"/>
      <c r="H6" s="24089"/>
      <c r="I6" s="24091"/>
      <c r="J6" s="24090" t="e">
        <f>I5&amp;".1"</f>
        <v>#N/A</v>
      </c>
      <c r="K6" s="1289"/>
      <c r="L6" s="1290" t="s">
        <v>635</v>
      </c>
      <c r="P6" s="24092"/>
      <c r="Q6" s="24092">
        <v>1</v>
      </c>
      <c r="R6" s="293"/>
      <c r="S6" s="1383" t="e">
        <f>$J6</f>
        <v>#N/A</v>
      </c>
      <c r="T6" s="222" t="s">
        <v>636</v>
      </c>
      <c r="U6" s="236"/>
      <c r="V6" s="24076"/>
      <c r="W6" s="24077"/>
      <c r="X6" s="24077"/>
      <c r="Y6" s="24077"/>
      <c r="Z6" s="24077"/>
      <c r="AA6" s="24077"/>
      <c r="AB6" s="24078"/>
      <c r="AC6" s="24076"/>
      <c r="AD6" s="24077"/>
      <c r="AE6" s="24077"/>
      <c r="AF6" s="24077"/>
      <c r="AG6" s="24077"/>
      <c r="AH6" s="24077"/>
      <c r="AI6" s="24077"/>
      <c r="AJ6" s="24078"/>
      <c r="AK6" s="1233" t="s">
        <v>711</v>
      </c>
      <c r="AM6" s="436"/>
      <c r="AN6" s="436" t="str">
        <f t="shared" si="0"/>
        <v>Группа потребителей</v>
      </c>
      <c r="AO6" s="436"/>
      <c r="AP6" s="436"/>
      <c r="AQ6" s="1081">
        <v>0</v>
      </c>
    </row>
    <row r="7" spans="1:43" ht="23.25" hidden="1" customHeight="1">
      <c r="A7" s="1289"/>
      <c r="B7" s="1289"/>
      <c r="C7" s="1289"/>
      <c r="D7" s="1289"/>
      <c r="E7" s="24089"/>
      <c r="F7" s="24089"/>
      <c r="G7" s="24089"/>
      <c r="H7" s="24089"/>
      <c r="I7" s="24091"/>
      <c r="J7" s="24091"/>
      <c r="K7" s="24090" t="e">
        <f>J6&amp;".1"</f>
        <v>#N/A</v>
      </c>
      <c r="L7" s="1290"/>
      <c r="P7" s="24092"/>
      <c r="Q7" s="24092"/>
      <c r="R7" s="293">
        <v>1</v>
      </c>
      <c r="S7" s="1383" t="e">
        <f>$K7</f>
        <v>#N/A</v>
      </c>
      <c r="T7" s="1363"/>
      <c r="U7" s="236"/>
      <c r="V7" s="687"/>
      <c r="W7" s="687"/>
      <c r="X7" s="1183"/>
      <c r="Y7" s="24093"/>
      <c r="Z7" s="23957" t="s">
        <v>59</v>
      </c>
      <c r="AA7" s="24093"/>
      <c r="AB7" s="23957" t="s">
        <v>59</v>
      </c>
      <c r="AC7" s="687"/>
      <c r="AD7" s="687"/>
      <c r="AE7" s="1183"/>
      <c r="AF7" s="24093"/>
      <c r="AG7" s="23957" t="s">
        <v>59</v>
      </c>
      <c r="AH7" s="24095"/>
      <c r="AI7" s="23957" t="s">
        <v>59</v>
      </c>
      <c r="AJ7" s="1364"/>
      <c r="AK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089"/>
      <c r="F8" s="24089"/>
      <c r="G8" s="24089"/>
      <c r="H8" s="24089"/>
      <c r="I8" s="24091"/>
      <c r="J8" s="24091"/>
      <c r="K8" s="24090"/>
      <c r="L8" s="1290"/>
      <c r="P8" s="24092"/>
      <c r="Q8" s="24092"/>
      <c r="R8" s="293"/>
      <c r="S8" s="1382"/>
      <c r="T8" s="236"/>
      <c r="U8" s="236"/>
      <c r="V8" s="261"/>
      <c r="W8" s="261"/>
      <c r="X8" s="264" t="str">
        <f>Y7&amp;"-"&amp;AA7</f>
        <v>-</v>
      </c>
      <c r="Y8" s="24094"/>
      <c r="Z8" s="23957"/>
      <c r="AA8" s="24094"/>
      <c r="AB8" s="23957"/>
      <c r="AC8" s="261"/>
      <c r="AD8" s="261"/>
      <c r="AE8" s="264" t="str">
        <f>AF7&amp;"-"&amp;AH7</f>
        <v>-</v>
      </c>
      <c r="AF8" s="24094"/>
      <c r="AG8" s="23957"/>
      <c r="AH8" s="24096"/>
      <c r="AI8" s="23957"/>
      <c r="AJ8" s="1365"/>
      <c r="AK8" s="24162"/>
      <c r="AM8" s="436"/>
      <c r="AN8" s="436" t="str">
        <f t="shared" si="0"/>
        <v/>
      </c>
      <c r="AO8" s="436"/>
      <c r="AP8" s="436"/>
      <c r="AQ8" s="1081">
        <v>0</v>
      </c>
    </row>
    <row r="9" spans="1:43" ht="21" hidden="1" customHeight="1">
      <c r="A9" s="1289"/>
      <c r="B9" s="1289"/>
      <c r="C9" s="1289"/>
      <c r="D9" s="1289"/>
      <c r="E9" s="24089"/>
      <c r="F9" s="24089"/>
      <c r="G9" s="24089"/>
      <c r="H9" s="24089"/>
      <c r="I9" s="24091"/>
      <c r="J9" s="24090"/>
      <c r="K9" s="1289"/>
      <c r="L9" s="1290"/>
      <c r="P9" s="24092"/>
      <c r="Q9" s="24092"/>
      <c r="R9" s="292"/>
      <c r="S9" s="1204"/>
      <c r="T9" s="223" t="s">
        <v>712</v>
      </c>
      <c r="U9" s="303"/>
      <c r="V9" s="303"/>
      <c r="W9" s="303"/>
      <c r="X9" s="303"/>
      <c r="Y9" s="303"/>
      <c r="Z9" s="303"/>
      <c r="AA9" s="303"/>
      <c r="AB9" s="303"/>
      <c r="AC9" s="303"/>
      <c r="AD9" s="303"/>
      <c r="AE9" s="303"/>
      <c r="AF9" s="303"/>
      <c r="AG9" s="303"/>
      <c r="AH9" s="303"/>
      <c r="AI9" s="303"/>
      <c r="AJ9" s="303"/>
      <c r="AK9" s="1184" t="s">
        <v>713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089"/>
      <c r="F10" s="24089"/>
      <c r="G10" s="24089"/>
      <c r="H10" s="24089"/>
      <c r="I10" s="24090"/>
      <c r="J10" s="1289"/>
      <c r="K10" s="1289"/>
      <c r="L10" s="1290"/>
      <c r="P10" s="24092"/>
      <c r="Q10" s="1376"/>
      <c r="R10" s="292"/>
      <c r="S10" s="1204"/>
      <c r="T10" s="301" t="s">
        <v>641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089"/>
      <c r="F12" s="24088"/>
      <c r="G12" s="1240"/>
      <c r="H12" s="1240"/>
      <c r="I12" s="1240"/>
      <c r="J12" s="1240"/>
      <c r="K12" s="1240"/>
      <c r="L12" s="1384"/>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4086"/>
      <c r="AG15" s="24085" t="s">
        <v>59</v>
      </c>
      <c r="AH15" s="24086"/>
      <c r="AI15" s="24085" t="s">
        <v>59</v>
      </c>
      <c r="AQ15" s="1081">
        <v>0</v>
      </c>
    </row>
    <row r="16" spans="1:43" ht="14.25" hidden="1" customHeight="1">
      <c r="AC16" s="1286"/>
      <c r="AD16" s="1286"/>
      <c r="AE16" s="264" t="str">
        <f>AF15&amp;"-"&amp;AH15</f>
        <v>-</v>
      </c>
      <c r="AF16" s="24085"/>
      <c r="AG16" s="24085"/>
      <c r="AH16" s="24085"/>
      <c r="AI16" s="24085"/>
      <c r="AQ16" s="1081">
        <v>0</v>
      </c>
    </row>
    <row r="17" spans="1:43" ht="14.25" hidden="1" customHeight="1">
      <c r="AI17" s="263"/>
      <c r="AQ17" s="1081">
        <v>0</v>
      </c>
    </row>
    <row r="18" spans="1:43" s="1292" customFormat="1" ht="22.5" hidden="1" customHeight="1">
      <c r="L18" s="1373"/>
      <c r="M18" s="1288"/>
      <c r="N18" s="1288"/>
      <c r="O18" s="1293" t="s">
        <v>644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645</v>
      </c>
      <c r="P20" s="1288"/>
      <c r="Q20" s="1368"/>
      <c r="R20" s="1368"/>
      <c r="S20" s="665"/>
      <c r="T20" s="1086" t="s">
        <v>646</v>
      </c>
      <c r="Z20" s="123" t="s">
        <v>647</v>
      </c>
      <c r="AB20" s="123" t="s">
        <v>648</v>
      </c>
      <c r="AC20" s="1086" t="s">
        <v>646</v>
      </c>
      <c r="AG20" s="123" t="s">
        <v>649</v>
      </c>
      <c r="AI20" s="123" t="s">
        <v>648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1169"/>
      <c r="AQ24" s="1081">
        <v>14</v>
      </c>
    </row>
    <row r="25" spans="1:4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62"/>
      <c r="AC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D27" s="24081"/>
      <c r="AE27" s="24081"/>
      <c r="AF27" s="24081"/>
      <c r="AG27" s="24081"/>
      <c r="AH27" s="24081"/>
      <c r="AI27" s="262"/>
      <c r="AJ27" s="262"/>
      <c r="AK27" s="216"/>
      <c r="AL27" s="304"/>
      <c r="AM27" s="304"/>
      <c r="AN27" s="304"/>
      <c r="AO27" s="304"/>
      <c r="AP27" s="304"/>
      <c r="AQ27" s="354">
        <v>0</v>
      </c>
    </row>
    <row r="28" spans="1:4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62"/>
      <c r="AC28" s="24080" t="str">
        <f>IF(TITLE_DATE_PR_CHANGE="",IF(TITLE_DATE_PR="","",TITLE_DATE_PR),TITLE_DATE_PR_CHANGE)</f>
        <v>20.12.2024</v>
      </c>
      <c r="AD28" s="24080"/>
      <c r="AE28" s="24080"/>
      <c r="AF28" s="24080"/>
      <c r="AG28" s="24080"/>
      <c r="AH28" s="24080"/>
      <c r="AI28" s="262"/>
      <c r="AJ28" s="262"/>
      <c r="AK28" s="216"/>
      <c r="AL28" s="304"/>
      <c r="AM28" s="304"/>
      <c r="AN28" s="304"/>
      <c r="AO28" s="304"/>
      <c r="AP28" s="304"/>
      <c r="AQ28" s="354">
        <v>0</v>
      </c>
    </row>
    <row r="29" spans="1:4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62"/>
      <c r="AC29" s="24081" t="str">
        <f>IF(TITLE_NUMBER_PR_CHANGE="",IF(TITLE_NUMBER_PR="","",TITLE_NUMBER_PR),TITLE_NUMBER_PR_CHANGE)</f>
        <v>403, 404</v>
      </c>
      <c r="AD29" s="24081"/>
      <c r="AE29" s="24081"/>
      <c r="AF29" s="24081"/>
      <c r="AG29" s="24081"/>
      <c r="AH29" s="24081"/>
      <c r="AI29" s="262"/>
      <c r="AJ29" s="262"/>
      <c r="AK29" s="216"/>
      <c r="AL29" s="304"/>
      <c r="AM29" s="304"/>
      <c r="AN29" s="304"/>
      <c r="AO29" s="304"/>
      <c r="AP29" s="304"/>
      <c r="AQ29" s="354">
        <v>0</v>
      </c>
    </row>
    <row r="30" spans="1:4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62"/>
      <c r="AC30" s="24081" t="str">
        <f>IF(TITLE_IST_PUB_CHANGE="",IF(TITLE_IST_PUB="","",TITLE_IST_PUB),TITLE_IST_PUB_CHANGE)</f>
        <v>Смоленская газета</v>
      </c>
      <c r="AD30" s="24081"/>
      <c r="AE30" s="24081"/>
      <c r="AF30" s="24081"/>
      <c r="AG30" s="24081"/>
      <c r="AH30" s="2408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62"/>
      <c r="AC32" s="24080" t="str">
        <f>IF(TITLE_DATE_PR_CHANGE="",IF(TITLE_DATE_PR="","",TITLE_DATE_PR),TITLE_DATE_PR_CHANGE)</f>
        <v>20.12.2024</v>
      </c>
      <c r="AD32" s="24080"/>
      <c r="AE32" s="24080"/>
      <c r="AF32" s="24080"/>
      <c r="AG32" s="24080"/>
      <c r="AH32" s="24080"/>
      <c r="AI32" s="262"/>
      <c r="AJ32" s="262"/>
      <c r="AK32" s="216"/>
      <c r="AL32" s="304"/>
      <c r="AM32" s="304"/>
      <c r="AN32" s="304"/>
      <c r="AO32" s="304"/>
      <c r="AP32" s="304"/>
      <c r="AQ32" s="354">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62"/>
      <c r="AC33" s="24081" t="str">
        <f>IF(TITLE_NUMBER_PR_CHANGE="",IF(TITLE_NUMBER_PR="","",TITLE_NUMBER_PR),TITLE_NUMBER_PR_CHANGE)</f>
        <v>403, 404</v>
      </c>
      <c r="AD33" s="24081"/>
      <c r="AE33" s="24081"/>
      <c r="AF33" s="24081"/>
      <c r="AG33" s="24081"/>
      <c r="AH33" s="24081"/>
      <c r="AI33" s="262"/>
      <c r="AJ33" s="262"/>
      <c r="AK33" s="216"/>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654</v>
      </c>
      <c r="AC34" s="262"/>
      <c r="AD34" s="262"/>
      <c r="AE34" s="262"/>
      <c r="AF34" s="262"/>
      <c r="AG34" s="262"/>
      <c r="AH34" s="262"/>
      <c r="AI34" s="214" t="s">
        <v>654</v>
      </c>
      <c r="AL34" s="304"/>
      <c r="AM34" s="304"/>
      <c r="AN34" s="304"/>
      <c r="AO34" s="304"/>
      <c r="AP34" s="304"/>
      <c r="AQ34" s="354">
        <v>1</v>
      </c>
    </row>
    <row r="35" spans="1:4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Q35" s="1081">
        <v>14</v>
      </c>
    </row>
    <row r="36" spans="1:43"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t="s">
        <v>530</v>
      </c>
      <c r="AQ36" s="1081">
        <v>14</v>
      </c>
    </row>
    <row r="37" spans="1:43" ht="14.65" customHeight="1">
      <c r="Q37" s="312"/>
      <c r="R37" s="312"/>
      <c r="S37" s="24101" t="s">
        <v>79</v>
      </c>
      <c r="T37" s="24050" t="s">
        <v>655</v>
      </c>
      <c r="U37" s="237"/>
      <c r="V37" s="24102" t="s">
        <v>656</v>
      </c>
      <c r="W37" s="24103"/>
      <c r="X37" s="24103"/>
      <c r="Y37" s="24103"/>
      <c r="Z37" s="24103"/>
      <c r="AA37" s="24104"/>
      <c r="AB37" s="24105" t="s">
        <v>657</v>
      </c>
      <c r="AC37" s="24102" t="s">
        <v>656</v>
      </c>
      <c r="AD37" s="24103"/>
      <c r="AE37" s="24103"/>
      <c r="AF37" s="24103"/>
      <c r="AG37" s="24103"/>
      <c r="AH37" s="24104"/>
      <c r="AI37" s="24105" t="s">
        <v>658</v>
      </c>
      <c r="AJ37" s="24108" t="s">
        <v>659</v>
      </c>
      <c r="AK37" s="23947"/>
      <c r="AQ37" s="1081">
        <v>14</v>
      </c>
    </row>
    <row r="38" spans="1:43" ht="35.65" customHeight="1">
      <c r="Q38" s="312"/>
      <c r="R38" s="312"/>
      <c r="S38" s="24101"/>
      <c r="T38" s="24050"/>
      <c r="U38" s="960"/>
      <c r="V38" s="1378" t="s">
        <v>715</v>
      </c>
      <c r="W38" s="23928" t="s">
        <v>662</v>
      </c>
      <c r="X38" s="23927"/>
      <c r="Y38" s="23928" t="s">
        <v>663</v>
      </c>
      <c r="Z38" s="23933"/>
      <c r="AA38" s="23927"/>
      <c r="AB38" s="24106"/>
      <c r="AC38" s="1378" t="s">
        <v>715</v>
      </c>
      <c r="AD38" s="23928" t="s">
        <v>662</v>
      </c>
      <c r="AE38" s="23927"/>
      <c r="AF38" s="23928" t="s">
        <v>663</v>
      </c>
      <c r="AG38" s="23933"/>
      <c r="AH38" s="23927"/>
      <c r="AI38" s="24106"/>
      <c r="AJ38" s="24109"/>
      <c r="AK38" s="23947"/>
      <c r="AQ38" s="1081">
        <v>34</v>
      </c>
    </row>
    <row r="39" spans="1:43" ht="35.65" customHeight="1">
      <c r="A39" s="1296"/>
      <c r="B39" s="1296" t="s">
        <v>241</v>
      </c>
      <c r="C39" s="1296" t="s">
        <v>242</v>
      </c>
      <c r="D39" s="1296" t="s">
        <v>243</v>
      </c>
      <c r="E39" s="1290" t="s">
        <v>664</v>
      </c>
      <c r="F39" s="1290" t="s">
        <v>665</v>
      </c>
      <c r="G39" s="1290" t="s">
        <v>666</v>
      </c>
      <c r="H39" s="1290"/>
      <c r="I39" s="1290" t="s">
        <v>716</v>
      </c>
      <c r="J39" s="1290" t="s">
        <v>669</v>
      </c>
      <c r="K39" s="1290" t="s">
        <v>717</v>
      </c>
      <c r="L39" s="1290" t="s">
        <v>645</v>
      </c>
      <c r="Q39" s="312"/>
      <c r="R39" s="312"/>
      <c r="S39" s="24101"/>
      <c r="T39" s="24050"/>
      <c r="U39" s="238"/>
      <c r="V39" s="1378" t="s">
        <v>718</v>
      </c>
      <c r="W39" s="1148" t="s">
        <v>719</v>
      </c>
      <c r="X39" s="1148" t="s">
        <v>720</v>
      </c>
      <c r="Y39" s="1381" t="s">
        <v>673</v>
      </c>
      <c r="Z39" s="24055" t="s">
        <v>674</v>
      </c>
      <c r="AA39" s="24068"/>
      <c r="AB39" s="24107"/>
      <c r="AC39" s="1378" t="s">
        <v>718</v>
      </c>
      <c r="AD39" s="1148" t="s">
        <v>719</v>
      </c>
      <c r="AE39" s="1148" t="s">
        <v>720</v>
      </c>
      <c r="AF39" s="1381" t="s">
        <v>673</v>
      </c>
      <c r="AG39" s="24055" t="s">
        <v>674</v>
      </c>
      <c r="AH39" s="24068"/>
      <c r="AI39" s="24107"/>
      <c r="AJ39" s="24110"/>
      <c r="AK39" s="2394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218</v>
      </c>
      <c r="T40" s="1181" t="s">
        <v>95</v>
      </c>
      <c r="U40" s="1171" t="str">
        <f ca="1">OFFSET(U40,0,-1)</f>
        <v>2</v>
      </c>
      <c r="V40" s="1377">
        <f ca="1">OFFSET(V40,0,-1)+1</f>
        <v>3</v>
      </c>
      <c r="W40" s="1377">
        <f ca="1">OFFSET(W40,0,-1)+1</f>
        <v>4</v>
      </c>
      <c r="X40" s="1377">
        <f ca="1">OFFSET(X40,0,-1)+1</f>
        <v>5</v>
      </c>
      <c r="Y40" s="1377">
        <f ca="1">OFFSET(Y40,0,-1)+1</f>
        <v>6</v>
      </c>
      <c r="Z40" s="24099">
        <f ca="1">OFFSET(Z40,0,-1)+1</f>
        <v>7</v>
      </c>
      <c r="AA40" s="24099"/>
      <c r="AB40" s="1377">
        <f ca="1">OFFSET(AB40,0,-2)+1</f>
        <v>8</v>
      </c>
      <c r="AC40" s="1377">
        <f ca="1">OFFSET(AC40,0,-1)+1</f>
        <v>9</v>
      </c>
      <c r="AD40" s="1377">
        <f ca="1">OFFSET(AD40,0,-1)+1</f>
        <v>10</v>
      </c>
      <c r="AE40" s="1377">
        <f ca="1">OFFSET(AE40,0,-1)+1</f>
        <v>11</v>
      </c>
      <c r="AF40" s="1377">
        <f ca="1">OFFSET(AF40,0,-1)+1</f>
        <v>12</v>
      </c>
      <c r="AG40" s="24099">
        <f ca="1">OFFSET(AG40,0,-1)+1</f>
        <v>13</v>
      </c>
      <c r="AH40" s="24099"/>
      <c r="AI40" s="1377">
        <f ca="1">OFFSET(AI40,0,-2)+1</f>
        <v>14</v>
      </c>
      <c r="AJ40" s="1171">
        <f ca="1">OFFSET(AJ40,0,-1)</f>
        <v>14</v>
      </c>
      <c r="AK40" s="1377">
        <f ca="1">OFFSET(AK40,0,-1)+1</f>
        <v>15</v>
      </c>
      <c r="AL40" s="447"/>
      <c r="AM40" s="447"/>
      <c r="AN40" s="447"/>
      <c r="AO40" s="447"/>
      <c r="AP40" s="447"/>
      <c r="AQ40" s="432">
        <v>0</v>
      </c>
    </row>
    <row r="41" spans="1:43" ht="24" customHeight="1">
      <c r="A41" s="1289" t="s">
        <v>334</v>
      </c>
      <c r="B41" s="1289"/>
      <c r="C41" s="1289"/>
      <c r="D41" s="1289"/>
      <c r="E41" s="24088">
        <v>1</v>
      </c>
      <c r="F41" s="1289"/>
      <c r="G41" s="1289"/>
      <c r="H41" s="1289"/>
      <c r="I41" s="1289"/>
      <c r="J41" s="1289"/>
      <c r="K41" s="1289"/>
      <c r="L41" s="1290"/>
      <c r="M41" s="1291"/>
      <c r="N41" s="1291"/>
      <c r="O41" s="1291"/>
      <c r="P41" s="297"/>
      <c r="Q41" s="296"/>
      <c r="R41" s="291"/>
      <c r="S41" s="1383">
        <f>INDEX(PT_DIFFERENTIATION_NUM_NTAR,MATCH(A41,PT_DIFFERENTIATION_NTAR_ID,0))</f>
        <v>0</v>
      </c>
      <c r="T41" s="234" t="s">
        <v>229</v>
      </c>
      <c r="U41" s="236"/>
      <c r="V41" s="24082"/>
      <c r="W41" s="24083"/>
      <c r="X41" s="24083"/>
      <c r="Y41" s="24083"/>
      <c r="Z41" s="24083"/>
      <c r="AA41" s="24083"/>
      <c r="AB41" s="24084"/>
      <c r="AC41" s="24082" t="str">
        <f>INDEX(PT_DIFFERENTIATION_NTAR,MATCH(A41,PT_DIFFERENTIATION_NTAR_ID,0))</f>
        <v/>
      </c>
      <c r="AD41" s="24083"/>
      <c r="AE41" s="24083"/>
      <c r="AF41" s="24083"/>
      <c r="AG41" s="24083"/>
      <c r="AH41" s="24083"/>
      <c r="AI41" s="24083"/>
      <c r="AJ41" s="240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334</v>
      </c>
      <c r="B42" s="1289" t="s">
        <v>335</v>
      </c>
      <c r="C42" s="1289"/>
      <c r="D42" s="1289"/>
      <c r="E42" s="24089"/>
      <c r="F42" s="24088">
        <v>1</v>
      </c>
      <c r="G42" s="1289"/>
      <c r="H42" s="1289"/>
      <c r="I42" s="1289"/>
      <c r="J42" s="1289"/>
      <c r="K42" s="1289"/>
      <c r="L42" s="1290"/>
      <c r="M42" s="1291"/>
      <c r="N42" s="1291"/>
      <c r="O42" s="1291"/>
      <c r="P42" s="1379"/>
      <c r="Q42" s="288"/>
      <c r="R42" s="289"/>
      <c r="S42" s="1383" t="str">
        <f>INDEX(PT_DIFFERENTIATION_NUM_TER,MATCH(B42,PT_DIFFERENTIATION_TER_ID,0))</f>
        <v>.</v>
      </c>
      <c r="T42" s="244" t="s">
        <v>626</v>
      </c>
      <c r="U42" s="236"/>
      <c r="V42" s="24082"/>
      <c r="W42" s="24083"/>
      <c r="X42" s="24083"/>
      <c r="Y42" s="24083"/>
      <c r="Z42" s="24083"/>
      <c r="AA42" s="24083"/>
      <c r="AB42" s="24084"/>
      <c r="AC42" s="24082" t="str">
        <f>INDEX(PT_DIFFERENTIATION_TER,MATCH(B42,PT_DIFFERENTIATION_TER_ID,0))</f>
        <v/>
      </c>
      <c r="AD42" s="24083"/>
      <c r="AE42" s="24083"/>
      <c r="AF42" s="24083"/>
      <c r="AG42" s="24083"/>
      <c r="AH42" s="24083"/>
      <c r="AI42" s="24083"/>
      <c r="AJ42" s="24084"/>
      <c r="AK42" s="1184" t="s">
        <v>627</v>
      </c>
      <c r="AM42" s="436"/>
      <c r="AN42" s="436" t="str">
        <f t="shared" si="1"/>
        <v>Территория действия тарифа</v>
      </c>
      <c r="AO42" s="436"/>
      <c r="AP42" s="436"/>
      <c r="AQ42" s="1081">
        <v>23</v>
      </c>
    </row>
    <row r="43" spans="1:43" ht="24" customHeight="1">
      <c r="A43" s="1289" t="s">
        <v>334</v>
      </c>
      <c r="B43" s="1289" t="s">
        <v>335</v>
      </c>
      <c r="C43" s="1289" t="s">
        <v>336</v>
      </c>
      <c r="D43" s="1289"/>
      <c r="E43" s="24089"/>
      <c r="F43" s="24089"/>
      <c r="G43" s="24088">
        <v>1</v>
      </c>
      <c r="H43" s="1289"/>
      <c r="I43" s="1289"/>
      <c r="J43" s="1289"/>
      <c r="K43" s="1289"/>
      <c r="L43" s="1290"/>
      <c r="M43" s="1291"/>
      <c r="N43" s="1291"/>
      <c r="O43" s="1291"/>
      <c r="P43" s="290"/>
      <c r="Q43" s="288"/>
      <c r="R43" s="289"/>
      <c r="S43" s="1383" t="str">
        <f>INDEX(PT_DIFFERENTIATION_NUM_CS,MATCH(C43,PT_DIFFERENTIATION_CS_ID,0))</f>
        <v>..</v>
      </c>
      <c r="T43" s="245" t="s">
        <v>707</v>
      </c>
      <c r="U43" s="236"/>
      <c r="V43" s="24082"/>
      <c r="W43" s="24083"/>
      <c r="X43" s="24083"/>
      <c r="Y43" s="24083"/>
      <c r="Z43" s="24083"/>
      <c r="AA43" s="24083"/>
      <c r="AB43" s="24084"/>
      <c r="AC43" s="24082" t="str">
        <f>INDEX(PT_DIFFERENTIATION_CS,MATCH(C43,PT_DIFFERENTIATION_CS_ID,0))</f>
        <v/>
      </c>
      <c r="AD43" s="24083"/>
      <c r="AE43" s="24083"/>
      <c r="AF43" s="24083"/>
      <c r="AG43" s="24083"/>
      <c r="AH43" s="24083"/>
      <c r="AI43" s="24083"/>
      <c r="AJ43" s="24084"/>
      <c r="AK43" s="1184" t="s">
        <v>708</v>
      </c>
      <c r="AM43" s="436"/>
      <c r="AN43" s="436" t="str">
        <f t="shared" si="1"/>
        <v>Наименование централизованной системы холодного водоснабжения</v>
      </c>
      <c r="AO43" s="436"/>
      <c r="AP43" s="436"/>
      <c r="AQ43" s="1081">
        <v>23</v>
      </c>
    </row>
    <row r="44" spans="1:43" ht="24" customHeight="1">
      <c r="A44" s="1289" t="s">
        <v>334</v>
      </c>
      <c r="B44" s="1289" t="s">
        <v>335</v>
      </c>
      <c r="C44" s="1289" t="s">
        <v>336</v>
      </c>
      <c r="D44" s="1289" t="s">
        <v>723</v>
      </c>
      <c r="E44" s="24089"/>
      <c r="F44" s="24089"/>
      <c r="G44" s="24089"/>
      <c r="H44" s="24089"/>
      <c r="I44" s="24090" t="str">
        <f>S43&amp;".1"</f>
        <v>...1</v>
      </c>
      <c r="J44" s="1289"/>
      <c r="K44" s="1289"/>
      <c r="L44" s="1290"/>
      <c r="P44" s="24092">
        <v>1</v>
      </c>
      <c r="Q44" s="1376"/>
      <c r="R44" s="292"/>
      <c r="S44" s="1383" t="str">
        <f>$I44</f>
        <v>...1</v>
      </c>
      <c r="T44" s="221" t="s">
        <v>709</v>
      </c>
      <c r="U44" s="236"/>
      <c r="V44" s="24156"/>
      <c r="W44" s="24157"/>
      <c r="X44" s="24157"/>
      <c r="Y44" s="24157"/>
      <c r="Z44" s="24157"/>
      <c r="AA44" s="24157"/>
      <c r="AB44" s="24158"/>
      <c r="AC44" s="24159"/>
      <c r="AD44" s="24160"/>
      <c r="AE44" s="24160"/>
      <c r="AF44" s="24160"/>
      <c r="AG44" s="24160"/>
      <c r="AH44" s="24160"/>
      <c r="AI44" s="24160"/>
      <c r="AJ44" s="24161"/>
      <c r="AK44" s="1184" t="s">
        <v>710</v>
      </c>
      <c r="AM44" s="436"/>
      <c r="AN44" s="436" t="str">
        <f t="shared" si="1"/>
        <v>Наименование признака дифференциации</v>
      </c>
      <c r="AO44" s="436"/>
      <c r="AP44" s="436"/>
      <c r="AQ44" s="1081">
        <v>23</v>
      </c>
    </row>
    <row r="45" spans="1:43" ht="24" customHeight="1">
      <c r="A45" s="1289" t="s">
        <v>334</v>
      </c>
      <c r="B45" s="1289" t="s">
        <v>335</v>
      </c>
      <c r="C45" s="1289" t="s">
        <v>336</v>
      </c>
      <c r="D45" s="1289" t="s">
        <v>723</v>
      </c>
      <c r="E45" s="24089"/>
      <c r="F45" s="24089"/>
      <c r="G45" s="24089"/>
      <c r="H45" s="24089"/>
      <c r="I45" s="24091"/>
      <c r="J45" s="24090" t="str">
        <f>I44&amp;".1"</f>
        <v>...1.1</v>
      </c>
      <c r="K45" s="1289"/>
      <c r="L45" s="1290" t="s">
        <v>635</v>
      </c>
      <c r="P45" s="24092"/>
      <c r="Q45" s="24092">
        <v>1</v>
      </c>
      <c r="R45" s="293"/>
      <c r="S45" s="1383" t="str">
        <f>$J45</f>
        <v>...1.1</v>
      </c>
      <c r="T45" s="222" t="s">
        <v>636</v>
      </c>
      <c r="U45" s="236"/>
      <c r="V45" s="24076"/>
      <c r="W45" s="24077"/>
      <c r="X45" s="24077"/>
      <c r="Y45" s="24077"/>
      <c r="Z45" s="24077"/>
      <c r="AA45" s="24077"/>
      <c r="AB45" s="24078"/>
      <c r="AC45" s="24076"/>
      <c r="AD45" s="24077"/>
      <c r="AE45" s="24077"/>
      <c r="AF45" s="24077"/>
      <c r="AG45" s="24077"/>
      <c r="AH45" s="24077"/>
      <c r="AI45" s="24077"/>
      <c r="AJ45" s="24078"/>
      <c r="AK45" s="1233" t="s">
        <v>711</v>
      </c>
      <c r="AM45" s="436"/>
      <c r="AN45" s="436" t="str">
        <f t="shared" si="1"/>
        <v>Группа потребителей</v>
      </c>
      <c r="AO45" s="436"/>
      <c r="AP45" s="436"/>
      <c r="AQ45" s="1081">
        <v>23</v>
      </c>
    </row>
    <row r="46" spans="1:43" ht="24" customHeight="1">
      <c r="A46" s="1289" t="s">
        <v>334</v>
      </c>
      <c r="B46" s="1289" t="s">
        <v>335</v>
      </c>
      <c r="C46" s="1289" t="s">
        <v>336</v>
      </c>
      <c r="D46" s="1289" t="s">
        <v>723</v>
      </c>
      <c r="E46" s="24089"/>
      <c r="F46" s="24089"/>
      <c r="G46" s="24089"/>
      <c r="H46" s="24089"/>
      <c r="I46" s="24091"/>
      <c r="J46" s="24091"/>
      <c r="K46" s="24090" t="str">
        <f>J45&amp;".1"</f>
        <v>...1.1.1</v>
      </c>
      <c r="L46" s="1290"/>
      <c r="P46" s="24092"/>
      <c r="Q46" s="24092"/>
      <c r="R46" s="293">
        <v>1</v>
      </c>
      <c r="S46" s="1383" t="str">
        <f>$K46</f>
        <v>...1.1.1</v>
      </c>
      <c r="T46" s="1363"/>
      <c r="U46" s="236"/>
      <c r="V46" s="687"/>
      <c r="W46" s="687"/>
      <c r="X46" s="1183"/>
      <c r="Y46" s="24093"/>
      <c r="Z46" s="23957" t="s">
        <v>59</v>
      </c>
      <c r="AA46" s="24093"/>
      <c r="AB46" s="23957" t="s">
        <v>59</v>
      </c>
      <c r="AC46" s="687"/>
      <c r="AD46" s="687"/>
      <c r="AE46" s="1183"/>
      <c r="AF46" s="24093"/>
      <c r="AG46" s="23957" t="s">
        <v>59</v>
      </c>
      <c r="AH46" s="24095"/>
      <c r="AI46" s="23957" t="s">
        <v>59</v>
      </c>
      <c r="AJ46" s="1364"/>
      <c r="AK46"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334</v>
      </c>
      <c r="B47" s="1289" t="s">
        <v>335</v>
      </c>
      <c r="C47" s="1289" t="s">
        <v>336</v>
      </c>
      <c r="D47" s="1289" t="s">
        <v>723</v>
      </c>
      <c r="E47" s="24089"/>
      <c r="F47" s="24089"/>
      <c r="G47" s="24089"/>
      <c r="H47" s="24089"/>
      <c r="I47" s="24091"/>
      <c r="J47" s="24091"/>
      <c r="K47" s="24090"/>
      <c r="L47" s="1290"/>
      <c r="P47" s="24092"/>
      <c r="Q47" s="24092"/>
      <c r="R47" s="293"/>
      <c r="S47" s="1382"/>
      <c r="T47" s="236"/>
      <c r="U47" s="236"/>
      <c r="V47" s="261"/>
      <c r="W47" s="261"/>
      <c r="X47" s="264" t="str">
        <f>Y46&amp;"-"&amp;AA46</f>
        <v>-</v>
      </c>
      <c r="Y47" s="24094"/>
      <c r="Z47" s="23957"/>
      <c r="AA47" s="24094"/>
      <c r="AB47" s="23957"/>
      <c r="AC47" s="261"/>
      <c r="AD47" s="261"/>
      <c r="AE47" s="264" t="str">
        <f>AF46&amp;"-"&amp;AH46</f>
        <v>-</v>
      </c>
      <c r="AF47" s="24094"/>
      <c r="AG47" s="23957"/>
      <c r="AH47" s="24096"/>
      <c r="AI47" s="23957"/>
      <c r="AJ47" s="1365"/>
      <c r="AK47" s="24162"/>
      <c r="AM47" s="436"/>
      <c r="AN47" s="436" t="str">
        <f t="shared" si="1"/>
        <v/>
      </c>
      <c r="AO47" s="436"/>
      <c r="AP47" s="436"/>
      <c r="AQ47" s="1081">
        <v>0</v>
      </c>
    </row>
    <row r="48" spans="1:43" ht="21" customHeight="1">
      <c r="A48" s="1289" t="s">
        <v>334</v>
      </c>
      <c r="B48" s="1289" t="s">
        <v>335</v>
      </c>
      <c r="C48" s="1289" t="s">
        <v>336</v>
      </c>
      <c r="D48" s="1289" t="s">
        <v>723</v>
      </c>
      <c r="E48" s="24089"/>
      <c r="F48" s="24089"/>
      <c r="G48" s="24089"/>
      <c r="H48" s="24089"/>
      <c r="I48" s="24091"/>
      <c r="J48" s="24090"/>
      <c r="K48" s="1289"/>
      <c r="L48" s="1290"/>
      <c r="P48" s="24092"/>
      <c r="Q48" s="24092"/>
      <c r="R48" s="292"/>
      <c r="S48" s="1204"/>
      <c r="T48" s="223" t="s">
        <v>712</v>
      </c>
      <c r="U48" s="303"/>
      <c r="V48" s="303"/>
      <c r="W48" s="303"/>
      <c r="X48" s="303"/>
      <c r="Y48" s="303"/>
      <c r="Z48" s="303"/>
      <c r="AA48" s="303"/>
      <c r="AB48" s="303"/>
      <c r="AC48" s="303"/>
      <c r="AD48" s="303"/>
      <c r="AE48" s="303"/>
      <c r="AF48" s="303"/>
      <c r="AG48" s="303"/>
      <c r="AH48" s="303"/>
      <c r="AI48" s="303"/>
      <c r="AJ48" s="303"/>
      <c r="AK48" s="1184" t="s">
        <v>713</v>
      </c>
      <c r="AM48" s="436"/>
      <c r="AN48" s="436" t="str">
        <f t="shared" si="1"/>
        <v>Добавить значение признака дифференциации</v>
      </c>
      <c r="AO48" s="436"/>
      <c r="AP48" s="436"/>
      <c r="AQ48" s="1081">
        <v>20</v>
      </c>
    </row>
    <row r="49" spans="1:43" ht="21.95" customHeight="1">
      <c r="A49" s="1289" t="s">
        <v>334</v>
      </c>
      <c r="B49" s="1289" t="s">
        <v>335</v>
      </c>
      <c r="C49" s="1289" t="s">
        <v>336</v>
      </c>
      <c r="D49" s="1289" t="s">
        <v>723</v>
      </c>
      <c r="E49" s="24089"/>
      <c r="F49" s="24089"/>
      <c r="G49" s="24089"/>
      <c r="H49" s="24089"/>
      <c r="I49" s="24090"/>
      <c r="J49" s="1289"/>
      <c r="K49" s="1289"/>
      <c r="L49" s="1290"/>
      <c r="P49" s="24092"/>
      <c r="Q49" s="1376"/>
      <c r="R49" s="292"/>
      <c r="S49" s="1204"/>
      <c r="T49" s="301" t="s">
        <v>641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334</v>
      </c>
      <c r="B50" s="1289" t="s">
        <v>335</v>
      </c>
      <c r="C50" s="1289" t="s">
        <v>336</v>
      </c>
      <c r="D50" s="1289" t="s">
        <v>723</v>
      </c>
      <c r="E50" s="24089"/>
      <c r="F50" s="24089"/>
      <c r="G50" s="24089"/>
      <c r="H50" s="24088"/>
      <c r="I50" s="1289"/>
      <c r="J50" s="1289"/>
      <c r="K50" s="1289"/>
      <c r="L50" s="1290"/>
      <c r="M50" s="1291"/>
      <c r="N50" s="1291"/>
      <c r="O50" s="473"/>
      <c r="P50" s="296"/>
      <c r="Q50" s="311"/>
      <c r="R50" s="291"/>
      <c r="S50" s="1204"/>
      <c r="T50" s="308" t="s">
        <v>714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334</v>
      </c>
      <c r="B51" s="1269" t="s">
        <v>335</v>
      </c>
      <c r="C51" s="1240"/>
      <c r="D51" s="1240"/>
      <c r="E51" s="24089"/>
      <c r="F51" s="24088"/>
      <c r="G51" s="1240"/>
      <c r="H51" s="1240"/>
      <c r="I51" s="1240"/>
      <c r="J51" s="1240"/>
      <c r="K51" s="1240"/>
      <c r="L51" s="1384"/>
      <c r="M51" s="1247"/>
      <c r="N51" s="1247"/>
      <c r="P51" s="1242"/>
      <c r="Q51" s="1243"/>
      <c r="R51" s="1242"/>
      <c r="S51" s="1248"/>
      <c r="T51" s="1251" t="s">
        <v>370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334</v>
      </c>
      <c r="B52" s="1269"/>
      <c r="C52" s="1269"/>
      <c r="D52" s="1269"/>
      <c r="E52" s="24088"/>
      <c r="F52" s="1269"/>
      <c r="G52" s="1269"/>
      <c r="H52" s="1269"/>
      <c r="I52" s="1269"/>
      <c r="J52" s="1269"/>
      <c r="K52" s="1269"/>
      <c r="L52" s="1272"/>
      <c r="M52" s="1247"/>
      <c r="N52" s="1247"/>
      <c r="O52" s="454"/>
      <c r="P52" s="316"/>
      <c r="Q52" s="1270"/>
      <c r="R52" s="316"/>
      <c r="S52" s="1248"/>
      <c r="T52" s="1251" t="s">
        <v>481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087"/>
      <c r="U55" s="24087"/>
      <c r="V55" s="24087"/>
      <c r="W55" s="24087"/>
      <c r="X55" s="24087"/>
      <c r="Y55" s="24087"/>
      <c r="Z55" s="24087"/>
      <c r="AA55" s="24087"/>
      <c r="AB55" s="24087"/>
      <c r="AC55" s="24087"/>
      <c r="AD55" s="24087"/>
      <c r="AE55" s="24087"/>
      <c r="AF55" s="24087"/>
      <c r="AG55" s="24087"/>
      <c r="AH55" s="24087"/>
      <c r="AI55" s="24087"/>
      <c r="AJ55" s="24087"/>
      <c r="AK55" s="24087"/>
      <c r="AQ55" s="1081">
        <v>14</v>
      </c>
    </row>
    <row r="56" spans="1:43" ht="14.65" customHeight="1">
      <c r="O56" s="473"/>
      <c r="AQ56" s="1081">
        <v>14</v>
      </c>
    </row>
    <row r="57" spans="1:43" ht="14.65" customHeight="1">
      <c r="O57" s="473"/>
      <c r="S57" s="1179"/>
      <c r="T57" s="24087"/>
      <c r="U57" s="24087"/>
      <c r="V57" s="24087"/>
      <c r="W57" s="24087"/>
      <c r="X57" s="24087"/>
      <c r="Y57" s="24087"/>
      <c r="Z57" s="24087"/>
      <c r="AA57" s="24087"/>
      <c r="AB57" s="24087"/>
      <c r="AC57" s="24087"/>
      <c r="AD57" s="24087"/>
      <c r="AE57" s="24087"/>
      <c r="AF57" s="24087"/>
      <c r="AG57" s="24087"/>
      <c r="AH57" s="24087"/>
      <c r="AI57" s="24087"/>
      <c r="AJ57" s="24087"/>
      <c r="AK57" s="24087"/>
      <c r="AQ57" s="1081">
        <v>14</v>
      </c>
    </row>
    <row r="58" spans="1:43" ht="22.5" hidden="1" customHeight="1">
      <c r="A58" s="1086" t="s">
        <v>73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v>
      </c>
    </row>
    <row r="2" spans="1:43" ht="23.25" hidden="1" customHeight="1">
      <c r="A2" s="1289"/>
      <c r="B2" s="1289"/>
      <c r="C2" s="1289"/>
      <c r="D2" s="1289"/>
      <c r="E2" s="24088">
        <v>1</v>
      </c>
      <c r="F2" s="1289"/>
      <c r="G2" s="1289"/>
      <c r="H2" s="1289"/>
      <c r="I2" s="1289"/>
      <c r="J2" s="1289"/>
      <c r="K2" s="1289"/>
      <c r="L2" s="1290"/>
      <c r="M2" s="1291"/>
      <c r="N2" s="1291"/>
      <c r="O2" s="1291"/>
      <c r="P2" s="297"/>
      <c r="Q2" s="296"/>
      <c r="R2" s="291"/>
      <c r="S2" s="1383" t="e">
        <f>INDEX(PT_DIFFERENTIATION_NUM_NTAR,MATCH(A2,PT_DIFFERENTIATION_NTAR_ID,0))</f>
        <v>#N/A</v>
      </c>
      <c r="T2" s="234" t="s">
        <v>229</v>
      </c>
      <c r="U2" s="236"/>
      <c r="V2" s="24082"/>
      <c r="W2" s="24083"/>
      <c r="X2" s="24083"/>
      <c r="Y2" s="24083"/>
      <c r="Z2" s="24083"/>
      <c r="AA2" s="24083"/>
      <c r="AB2" s="24084"/>
      <c r="AC2" s="24082" t="e">
        <f>INDEX(PT_DIFFERENTIATION_NTAR,MATCH(A2,PT_DIFFERENTIATION_NTAR_ID,0))</f>
        <v>#N/A</v>
      </c>
      <c r="AD2" s="24083"/>
      <c r="AE2" s="24083"/>
      <c r="AF2" s="24083"/>
      <c r="AG2" s="24083"/>
      <c r="AH2" s="24083"/>
      <c r="AI2" s="24083"/>
      <c r="AJ2" s="240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089"/>
      <c r="F3" s="24088">
        <v>1</v>
      </c>
      <c r="G3" s="1289"/>
      <c r="H3" s="1289"/>
      <c r="I3" s="1289"/>
      <c r="J3" s="1289"/>
      <c r="K3" s="1289"/>
      <c r="L3" s="1290"/>
      <c r="M3" s="1291"/>
      <c r="N3" s="1291"/>
      <c r="O3" s="1291"/>
      <c r="P3" s="1379"/>
      <c r="Q3" s="288"/>
      <c r="R3" s="289"/>
      <c r="S3" s="1383" t="e">
        <f>INDEX(PT_DIFFERENTIATION_NUM_TER,MATCH(B3,PT_DIFFERENTIATION_TER_ID,0))</f>
        <v>#N/A</v>
      </c>
      <c r="T3" s="244" t="s">
        <v>626</v>
      </c>
      <c r="U3" s="236"/>
      <c r="V3" s="24082"/>
      <c r="W3" s="24083"/>
      <c r="X3" s="24083"/>
      <c r="Y3" s="24083"/>
      <c r="Z3" s="24083"/>
      <c r="AA3" s="24083"/>
      <c r="AB3" s="24084"/>
      <c r="AC3" s="24082" t="e">
        <f>INDEX(PT_DIFFERENTIATION_TER,MATCH(B3,PT_DIFFERENTIATION_TER_ID,0))</f>
        <v>#N/A</v>
      </c>
      <c r="AD3" s="24083"/>
      <c r="AE3" s="24083"/>
      <c r="AF3" s="24083"/>
      <c r="AG3" s="24083"/>
      <c r="AH3" s="24083"/>
      <c r="AI3" s="24083"/>
      <c r="AJ3" s="24084"/>
      <c r="AK3" s="1184" t="s">
        <v>627</v>
      </c>
      <c r="AM3" s="436"/>
      <c r="AN3" s="436" t="str">
        <f t="shared" si="0"/>
        <v>Территория действия тарифа</v>
      </c>
      <c r="AO3" s="436"/>
      <c r="AP3" s="436"/>
      <c r="AQ3" s="1081">
        <v>0</v>
      </c>
    </row>
    <row r="4" spans="1:43" ht="23.25" hidden="1" customHeight="1">
      <c r="A4" s="1289"/>
      <c r="B4" s="1289"/>
      <c r="C4" s="1289"/>
      <c r="D4" s="1289"/>
      <c r="E4" s="24089"/>
      <c r="F4" s="24089"/>
      <c r="G4" s="24088">
        <v>1</v>
      </c>
      <c r="H4" s="1289"/>
      <c r="I4" s="1289"/>
      <c r="J4" s="1289"/>
      <c r="K4" s="1289"/>
      <c r="L4" s="1290"/>
      <c r="M4" s="1291"/>
      <c r="N4" s="1291"/>
      <c r="O4" s="1291"/>
      <c r="P4" s="290"/>
      <c r="Q4" s="288"/>
      <c r="R4" s="289"/>
      <c r="S4" s="1383" t="e">
        <f>INDEX(PT_DIFFERENTIATION_NUM_CS,MATCH(C4,PT_DIFFERENTIATION_CS_ID,0))</f>
        <v>#N/A</v>
      </c>
      <c r="T4" s="245" t="s">
        <v>707</v>
      </c>
      <c r="U4" s="236"/>
      <c r="V4" s="24082"/>
      <c r="W4" s="24083"/>
      <c r="X4" s="24083"/>
      <c r="Y4" s="24083"/>
      <c r="Z4" s="24083"/>
      <c r="AA4" s="24083"/>
      <c r="AB4" s="24084"/>
      <c r="AC4" s="24082" t="e">
        <f>INDEX(PT_DIFFERENTIATION_CS,MATCH(C4,PT_DIFFERENTIATION_CS_ID,0))</f>
        <v>#N/A</v>
      </c>
      <c r="AD4" s="24083"/>
      <c r="AE4" s="24083"/>
      <c r="AF4" s="24083"/>
      <c r="AG4" s="24083"/>
      <c r="AH4" s="24083"/>
      <c r="AI4" s="24083"/>
      <c r="AJ4" s="24084"/>
      <c r="AK4" s="1184" t="s">
        <v>708</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4089"/>
      <c r="F5" s="24089"/>
      <c r="G5" s="24089"/>
      <c r="H5" s="24089"/>
      <c r="I5" s="24090" t="e">
        <f>S4&amp;".1"</f>
        <v>#N/A</v>
      </c>
      <c r="J5" s="1289"/>
      <c r="K5" s="1289"/>
      <c r="L5" s="1290"/>
      <c r="P5" s="24092">
        <v>1</v>
      </c>
      <c r="Q5" s="1376"/>
      <c r="R5" s="292"/>
      <c r="S5" s="1383" t="e">
        <f>$I5</f>
        <v>#N/A</v>
      </c>
      <c r="T5" s="221" t="s">
        <v>709</v>
      </c>
      <c r="U5" s="236"/>
      <c r="V5" s="24156"/>
      <c r="W5" s="24157"/>
      <c r="X5" s="24157"/>
      <c r="Y5" s="24157"/>
      <c r="Z5" s="24157"/>
      <c r="AA5" s="24157"/>
      <c r="AB5" s="24158"/>
      <c r="AC5" s="24159"/>
      <c r="AD5" s="24160"/>
      <c r="AE5" s="24160"/>
      <c r="AF5" s="24160"/>
      <c r="AG5" s="24160"/>
      <c r="AH5" s="24160"/>
      <c r="AI5" s="24160"/>
      <c r="AJ5" s="24161"/>
      <c r="AK5" s="1184" t="s">
        <v>710</v>
      </c>
      <c r="AM5" s="436"/>
      <c r="AN5" s="436" t="str">
        <f t="shared" si="0"/>
        <v>Наименование признака дифференциации</v>
      </c>
      <c r="AO5" s="436"/>
      <c r="AP5" s="436"/>
      <c r="AQ5" s="1081">
        <v>0</v>
      </c>
    </row>
    <row r="6" spans="1:43" ht="23.25" hidden="1" customHeight="1">
      <c r="A6" s="1289"/>
      <c r="B6" s="1289"/>
      <c r="C6" s="1289"/>
      <c r="D6" s="1289"/>
      <c r="E6" s="24089"/>
      <c r="F6" s="24089"/>
      <c r="G6" s="24089"/>
      <c r="H6" s="24089"/>
      <c r="I6" s="24091"/>
      <c r="J6" s="24090" t="e">
        <f>I5&amp;".1"</f>
        <v>#N/A</v>
      </c>
      <c r="K6" s="1289"/>
      <c r="L6" s="1290" t="s">
        <v>635</v>
      </c>
      <c r="P6" s="24092"/>
      <c r="Q6" s="24092">
        <v>1</v>
      </c>
      <c r="R6" s="293"/>
      <c r="S6" s="1383" t="e">
        <f>$J6</f>
        <v>#N/A</v>
      </c>
      <c r="T6" s="222" t="s">
        <v>636</v>
      </c>
      <c r="U6" s="236"/>
      <c r="V6" s="24076"/>
      <c r="W6" s="24077"/>
      <c r="X6" s="24077"/>
      <c r="Y6" s="24077"/>
      <c r="Z6" s="24077"/>
      <c r="AA6" s="24077"/>
      <c r="AB6" s="24078"/>
      <c r="AC6" s="24076"/>
      <c r="AD6" s="24077"/>
      <c r="AE6" s="24077"/>
      <c r="AF6" s="24077"/>
      <c r="AG6" s="24077"/>
      <c r="AH6" s="24077"/>
      <c r="AI6" s="24077"/>
      <c r="AJ6" s="24078"/>
      <c r="AK6" s="1233" t="s">
        <v>711</v>
      </c>
      <c r="AM6" s="436"/>
      <c r="AN6" s="436" t="str">
        <f t="shared" si="0"/>
        <v>Группа потребителей</v>
      </c>
      <c r="AO6" s="436"/>
      <c r="AP6" s="436"/>
      <c r="AQ6" s="1081">
        <v>0</v>
      </c>
    </row>
    <row r="7" spans="1:43" ht="23.25" hidden="1" customHeight="1">
      <c r="A7" s="1289"/>
      <c r="B7" s="1289"/>
      <c r="C7" s="1289"/>
      <c r="D7" s="1289"/>
      <c r="E7" s="24089"/>
      <c r="F7" s="24089"/>
      <c r="G7" s="24089"/>
      <c r="H7" s="24089"/>
      <c r="I7" s="24091"/>
      <c r="J7" s="24091"/>
      <c r="K7" s="24090" t="e">
        <f>J6&amp;".1"</f>
        <v>#N/A</v>
      </c>
      <c r="L7" s="1290"/>
      <c r="P7" s="24092"/>
      <c r="Q7" s="24092"/>
      <c r="R7" s="293">
        <v>1</v>
      </c>
      <c r="S7" s="1383" t="e">
        <f>$K7</f>
        <v>#N/A</v>
      </c>
      <c r="T7" s="1363"/>
      <c r="U7" s="236"/>
      <c r="V7" s="687"/>
      <c r="W7" s="687"/>
      <c r="X7" s="1183"/>
      <c r="Y7" s="24093"/>
      <c r="Z7" s="23957" t="s">
        <v>59</v>
      </c>
      <c r="AA7" s="24093"/>
      <c r="AB7" s="23957" t="s">
        <v>59</v>
      </c>
      <c r="AC7" s="687"/>
      <c r="AD7" s="687"/>
      <c r="AE7" s="1183"/>
      <c r="AF7" s="24093"/>
      <c r="AG7" s="23957" t="s">
        <v>59</v>
      </c>
      <c r="AH7" s="24095"/>
      <c r="AI7" s="23957" t="s">
        <v>59</v>
      </c>
      <c r="AJ7" s="1364"/>
      <c r="AK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089"/>
      <c r="F8" s="24089"/>
      <c r="G8" s="24089"/>
      <c r="H8" s="24089"/>
      <c r="I8" s="24091"/>
      <c r="J8" s="24091"/>
      <c r="K8" s="24090"/>
      <c r="L8" s="1290"/>
      <c r="P8" s="24092"/>
      <c r="Q8" s="24092"/>
      <c r="R8" s="293"/>
      <c r="S8" s="1382"/>
      <c r="T8" s="236"/>
      <c r="U8" s="236"/>
      <c r="V8" s="261"/>
      <c r="W8" s="261"/>
      <c r="X8" s="264" t="str">
        <f>Y7&amp;"-"&amp;AA7</f>
        <v>-</v>
      </c>
      <c r="Y8" s="24094"/>
      <c r="Z8" s="23957"/>
      <c r="AA8" s="24094"/>
      <c r="AB8" s="23957"/>
      <c r="AC8" s="261"/>
      <c r="AD8" s="261"/>
      <c r="AE8" s="264" t="str">
        <f>AF7&amp;"-"&amp;AH7</f>
        <v>-</v>
      </c>
      <c r="AF8" s="24094"/>
      <c r="AG8" s="23957"/>
      <c r="AH8" s="24096"/>
      <c r="AI8" s="23957"/>
      <c r="AJ8" s="1365"/>
      <c r="AK8" s="24162"/>
      <c r="AM8" s="436"/>
      <c r="AN8" s="436" t="str">
        <f t="shared" si="0"/>
        <v/>
      </c>
      <c r="AO8" s="436"/>
      <c r="AP8" s="436"/>
      <c r="AQ8" s="1081">
        <v>0</v>
      </c>
    </row>
    <row r="9" spans="1:43" ht="21" hidden="1" customHeight="1">
      <c r="A9" s="1289"/>
      <c r="B9" s="1289"/>
      <c r="C9" s="1289"/>
      <c r="D9" s="1289"/>
      <c r="E9" s="24089"/>
      <c r="F9" s="24089"/>
      <c r="G9" s="24089"/>
      <c r="H9" s="24089"/>
      <c r="I9" s="24091"/>
      <c r="J9" s="24090"/>
      <c r="K9" s="1289"/>
      <c r="L9" s="1290"/>
      <c r="P9" s="24092"/>
      <c r="Q9" s="24092"/>
      <c r="R9" s="292"/>
      <c r="S9" s="1204"/>
      <c r="T9" s="223" t="s">
        <v>712</v>
      </c>
      <c r="U9" s="303"/>
      <c r="V9" s="303"/>
      <c r="W9" s="303"/>
      <c r="X9" s="303"/>
      <c r="Y9" s="303"/>
      <c r="Z9" s="303"/>
      <c r="AA9" s="303"/>
      <c r="AB9" s="303"/>
      <c r="AC9" s="303"/>
      <c r="AD9" s="303"/>
      <c r="AE9" s="303"/>
      <c r="AF9" s="303"/>
      <c r="AG9" s="303"/>
      <c r="AH9" s="303"/>
      <c r="AI9" s="303"/>
      <c r="AJ9" s="303"/>
      <c r="AK9" s="1184" t="s">
        <v>713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089"/>
      <c r="F10" s="24089"/>
      <c r="G10" s="24089"/>
      <c r="H10" s="24089"/>
      <c r="I10" s="24090"/>
      <c r="J10" s="1289"/>
      <c r="K10" s="1289"/>
      <c r="L10" s="1290"/>
      <c r="P10" s="24092"/>
      <c r="Q10" s="1376"/>
      <c r="R10" s="292"/>
      <c r="S10" s="1204"/>
      <c r="T10" s="301" t="s">
        <v>641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089"/>
      <c r="F12" s="24088"/>
      <c r="G12" s="1240"/>
      <c r="H12" s="1240"/>
      <c r="I12" s="1240"/>
      <c r="J12" s="1240"/>
      <c r="K12" s="1240"/>
      <c r="L12" s="1384"/>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4086"/>
      <c r="AG15" s="24085" t="s">
        <v>59</v>
      </c>
      <c r="AH15" s="24086"/>
      <c r="AI15" s="24085" t="s">
        <v>59</v>
      </c>
      <c r="AQ15" s="1081">
        <v>0</v>
      </c>
    </row>
    <row r="16" spans="1:43" ht="14.25" hidden="1" customHeight="1">
      <c r="AC16" s="1286"/>
      <c r="AD16" s="1286"/>
      <c r="AE16" s="264" t="str">
        <f>AF15&amp;"-"&amp;AH15</f>
        <v>-</v>
      </c>
      <c r="AF16" s="24085"/>
      <c r="AG16" s="24085"/>
      <c r="AH16" s="24085"/>
      <c r="AI16" s="24085"/>
      <c r="AQ16" s="1081">
        <v>0</v>
      </c>
    </row>
    <row r="17" spans="1:43" ht="14.25" hidden="1" customHeight="1">
      <c r="AI17" s="263"/>
      <c r="AQ17" s="1081">
        <v>0</v>
      </c>
    </row>
    <row r="18" spans="1:43" s="1292" customFormat="1" ht="22.5" hidden="1" customHeight="1">
      <c r="L18" s="1373"/>
      <c r="M18" s="1288"/>
      <c r="N18" s="1288"/>
      <c r="O18" s="1293" t="s">
        <v>644</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645</v>
      </c>
      <c r="P20" s="1288"/>
      <c r="Q20" s="1368"/>
      <c r="R20" s="1368"/>
      <c r="S20" s="665"/>
      <c r="T20" s="1086" t="s">
        <v>646</v>
      </c>
      <c r="Z20" s="123" t="s">
        <v>647</v>
      </c>
      <c r="AB20" s="123" t="s">
        <v>648</v>
      </c>
      <c r="AC20" s="1086" t="s">
        <v>646</v>
      </c>
      <c r="AG20" s="123" t="s">
        <v>649</v>
      </c>
      <c r="AI20" s="123" t="s">
        <v>648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69"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1169"/>
      <c r="AQ24" s="1081">
        <v>14</v>
      </c>
    </row>
    <row r="25" spans="1:4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62"/>
      <c r="AC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D27" s="24081"/>
      <c r="AE27" s="24081"/>
      <c r="AF27" s="24081"/>
      <c r="AG27" s="24081"/>
      <c r="AH27" s="24081"/>
      <c r="AI27" s="262"/>
      <c r="AJ27" s="262"/>
      <c r="AK27" s="216"/>
      <c r="AL27" s="304"/>
      <c r="AM27" s="304"/>
      <c r="AN27" s="304"/>
      <c r="AO27" s="304"/>
      <c r="AP27" s="304"/>
      <c r="AQ27" s="354">
        <v>0</v>
      </c>
    </row>
    <row r="28" spans="1:4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62"/>
      <c r="AC28" s="24080" t="str">
        <f>IF(TITLE_DATE_PR_CHANGE="",IF(TITLE_DATE_PR="","",TITLE_DATE_PR),TITLE_DATE_PR_CHANGE)</f>
        <v>20.12.2024</v>
      </c>
      <c r="AD28" s="24080"/>
      <c r="AE28" s="24080"/>
      <c r="AF28" s="24080"/>
      <c r="AG28" s="24080"/>
      <c r="AH28" s="24080"/>
      <c r="AI28" s="262"/>
      <c r="AJ28" s="262"/>
      <c r="AK28" s="216"/>
      <c r="AL28" s="304"/>
      <c r="AM28" s="304"/>
      <c r="AN28" s="304"/>
      <c r="AO28" s="304"/>
      <c r="AP28" s="304"/>
      <c r="AQ28" s="354">
        <v>0</v>
      </c>
    </row>
    <row r="29" spans="1:4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62"/>
      <c r="AC29" s="24081" t="str">
        <f>IF(TITLE_NUMBER_PR_CHANGE="",IF(TITLE_NUMBER_PR="","",TITLE_NUMBER_PR),TITLE_NUMBER_PR_CHANGE)</f>
        <v>403, 404</v>
      </c>
      <c r="AD29" s="24081"/>
      <c r="AE29" s="24081"/>
      <c r="AF29" s="24081"/>
      <c r="AG29" s="24081"/>
      <c r="AH29" s="24081"/>
      <c r="AI29" s="262"/>
      <c r="AJ29" s="262"/>
      <c r="AK29" s="216"/>
      <c r="AL29" s="304"/>
      <c r="AM29" s="304"/>
      <c r="AN29" s="304"/>
      <c r="AO29" s="304"/>
      <c r="AP29" s="304"/>
      <c r="AQ29" s="354">
        <v>0</v>
      </c>
    </row>
    <row r="30" spans="1:4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62"/>
      <c r="AC30" s="24081" t="str">
        <f>IF(TITLE_IST_PUB_CHANGE="",IF(TITLE_IST_PUB="","",TITLE_IST_PUB),TITLE_IST_PUB_CHANGE)</f>
        <v>Смоленская газета</v>
      </c>
      <c r="AD30" s="24081"/>
      <c r="AE30" s="24081"/>
      <c r="AF30" s="24081"/>
      <c r="AG30" s="24081"/>
      <c r="AH30" s="2408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62"/>
      <c r="AC32" s="24080" t="str">
        <f>IF(TITLE_DATE_PR_CHANGE="",IF(TITLE_DATE_PR="","",TITLE_DATE_PR),TITLE_DATE_PR_CHANGE)</f>
        <v>20.12.2024</v>
      </c>
      <c r="AD32" s="24080"/>
      <c r="AE32" s="24080"/>
      <c r="AF32" s="24080"/>
      <c r="AG32" s="24080"/>
      <c r="AH32" s="24080"/>
      <c r="AI32" s="262"/>
      <c r="AJ32" s="262"/>
      <c r="AK32" s="216"/>
      <c r="AL32" s="304"/>
      <c r="AM32" s="304"/>
      <c r="AN32" s="304"/>
      <c r="AO32" s="304"/>
      <c r="AP32" s="304"/>
      <c r="AQ32" s="354">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62"/>
      <c r="AC33" s="24081" t="str">
        <f>IF(TITLE_NUMBER_PR_CHANGE="",IF(TITLE_NUMBER_PR="","",TITLE_NUMBER_PR),TITLE_NUMBER_PR_CHANGE)</f>
        <v>403, 404</v>
      </c>
      <c r="AD33" s="24081"/>
      <c r="AE33" s="24081"/>
      <c r="AF33" s="24081"/>
      <c r="AG33" s="24081"/>
      <c r="AH33" s="24081"/>
      <c r="AI33" s="262"/>
      <c r="AJ33" s="262"/>
      <c r="AK33" s="216"/>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380"/>
      <c r="V34" s="262"/>
      <c r="W34" s="262"/>
      <c r="X34" s="262"/>
      <c r="Y34" s="262"/>
      <c r="Z34" s="262"/>
      <c r="AA34" s="262"/>
      <c r="AB34" s="214" t="s">
        <v>654</v>
      </c>
      <c r="AC34" s="262"/>
      <c r="AD34" s="262"/>
      <c r="AE34" s="262"/>
      <c r="AF34" s="262"/>
      <c r="AG34" s="262"/>
      <c r="AH34" s="262"/>
      <c r="AI34" s="214" t="s">
        <v>654</v>
      </c>
      <c r="AL34" s="304"/>
      <c r="AM34" s="304"/>
      <c r="AN34" s="304"/>
      <c r="AO34" s="304"/>
      <c r="AP34" s="304"/>
      <c r="AQ34" s="354">
        <v>1</v>
      </c>
    </row>
    <row r="35" spans="1:4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Q35" s="1081">
        <v>14</v>
      </c>
    </row>
    <row r="36" spans="1:43"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t="s">
        <v>530</v>
      </c>
      <c r="AQ36" s="1081">
        <v>14</v>
      </c>
    </row>
    <row r="37" spans="1:43" ht="14.65" customHeight="1">
      <c r="Q37" s="312"/>
      <c r="R37" s="312"/>
      <c r="S37" s="24101" t="s">
        <v>79</v>
      </c>
      <c r="T37" s="24050" t="s">
        <v>655</v>
      </c>
      <c r="U37" s="237"/>
      <c r="V37" s="24102" t="s">
        <v>656</v>
      </c>
      <c r="W37" s="24103"/>
      <c r="X37" s="24103"/>
      <c r="Y37" s="24103"/>
      <c r="Z37" s="24103"/>
      <c r="AA37" s="24104"/>
      <c r="AB37" s="24105" t="s">
        <v>657</v>
      </c>
      <c r="AC37" s="24102" t="s">
        <v>656</v>
      </c>
      <c r="AD37" s="24103"/>
      <c r="AE37" s="24103"/>
      <c r="AF37" s="24103"/>
      <c r="AG37" s="24103"/>
      <c r="AH37" s="24104"/>
      <c r="AI37" s="24105" t="s">
        <v>658</v>
      </c>
      <c r="AJ37" s="24108" t="s">
        <v>659</v>
      </c>
      <c r="AK37" s="23947"/>
      <c r="AQ37" s="1081">
        <v>14</v>
      </c>
    </row>
    <row r="38" spans="1:43" ht="35.65" customHeight="1">
      <c r="Q38" s="312"/>
      <c r="R38" s="312"/>
      <c r="S38" s="24101"/>
      <c r="T38" s="24050"/>
      <c r="U38" s="960"/>
      <c r="V38" s="1378" t="s">
        <v>715</v>
      </c>
      <c r="W38" s="23928" t="s">
        <v>662</v>
      </c>
      <c r="X38" s="23927"/>
      <c r="Y38" s="23928" t="s">
        <v>663</v>
      </c>
      <c r="Z38" s="23933"/>
      <c r="AA38" s="23927"/>
      <c r="AB38" s="24106"/>
      <c r="AC38" s="1378" t="s">
        <v>715</v>
      </c>
      <c r="AD38" s="23928" t="s">
        <v>662</v>
      </c>
      <c r="AE38" s="23927"/>
      <c r="AF38" s="23928" t="s">
        <v>663</v>
      </c>
      <c r="AG38" s="23933"/>
      <c r="AH38" s="23927"/>
      <c r="AI38" s="24106"/>
      <c r="AJ38" s="24109"/>
      <c r="AK38" s="23947"/>
      <c r="AQ38" s="1081">
        <v>34</v>
      </c>
    </row>
    <row r="39" spans="1:43" ht="35.65" customHeight="1">
      <c r="A39" s="1296"/>
      <c r="B39" s="1296" t="s">
        <v>241</v>
      </c>
      <c r="C39" s="1296" t="s">
        <v>242</v>
      </c>
      <c r="D39" s="1296" t="s">
        <v>243</v>
      </c>
      <c r="E39" s="1290" t="s">
        <v>664</v>
      </c>
      <c r="F39" s="1290" t="s">
        <v>665</v>
      </c>
      <c r="G39" s="1290" t="s">
        <v>666</v>
      </c>
      <c r="H39" s="1290"/>
      <c r="I39" s="1290" t="s">
        <v>716</v>
      </c>
      <c r="J39" s="1290" t="s">
        <v>669</v>
      </c>
      <c r="K39" s="1290" t="s">
        <v>717</v>
      </c>
      <c r="L39" s="1290" t="s">
        <v>645</v>
      </c>
      <c r="Q39" s="312"/>
      <c r="R39" s="312"/>
      <c r="S39" s="24101"/>
      <c r="T39" s="24050"/>
      <c r="U39" s="238"/>
      <c r="V39" s="1378" t="s">
        <v>718</v>
      </c>
      <c r="W39" s="1148" t="s">
        <v>719</v>
      </c>
      <c r="X39" s="1148" t="s">
        <v>720</v>
      </c>
      <c r="Y39" s="1381" t="s">
        <v>673</v>
      </c>
      <c r="Z39" s="24055" t="s">
        <v>674</v>
      </c>
      <c r="AA39" s="24068"/>
      <c r="AB39" s="24107"/>
      <c r="AC39" s="1378" t="s">
        <v>718</v>
      </c>
      <c r="AD39" s="1148" t="s">
        <v>719</v>
      </c>
      <c r="AE39" s="1148" t="s">
        <v>720</v>
      </c>
      <c r="AF39" s="1381" t="s">
        <v>673</v>
      </c>
      <c r="AG39" s="24055" t="s">
        <v>674</v>
      </c>
      <c r="AH39" s="24068"/>
      <c r="AI39" s="24107"/>
      <c r="AJ39" s="24110"/>
      <c r="AK39" s="23947"/>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218</v>
      </c>
      <c r="T40" s="1181" t="s">
        <v>95</v>
      </c>
      <c r="U40" s="1171" t="str">
        <f ca="1">OFFSET(U40,0,-1)</f>
        <v>2</v>
      </c>
      <c r="V40" s="1377">
        <f ca="1">OFFSET(V40,0,-1)+1</f>
        <v>3</v>
      </c>
      <c r="W40" s="1377">
        <f ca="1">OFFSET(W40,0,-1)+1</f>
        <v>4</v>
      </c>
      <c r="X40" s="1377">
        <f ca="1">OFFSET(X40,0,-1)+1</f>
        <v>5</v>
      </c>
      <c r="Y40" s="1377">
        <f ca="1">OFFSET(Y40,0,-1)+1</f>
        <v>6</v>
      </c>
      <c r="Z40" s="24099">
        <f ca="1">OFFSET(Z40,0,-1)+1</f>
        <v>7</v>
      </c>
      <c r="AA40" s="24099"/>
      <c r="AB40" s="1377">
        <f ca="1">OFFSET(AB40,0,-2)+1</f>
        <v>8</v>
      </c>
      <c r="AC40" s="1377">
        <f ca="1">OFFSET(AC40,0,-1)+1</f>
        <v>9</v>
      </c>
      <c r="AD40" s="1377">
        <f ca="1">OFFSET(AD40,0,-1)+1</f>
        <v>10</v>
      </c>
      <c r="AE40" s="1377">
        <f ca="1">OFFSET(AE40,0,-1)+1</f>
        <v>11</v>
      </c>
      <c r="AF40" s="1377">
        <f ca="1">OFFSET(AF40,0,-1)+1</f>
        <v>12</v>
      </c>
      <c r="AG40" s="24099">
        <f ca="1">OFFSET(AG40,0,-1)+1</f>
        <v>13</v>
      </c>
      <c r="AH40" s="24099"/>
      <c r="AI40" s="1377">
        <f ca="1">OFFSET(AI40,0,-2)+1</f>
        <v>14</v>
      </c>
      <c r="AJ40" s="1171">
        <f ca="1">OFFSET(AJ40,0,-1)</f>
        <v>14</v>
      </c>
      <c r="AK40" s="1377">
        <f ca="1">OFFSET(AK40,0,-1)+1</f>
        <v>15</v>
      </c>
      <c r="AL40" s="447"/>
      <c r="AM40" s="447"/>
      <c r="AN40" s="447"/>
      <c r="AO40" s="447"/>
      <c r="AP40" s="447"/>
      <c r="AQ40" s="432">
        <v>0</v>
      </c>
    </row>
    <row r="41" spans="1:43" ht="24" customHeight="1">
      <c r="A41" s="1289" t="s">
        <v>339</v>
      </c>
      <c r="B41" s="1289"/>
      <c r="C41" s="1289"/>
      <c r="D41" s="1289"/>
      <c r="E41" s="24088">
        <v>1</v>
      </c>
      <c r="F41" s="1289"/>
      <c r="G41" s="1289"/>
      <c r="H41" s="1289"/>
      <c r="I41" s="1289"/>
      <c r="J41" s="1289"/>
      <c r="K41" s="1289"/>
      <c r="L41" s="1290"/>
      <c r="M41" s="1291"/>
      <c r="N41" s="1291"/>
      <c r="O41" s="1291"/>
      <c r="P41" s="297"/>
      <c r="Q41" s="296"/>
      <c r="R41" s="291"/>
      <c r="S41" s="1383">
        <f>INDEX(PT_DIFFERENTIATION_NUM_NTAR,MATCH(A41,PT_DIFFERENTIATION_NTAR_ID,0))</f>
        <v>0</v>
      </c>
      <c r="T41" s="234" t="s">
        <v>229</v>
      </c>
      <c r="U41" s="236"/>
      <c r="V41" s="24082"/>
      <c r="W41" s="24083"/>
      <c r="X41" s="24083"/>
      <c r="Y41" s="24083"/>
      <c r="Z41" s="24083"/>
      <c r="AA41" s="24083"/>
      <c r="AB41" s="24084"/>
      <c r="AC41" s="24082" t="str">
        <f>INDEX(PT_DIFFERENTIATION_NTAR,MATCH(A41,PT_DIFFERENTIATION_NTAR_ID,0))</f>
        <v/>
      </c>
      <c r="AD41" s="24083"/>
      <c r="AE41" s="24083"/>
      <c r="AF41" s="24083"/>
      <c r="AG41" s="24083"/>
      <c r="AH41" s="24083"/>
      <c r="AI41" s="24083"/>
      <c r="AJ41" s="240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339</v>
      </c>
      <c r="B42" s="1289" t="s">
        <v>340</v>
      </c>
      <c r="C42" s="1289"/>
      <c r="D42" s="1289"/>
      <c r="E42" s="24089"/>
      <c r="F42" s="24088">
        <v>1</v>
      </c>
      <c r="G42" s="1289"/>
      <c r="H42" s="1289"/>
      <c r="I42" s="1289"/>
      <c r="J42" s="1289"/>
      <c r="K42" s="1289"/>
      <c r="L42" s="1290"/>
      <c r="M42" s="1291"/>
      <c r="N42" s="1291"/>
      <c r="O42" s="1291"/>
      <c r="P42" s="1379"/>
      <c r="Q42" s="288"/>
      <c r="R42" s="289"/>
      <c r="S42" s="1383" t="str">
        <f>INDEX(PT_DIFFERENTIATION_NUM_TER,MATCH(B42,PT_DIFFERENTIATION_TER_ID,0))</f>
        <v>.</v>
      </c>
      <c r="T42" s="244" t="s">
        <v>626</v>
      </c>
      <c r="U42" s="236"/>
      <c r="V42" s="24082"/>
      <c r="W42" s="24083"/>
      <c r="X42" s="24083"/>
      <c r="Y42" s="24083"/>
      <c r="Z42" s="24083"/>
      <c r="AA42" s="24083"/>
      <c r="AB42" s="24084"/>
      <c r="AC42" s="24082" t="str">
        <f>INDEX(PT_DIFFERENTIATION_TER,MATCH(B42,PT_DIFFERENTIATION_TER_ID,0))</f>
        <v/>
      </c>
      <c r="AD42" s="24083"/>
      <c r="AE42" s="24083"/>
      <c r="AF42" s="24083"/>
      <c r="AG42" s="24083"/>
      <c r="AH42" s="24083"/>
      <c r="AI42" s="24083"/>
      <c r="AJ42" s="24084"/>
      <c r="AK42" s="1184" t="s">
        <v>627</v>
      </c>
      <c r="AM42" s="436"/>
      <c r="AN42" s="436" t="str">
        <f t="shared" si="1"/>
        <v>Территория действия тарифа</v>
      </c>
      <c r="AO42" s="436"/>
      <c r="AP42" s="436"/>
      <c r="AQ42" s="1081">
        <v>23</v>
      </c>
    </row>
    <row r="43" spans="1:43" ht="24" customHeight="1">
      <c r="A43" s="1289" t="s">
        <v>339</v>
      </c>
      <c r="B43" s="1289" t="s">
        <v>340</v>
      </c>
      <c r="C43" s="1289" t="s">
        <v>341</v>
      </c>
      <c r="D43" s="1289"/>
      <c r="E43" s="24089"/>
      <c r="F43" s="24089"/>
      <c r="G43" s="24088">
        <v>1</v>
      </c>
      <c r="H43" s="1289"/>
      <c r="I43" s="1289"/>
      <c r="J43" s="1289"/>
      <c r="K43" s="1289"/>
      <c r="L43" s="1290"/>
      <c r="M43" s="1291"/>
      <c r="N43" s="1291"/>
      <c r="O43" s="1291"/>
      <c r="P43" s="290"/>
      <c r="Q43" s="288"/>
      <c r="R43" s="289"/>
      <c r="S43" s="1383" t="str">
        <f>INDEX(PT_DIFFERENTIATION_NUM_CS,MATCH(C43,PT_DIFFERENTIATION_CS_ID,0))</f>
        <v>..</v>
      </c>
      <c r="T43" s="245" t="s">
        <v>707</v>
      </c>
      <c r="U43" s="236"/>
      <c r="V43" s="24082"/>
      <c r="W43" s="24083"/>
      <c r="X43" s="24083"/>
      <c r="Y43" s="24083"/>
      <c r="Z43" s="24083"/>
      <c r="AA43" s="24083"/>
      <c r="AB43" s="24084"/>
      <c r="AC43" s="24082" t="str">
        <f>INDEX(PT_DIFFERENTIATION_CS,MATCH(C43,PT_DIFFERENTIATION_CS_ID,0))</f>
        <v/>
      </c>
      <c r="AD43" s="24083"/>
      <c r="AE43" s="24083"/>
      <c r="AF43" s="24083"/>
      <c r="AG43" s="24083"/>
      <c r="AH43" s="24083"/>
      <c r="AI43" s="24083"/>
      <c r="AJ43" s="24084"/>
      <c r="AK43" s="1184" t="s">
        <v>708</v>
      </c>
      <c r="AM43" s="436"/>
      <c r="AN43" s="436" t="str">
        <f t="shared" si="1"/>
        <v>Наименование централизованной системы холодного водоснабжения</v>
      </c>
      <c r="AO43" s="436"/>
      <c r="AP43" s="436"/>
      <c r="AQ43" s="1081">
        <v>23</v>
      </c>
    </row>
    <row r="44" spans="1:43" ht="24" customHeight="1">
      <c r="A44" s="1289" t="s">
        <v>339</v>
      </c>
      <c r="B44" s="1289" t="s">
        <v>340</v>
      </c>
      <c r="C44" s="1289" t="s">
        <v>341</v>
      </c>
      <c r="D44" s="1289" t="s">
        <v>724</v>
      </c>
      <c r="E44" s="24089"/>
      <c r="F44" s="24089"/>
      <c r="G44" s="24089"/>
      <c r="H44" s="24089"/>
      <c r="I44" s="24090" t="str">
        <f>S43&amp;".1"</f>
        <v>...1</v>
      </c>
      <c r="J44" s="1289"/>
      <c r="K44" s="1289"/>
      <c r="L44" s="1290"/>
      <c r="P44" s="24092">
        <v>1</v>
      </c>
      <c r="Q44" s="1376"/>
      <c r="R44" s="292"/>
      <c r="S44" s="1383" t="str">
        <f>$I44</f>
        <v>...1</v>
      </c>
      <c r="T44" s="221" t="s">
        <v>709</v>
      </c>
      <c r="U44" s="236"/>
      <c r="V44" s="24156"/>
      <c r="W44" s="24157"/>
      <c r="X44" s="24157"/>
      <c r="Y44" s="24157"/>
      <c r="Z44" s="24157"/>
      <c r="AA44" s="24157"/>
      <c r="AB44" s="24158"/>
      <c r="AC44" s="24159"/>
      <c r="AD44" s="24160"/>
      <c r="AE44" s="24160"/>
      <c r="AF44" s="24160"/>
      <c r="AG44" s="24160"/>
      <c r="AH44" s="24160"/>
      <c r="AI44" s="24160"/>
      <c r="AJ44" s="24161"/>
      <c r="AK44" s="1184" t="s">
        <v>710</v>
      </c>
      <c r="AM44" s="436"/>
      <c r="AN44" s="436" t="str">
        <f t="shared" si="1"/>
        <v>Наименование признака дифференциации</v>
      </c>
      <c r="AO44" s="436"/>
      <c r="AP44" s="436"/>
      <c r="AQ44" s="1081">
        <v>23</v>
      </c>
    </row>
    <row r="45" spans="1:43" ht="24" customHeight="1">
      <c r="A45" s="1289" t="s">
        <v>339</v>
      </c>
      <c r="B45" s="1289" t="s">
        <v>340</v>
      </c>
      <c r="C45" s="1289" t="s">
        <v>341</v>
      </c>
      <c r="D45" s="1289" t="s">
        <v>724</v>
      </c>
      <c r="E45" s="24089"/>
      <c r="F45" s="24089"/>
      <c r="G45" s="24089"/>
      <c r="H45" s="24089"/>
      <c r="I45" s="24091"/>
      <c r="J45" s="24090" t="str">
        <f>I44&amp;".1"</f>
        <v>...1.1</v>
      </c>
      <c r="K45" s="1289"/>
      <c r="L45" s="1290" t="s">
        <v>635</v>
      </c>
      <c r="P45" s="24092"/>
      <c r="Q45" s="24092">
        <v>1</v>
      </c>
      <c r="R45" s="293"/>
      <c r="S45" s="1383" t="str">
        <f>$J45</f>
        <v>...1.1</v>
      </c>
      <c r="T45" s="222" t="s">
        <v>636</v>
      </c>
      <c r="U45" s="236"/>
      <c r="V45" s="24076"/>
      <c r="W45" s="24077"/>
      <c r="X45" s="24077"/>
      <c r="Y45" s="24077"/>
      <c r="Z45" s="24077"/>
      <c r="AA45" s="24077"/>
      <c r="AB45" s="24078"/>
      <c r="AC45" s="24076"/>
      <c r="AD45" s="24077"/>
      <c r="AE45" s="24077"/>
      <c r="AF45" s="24077"/>
      <c r="AG45" s="24077"/>
      <c r="AH45" s="24077"/>
      <c r="AI45" s="24077"/>
      <c r="AJ45" s="24078"/>
      <c r="AK45" s="1233" t="s">
        <v>711</v>
      </c>
      <c r="AM45" s="436"/>
      <c r="AN45" s="436" t="str">
        <f t="shared" si="1"/>
        <v>Группа потребителей</v>
      </c>
      <c r="AO45" s="436"/>
      <c r="AP45" s="436"/>
      <c r="AQ45" s="1081">
        <v>23</v>
      </c>
    </row>
    <row r="46" spans="1:43" ht="24" customHeight="1">
      <c r="A46" s="1289" t="s">
        <v>339</v>
      </c>
      <c r="B46" s="1289" t="s">
        <v>340</v>
      </c>
      <c r="C46" s="1289" t="s">
        <v>341</v>
      </c>
      <c r="D46" s="1289" t="s">
        <v>724</v>
      </c>
      <c r="E46" s="24089"/>
      <c r="F46" s="24089"/>
      <c r="G46" s="24089"/>
      <c r="H46" s="24089"/>
      <c r="I46" s="24091"/>
      <c r="J46" s="24091"/>
      <c r="K46" s="24090" t="str">
        <f>J45&amp;".1"</f>
        <v>...1.1.1</v>
      </c>
      <c r="L46" s="1290"/>
      <c r="P46" s="24092"/>
      <c r="Q46" s="24092"/>
      <c r="R46" s="293">
        <v>1</v>
      </c>
      <c r="S46" s="1383" t="str">
        <f>$K46</f>
        <v>...1.1.1</v>
      </c>
      <c r="T46" s="1363"/>
      <c r="U46" s="236"/>
      <c r="V46" s="687"/>
      <c r="W46" s="687"/>
      <c r="X46" s="1183"/>
      <c r="Y46" s="24093"/>
      <c r="Z46" s="23957" t="s">
        <v>59</v>
      </c>
      <c r="AA46" s="24093"/>
      <c r="AB46" s="23957" t="s">
        <v>59</v>
      </c>
      <c r="AC46" s="687"/>
      <c r="AD46" s="687"/>
      <c r="AE46" s="1183"/>
      <c r="AF46" s="24093"/>
      <c r="AG46" s="23957" t="s">
        <v>59</v>
      </c>
      <c r="AH46" s="24095"/>
      <c r="AI46" s="23957" t="s">
        <v>59</v>
      </c>
      <c r="AJ46" s="1364"/>
      <c r="AK46"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339</v>
      </c>
      <c r="B47" s="1289" t="s">
        <v>340</v>
      </c>
      <c r="C47" s="1289" t="s">
        <v>341</v>
      </c>
      <c r="D47" s="1289" t="s">
        <v>724</v>
      </c>
      <c r="E47" s="24089"/>
      <c r="F47" s="24089"/>
      <c r="G47" s="24089"/>
      <c r="H47" s="24089"/>
      <c r="I47" s="24091"/>
      <c r="J47" s="24091"/>
      <c r="K47" s="24090"/>
      <c r="L47" s="1290"/>
      <c r="P47" s="24092"/>
      <c r="Q47" s="24092"/>
      <c r="R47" s="293"/>
      <c r="S47" s="1382"/>
      <c r="T47" s="236"/>
      <c r="U47" s="236"/>
      <c r="V47" s="261"/>
      <c r="W47" s="261"/>
      <c r="X47" s="264" t="str">
        <f>Y46&amp;"-"&amp;AA46</f>
        <v>-</v>
      </c>
      <c r="Y47" s="24094"/>
      <c r="Z47" s="23957"/>
      <c r="AA47" s="24094"/>
      <c r="AB47" s="23957"/>
      <c r="AC47" s="261"/>
      <c r="AD47" s="261"/>
      <c r="AE47" s="264" t="str">
        <f>AF46&amp;"-"&amp;AH46</f>
        <v>-</v>
      </c>
      <c r="AF47" s="24094"/>
      <c r="AG47" s="23957"/>
      <c r="AH47" s="24096"/>
      <c r="AI47" s="23957"/>
      <c r="AJ47" s="1365"/>
      <c r="AK47" s="24162"/>
      <c r="AM47" s="436"/>
      <c r="AN47" s="436" t="str">
        <f t="shared" si="1"/>
        <v/>
      </c>
      <c r="AO47" s="436"/>
      <c r="AP47" s="436"/>
      <c r="AQ47" s="1081">
        <v>0</v>
      </c>
    </row>
    <row r="48" spans="1:43" ht="21" customHeight="1">
      <c r="A48" s="1289" t="s">
        <v>339</v>
      </c>
      <c r="B48" s="1289" t="s">
        <v>340</v>
      </c>
      <c r="C48" s="1289" t="s">
        <v>341</v>
      </c>
      <c r="D48" s="1289" t="s">
        <v>724</v>
      </c>
      <c r="E48" s="24089"/>
      <c r="F48" s="24089"/>
      <c r="G48" s="24089"/>
      <c r="H48" s="24089"/>
      <c r="I48" s="24091"/>
      <c r="J48" s="24090"/>
      <c r="K48" s="1289"/>
      <c r="L48" s="1290"/>
      <c r="P48" s="24092"/>
      <c r="Q48" s="24092"/>
      <c r="R48" s="292"/>
      <c r="S48" s="1204"/>
      <c r="T48" s="223" t="s">
        <v>712</v>
      </c>
      <c r="U48" s="303"/>
      <c r="V48" s="303"/>
      <c r="W48" s="303"/>
      <c r="X48" s="303"/>
      <c r="Y48" s="303"/>
      <c r="Z48" s="303"/>
      <c r="AA48" s="303"/>
      <c r="AB48" s="303"/>
      <c r="AC48" s="303"/>
      <c r="AD48" s="303"/>
      <c r="AE48" s="303"/>
      <c r="AF48" s="303"/>
      <c r="AG48" s="303"/>
      <c r="AH48" s="303"/>
      <c r="AI48" s="303"/>
      <c r="AJ48" s="303"/>
      <c r="AK48" s="1184" t="s">
        <v>713</v>
      </c>
      <c r="AM48" s="436"/>
      <c r="AN48" s="436" t="str">
        <f t="shared" si="1"/>
        <v>Добавить значение признака дифференциации</v>
      </c>
      <c r="AO48" s="436"/>
      <c r="AP48" s="436"/>
      <c r="AQ48" s="1081">
        <v>20</v>
      </c>
    </row>
    <row r="49" spans="1:43" ht="21.95" customHeight="1">
      <c r="A49" s="1289" t="s">
        <v>339</v>
      </c>
      <c r="B49" s="1289" t="s">
        <v>340</v>
      </c>
      <c r="C49" s="1289" t="s">
        <v>341</v>
      </c>
      <c r="D49" s="1289" t="s">
        <v>724</v>
      </c>
      <c r="E49" s="24089"/>
      <c r="F49" s="24089"/>
      <c r="G49" s="24089"/>
      <c r="H49" s="24089"/>
      <c r="I49" s="24090"/>
      <c r="J49" s="1289"/>
      <c r="K49" s="1289"/>
      <c r="L49" s="1290"/>
      <c r="P49" s="24092"/>
      <c r="Q49" s="1376"/>
      <c r="R49" s="292"/>
      <c r="S49" s="1204"/>
      <c r="T49" s="301" t="s">
        <v>641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339</v>
      </c>
      <c r="B50" s="1289" t="s">
        <v>340</v>
      </c>
      <c r="C50" s="1289" t="s">
        <v>341</v>
      </c>
      <c r="D50" s="1289" t="s">
        <v>724</v>
      </c>
      <c r="E50" s="24089"/>
      <c r="F50" s="24089"/>
      <c r="G50" s="24089"/>
      <c r="H50" s="24088"/>
      <c r="I50" s="1289"/>
      <c r="J50" s="1289"/>
      <c r="K50" s="1289"/>
      <c r="L50" s="1290"/>
      <c r="M50" s="1291"/>
      <c r="N50" s="1291"/>
      <c r="O50" s="473"/>
      <c r="P50" s="296"/>
      <c r="Q50" s="311"/>
      <c r="R50" s="291"/>
      <c r="S50" s="1204"/>
      <c r="T50" s="308" t="s">
        <v>714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339</v>
      </c>
      <c r="B51" s="1269" t="s">
        <v>340</v>
      </c>
      <c r="C51" s="1240"/>
      <c r="D51" s="1240"/>
      <c r="E51" s="24089"/>
      <c r="F51" s="24088"/>
      <c r="G51" s="1240"/>
      <c r="H51" s="1240"/>
      <c r="I51" s="1240"/>
      <c r="J51" s="1240"/>
      <c r="K51" s="1240"/>
      <c r="L51" s="1384"/>
      <c r="M51" s="1247"/>
      <c r="N51" s="1247"/>
      <c r="P51" s="1242"/>
      <c r="Q51" s="1243"/>
      <c r="R51" s="1242"/>
      <c r="S51" s="1248"/>
      <c r="T51" s="1251" t="s">
        <v>370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339</v>
      </c>
      <c r="B52" s="1269"/>
      <c r="C52" s="1269"/>
      <c r="D52" s="1269"/>
      <c r="E52" s="24088"/>
      <c r="F52" s="1269"/>
      <c r="G52" s="1269"/>
      <c r="H52" s="1269"/>
      <c r="I52" s="1269"/>
      <c r="J52" s="1269"/>
      <c r="K52" s="1269"/>
      <c r="L52" s="1272"/>
      <c r="M52" s="1247"/>
      <c r="N52" s="1247"/>
      <c r="O52" s="454"/>
      <c r="P52" s="316"/>
      <c r="Q52" s="1270"/>
      <c r="R52" s="316"/>
      <c r="S52" s="1248"/>
      <c r="T52" s="1251" t="s">
        <v>481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087"/>
      <c r="U55" s="24087"/>
      <c r="V55" s="24087"/>
      <c r="W55" s="24087"/>
      <c r="X55" s="24087"/>
      <c r="Y55" s="24087"/>
      <c r="Z55" s="24087"/>
      <c r="AA55" s="24087"/>
      <c r="AB55" s="24087"/>
      <c r="AC55" s="24087"/>
      <c r="AD55" s="24087"/>
      <c r="AE55" s="24087"/>
      <c r="AF55" s="24087"/>
      <c r="AG55" s="24087"/>
      <c r="AH55" s="24087"/>
      <c r="AI55" s="24087"/>
      <c r="AJ55" s="24087"/>
      <c r="AK55" s="24087"/>
      <c r="AQ55" s="1081">
        <v>14</v>
      </c>
    </row>
    <row r="56" spans="1:43" ht="14.65" customHeight="1">
      <c r="O56" s="473"/>
      <c r="AQ56" s="1081">
        <v>14</v>
      </c>
    </row>
    <row r="57" spans="1:43" ht="14.65" customHeight="1">
      <c r="O57" s="473"/>
      <c r="S57" s="1179"/>
      <c r="T57" s="24087"/>
      <c r="U57" s="24087"/>
      <c r="V57" s="24087"/>
      <c r="W57" s="24087"/>
      <c r="X57" s="24087"/>
      <c r="Y57" s="24087"/>
      <c r="Z57" s="24087"/>
      <c r="AA57" s="24087"/>
      <c r="AB57" s="24087"/>
      <c r="AC57" s="24087"/>
      <c r="AD57" s="24087"/>
      <c r="AE57" s="24087"/>
      <c r="AF57" s="24087"/>
      <c r="AG57" s="24087"/>
      <c r="AH57" s="24087"/>
      <c r="AI57" s="24087"/>
      <c r="AJ57" s="24087"/>
      <c r="AK57" s="24087"/>
      <c r="AQ57" s="1081">
        <v>14</v>
      </c>
    </row>
    <row r="58" spans="1:43" ht="22.5" hidden="1" customHeight="1">
      <c r="A58" s="1086" t="s">
        <v>73</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1971" hidden="1" customWidth="1"/>
    <col min="13" max="15" width="10.140625" style="1979" hidden="1" customWidth="1"/>
    <col min="16" max="16" width="3" style="1674" customWidth="1"/>
    <col min="17" max="17" width="3" style="1297" customWidth="1"/>
    <col min="18" max="18" width="3" style="280" customWidth="1"/>
    <col min="19" max="19" width="12" style="1981"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v>
      </c>
    </row>
    <row r="2" spans="1:43" ht="21" hidden="1" customHeight="1">
      <c r="A2" s="1193"/>
      <c r="B2" s="1193"/>
      <c r="C2" s="1193"/>
      <c r="D2" s="1193"/>
      <c r="E2" s="24114">
        <v>1</v>
      </c>
      <c r="F2" s="1193"/>
      <c r="G2" s="1193"/>
      <c r="H2" s="1193"/>
      <c r="I2" s="1193"/>
      <c r="J2" s="1193"/>
      <c r="K2" s="1193"/>
      <c r="L2" s="1236"/>
      <c r="M2" s="1536"/>
      <c r="N2" s="1536"/>
      <c r="O2" s="1536"/>
      <c r="P2" s="1335"/>
      <c r="Q2" s="803"/>
      <c r="R2" s="291"/>
      <c r="S2" s="1852" t="e">
        <f>INDEX(PT_DIFFERENTIATION_NUM_NTAR,MATCH(A2,PT_DIFFERENTIATION_NTAR_ID,0))</f>
        <v>#N/A</v>
      </c>
      <c r="T2" s="1451" t="s">
        <v>229</v>
      </c>
      <c r="U2" s="236"/>
      <c r="V2" s="24083"/>
      <c r="W2" s="24083"/>
      <c r="X2" s="24083"/>
      <c r="Y2" s="24083"/>
      <c r="Z2" s="24083"/>
      <c r="AA2" s="24084"/>
      <c r="AB2" s="1846"/>
      <c r="AC2" s="24083" t="e">
        <f>INDEX(PT_DIFFERENTIATION_NTAR,MATCH(A2,PT_DIFFERENTIATION_NTAR_ID,0))</f>
        <v>#N/A</v>
      </c>
      <c r="AD2" s="24083"/>
      <c r="AE2" s="24083"/>
      <c r="AF2" s="24083"/>
      <c r="AG2" s="24083"/>
      <c r="AH2" s="24083"/>
      <c r="AI2" s="24083"/>
      <c r="AJ2" s="24084"/>
      <c r="AK2" s="1184" t="s">
        <v>625</v>
      </c>
      <c r="AM2" s="1550"/>
      <c r="AN2" s="1550" t="str">
        <f t="shared" ref="AN2:AN14" si="0">IF(T2="","",T2)</f>
        <v>Наименование тарифа</v>
      </c>
      <c r="AO2" s="1550"/>
      <c r="AP2" s="1550"/>
      <c r="AQ2" s="1557">
        <v>0</v>
      </c>
    </row>
    <row r="3" spans="1:43" ht="21" hidden="1" customHeight="1">
      <c r="A3" s="1193"/>
      <c r="B3" s="1193"/>
      <c r="C3" s="1193"/>
      <c r="D3" s="1193"/>
      <c r="E3" s="24115"/>
      <c r="F3" s="24114">
        <v>1</v>
      </c>
      <c r="G3" s="1193"/>
      <c r="H3" s="1193"/>
      <c r="I3" s="1193"/>
      <c r="J3" s="1193"/>
      <c r="K3" s="1193"/>
      <c r="L3" s="1236"/>
      <c r="M3" s="1536"/>
      <c r="N3" s="1536"/>
      <c r="O3" s="1536"/>
      <c r="P3" s="1863"/>
      <c r="Q3" s="1337"/>
      <c r="R3" s="289"/>
      <c r="S3" s="1852" t="e">
        <f>INDEX(PT_DIFFERENTIATION_NUM_TER,MATCH(B3,PT_DIFFERENTIATION_TER_ID,0))</f>
        <v>#N/A</v>
      </c>
      <c r="T3" s="1448" t="s">
        <v>626</v>
      </c>
      <c r="U3" s="236"/>
      <c r="V3" s="24083"/>
      <c r="W3" s="24083"/>
      <c r="X3" s="24083"/>
      <c r="Y3" s="24083"/>
      <c r="Z3" s="24083"/>
      <c r="AA3" s="24084"/>
      <c r="AB3" s="1846"/>
      <c r="AC3" s="24083" t="e">
        <f>INDEX(PT_DIFFERENTIATION_TER,MATCH(B3,PT_DIFFERENTIATION_TER_ID,0))</f>
        <v>#N/A</v>
      </c>
      <c r="AD3" s="24083"/>
      <c r="AE3" s="24083"/>
      <c r="AF3" s="24083"/>
      <c r="AG3" s="24083"/>
      <c r="AH3" s="24083"/>
      <c r="AI3" s="24083"/>
      <c r="AJ3" s="24084"/>
      <c r="AK3" s="1184" t="s">
        <v>627</v>
      </c>
      <c r="AM3" s="1550"/>
      <c r="AN3" s="1550" t="str">
        <f t="shared" si="0"/>
        <v>Территория действия тарифа</v>
      </c>
      <c r="AO3" s="1550"/>
      <c r="AP3" s="1550"/>
      <c r="AQ3" s="1557">
        <v>0</v>
      </c>
    </row>
    <row r="4" spans="1:43" ht="22.5" hidden="1" customHeight="1">
      <c r="A4" s="1193"/>
      <c r="B4" s="1193"/>
      <c r="C4" s="1193"/>
      <c r="D4" s="1193"/>
      <c r="E4" s="24115"/>
      <c r="F4" s="24115"/>
      <c r="G4" s="24114">
        <v>1</v>
      </c>
      <c r="H4" s="1193"/>
      <c r="I4" s="1193"/>
      <c r="J4" s="1193"/>
      <c r="K4" s="1193"/>
      <c r="L4" s="1236"/>
      <c r="M4" s="1536"/>
      <c r="N4" s="1536"/>
      <c r="O4" s="1536"/>
      <c r="P4" s="1338"/>
      <c r="Q4" s="1337"/>
      <c r="R4" s="289"/>
      <c r="S4" s="1852" t="e">
        <f>INDEX(PT_DIFFERENTIATION_NUM_CS,MATCH(C4,PT_DIFFERENTIATION_CS_ID,0))</f>
        <v>#N/A</v>
      </c>
      <c r="T4" s="245" t="s">
        <v>628</v>
      </c>
      <c r="U4" s="236"/>
      <c r="V4" s="24083"/>
      <c r="W4" s="24083"/>
      <c r="X4" s="24083"/>
      <c r="Y4" s="24083"/>
      <c r="Z4" s="24083"/>
      <c r="AA4" s="24084"/>
      <c r="AB4" s="1846"/>
      <c r="AC4" s="24083" t="e">
        <f>INDEX(PT_DIFFERENTIATION_CS,MATCH(C4,PT_DIFFERENTIATION_CS_ID,0))</f>
        <v>#N/A</v>
      </c>
      <c r="AD4" s="24083"/>
      <c r="AE4" s="24083"/>
      <c r="AF4" s="24083"/>
      <c r="AG4" s="24083"/>
      <c r="AH4" s="24083"/>
      <c r="AI4" s="24083"/>
      <c r="AJ4" s="24084"/>
      <c r="AK4" s="1184" t="s">
        <v>629</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4115"/>
      <c r="F5" s="24115"/>
      <c r="G5" s="24115"/>
      <c r="H5" s="24114">
        <v>1</v>
      </c>
      <c r="I5" s="1193"/>
      <c r="J5" s="1193"/>
      <c r="K5" s="1193"/>
      <c r="L5" s="1236"/>
      <c r="M5" s="1536"/>
      <c r="N5" s="1536"/>
      <c r="O5" s="1536"/>
      <c r="P5" s="1338"/>
      <c r="Q5" s="1337"/>
      <c r="R5" s="289"/>
      <c r="S5" s="1852" t="e">
        <f>INDEX(PT_DIFFERENTIATION_NUM_IST_TE,MATCH(D5,PT_DIFFERENTIATION_IST_TE_ID,0))</f>
        <v>#N/A</v>
      </c>
      <c r="T5" s="246" t="s">
        <v>630</v>
      </c>
      <c r="U5" s="236"/>
      <c r="V5" s="24083"/>
      <c r="W5" s="24083"/>
      <c r="X5" s="24083"/>
      <c r="Y5" s="24083"/>
      <c r="Z5" s="24083"/>
      <c r="AA5" s="24084"/>
      <c r="AB5" s="1846"/>
      <c r="AC5" s="24083" t="e">
        <f>INDEX(PT_DIFFERENTIATION_IST_TE,MATCH(D5,PT_DIFFERENTIATION_IST_TE_ID,0))</f>
        <v>#N/A</v>
      </c>
      <c r="AD5" s="24083"/>
      <c r="AE5" s="24083"/>
      <c r="AF5" s="24083"/>
      <c r="AG5" s="24083"/>
      <c r="AH5" s="24083"/>
      <c r="AI5" s="24083"/>
      <c r="AJ5" s="24084"/>
      <c r="AK5" s="1184" t="s">
        <v>631</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4115"/>
      <c r="F6" s="24115"/>
      <c r="G6" s="24115"/>
      <c r="H6" s="24115"/>
      <c r="I6" s="23947" t="e">
        <f>S5&amp;".1"</f>
        <v>#N/A</v>
      </c>
      <c r="J6" s="1301"/>
      <c r="K6" s="1301"/>
      <c r="L6" s="1307" t="s">
        <v>632</v>
      </c>
      <c r="M6" s="1172"/>
      <c r="N6" s="1172"/>
      <c r="O6" s="1172"/>
      <c r="P6" s="24092">
        <v>1</v>
      </c>
      <c r="Q6" s="1848"/>
      <c r="R6" s="292"/>
      <c r="S6" s="971"/>
      <c r="T6" s="1309"/>
      <c r="U6" s="1310"/>
      <c r="V6" s="24120"/>
      <c r="W6" s="24120"/>
      <c r="X6" s="24120"/>
      <c r="Y6" s="24120"/>
      <c r="Z6" s="24120"/>
      <c r="AA6" s="24121"/>
      <c r="AB6" s="1854"/>
      <c r="AC6" s="24120"/>
      <c r="AD6" s="24120"/>
      <c r="AE6" s="24120"/>
      <c r="AF6" s="24120"/>
      <c r="AG6" s="24120"/>
      <c r="AH6" s="24120"/>
      <c r="AI6" s="24120"/>
      <c r="AJ6" s="24121"/>
      <c r="AK6" s="1311"/>
      <c r="AM6" s="1550"/>
      <c r="AN6" s="1550" t="str">
        <f t="shared" si="0"/>
        <v/>
      </c>
      <c r="AO6" s="1550"/>
      <c r="AP6" s="1550"/>
      <c r="AQ6" s="1562">
        <v>0</v>
      </c>
    </row>
    <row r="7" spans="1:43" s="1568" customFormat="1" ht="0.75" hidden="1" customHeight="1">
      <c r="A7" s="1301"/>
      <c r="B7" s="1301"/>
      <c r="C7" s="1301"/>
      <c r="D7" s="1301"/>
      <c r="E7" s="24115"/>
      <c r="F7" s="24115"/>
      <c r="G7" s="24115"/>
      <c r="H7" s="24115"/>
      <c r="I7" s="23928"/>
      <c r="J7" s="23947" t="e">
        <f>S5&amp;".1"</f>
        <v>#N/A</v>
      </c>
      <c r="K7" s="1301"/>
      <c r="L7" s="1307"/>
      <c r="M7" s="1172"/>
      <c r="N7" s="1172"/>
      <c r="O7" s="1172"/>
      <c r="P7" s="24092"/>
      <c r="Q7" s="24092">
        <v>1</v>
      </c>
      <c r="R7" s="293"/>
      <c r="S7" s="971"/>
      <c r="T7" s="1325"/>
      <c r="U7" s="1310"/>
      <c r="V7" s="24120"/>
      <c r="W7" s="24120"/>
      <c r="X7" s="24120"/>
      <c r="Y7" s="24120"/>
      <c r="Z7" s="24120"/>
      <c r="AA7" s="24121"/>
      <c r="AB7" s="1854"/>
      <c r="AC7" s="24120"/>
      <c r="AD7" s="24120"/>
      <c r="AE7" s="24120"/>
      <c r="AF7" s="24120"/>
      <c r="AG7" s="24120"/>
      <c r="AH7" s="24120"/>
      <c r="AI7" s="24120"/>
      <c r="AJ7" s="24121"/>
      <c r="AK7" s="1311"/>
      <c r="AM7" s="1550"/>
      <c r="AN7" s="1550" t="str">
        <f t="shared" si="0"/>
        <v/>
      </c>
      <c r="AO7" s="1550"/>
      <c r="AP7" s="1550"/>
      <c r="AQ7" s="1562">
        <v>0</v>
      </c>
    </row>
    <row r="8" spans="1:43" ht="21" hidden="1" customHeight="1">
      <c r="A8" s="1193"/>
      <c r="B8" s="1193"/>
      <c r="C8" s="1193"/>
      <c r="D8" s="1193"/>
      <c r="E8" s="24115"/>
      <c r="F8" s="24115"/>
      <c r="G8" s="24115"/>
      <c r="H8" s="24115"/>
      <c r="I8" s="23928"/>
      <c r="J8" s="23928"/>
      <c r="K8" s="1885" t="e">
        <f>S5&amp;".1"</f>
        <v>#N/A</v>
      </c>
      <c r="L8" s="1236"/>
      <c r="P8" s="24092"/>
      <c r="Q8" s="24092"/>
      <c r="R8" s="1889">
        <v>1</v>
      </c>
      <c r="S8" s="1887" t="e">
        <f>$K8</f>
        <v>#N/A</v>
      </c>
      <c r="T8" s="1888"/>
      <c r="U8" s="236"/>
      <c r="V8" s="687"/>
      <c r="W8" s="1183"/>
      <c r="X8" s="1886"/>
      <c r="Y8" s="1884" t="s">
        <v>59</v>
      </c>
      <c r="Z8" s="1886"/>
      <c r="AA8" s="1884" t="s">
        <v>59</v>
      </c>
      <c r="AB8" s="1890"/>
      <c r="AC8" s="1891" t="s">
        <v>17</v>
      </c>
      <c r="AD8" s="687"/>
      <c r="AE8" s="1183"/>
      <c r="AF8" s="1849"/>
      <c r="AG8" s="1836" t="s">
        <v>59</v>
      </c>
      <c r="AH8" s="1849"/>
      <c r="AI8" s="1836" t="s">
        <v>59</v>
      </c>
      <c r="AJ8" s="1274"/>
      <c r="AK8" s="24111" t="s">
        <v>690</v>
      </c>
      <c r="AL8" s="1562" t="e">
        <f ca="1">STRCHECKDATE(#REF!)</f>
        <v>#NAME?</v>
      </c>
      <c r="AM8" s="1550"/>
      <c r="AN8" s="1550" t="str">
        <f t="shared" si="0"/>
        <v/>
      </c>
      <c r="AO8" s="1550"/>
      <c r="AP8" s="1550"/>
      <c r="AQ8" s="1557">
        <v>0</v>
      </c>
    </row>
    <row r="9" spans="1:43" ht="11.25" hidden="1" customHeight="1">
      <c r="A9" s="1193"/>
      <c r="B9" s="1193"/>
      <c r="C9" s="1193"/>
      <c r="D9" s="1193"/>
      <c r="E9" s="24115"/>
      <c r="F9" s="24115"/>
      <c r="G9" s="24115"/>
      <c r="H9" s="24115"/>
      <c r="I9" s="23928"/>
      <c r="J9" s="23947"/>
      <c r="K9" s="1193"/>
      <c r="L9" s="1236"/>
      <c r="P9" s="24092"/>
      <c r="Q9" s="24092"/>
      <c r="R9" s="292"/>
      <c r="S9" s="1204"/>
      <c r="T9" s="223" t="s">
        <v>694</v>
      </c>
      <c r="U9" s="536"/>
      <c r="V9" s="536"/>
      <c r="W9" s="536"/>
      <c r="X9" s="536"/>
      <c r="Y9" s="536"/>
      <c r="Z9" s="536"/>
      <c r="AA9" s="536"/>
      <c r="AB9" s="536"/>
      <c r="AC9" s="536"/>
      <c r="AD9" s="536"/>
      <c r="AE9" s="536"/>
      <c r="AF9" s="536"/>
      <c r="AG9" s="536"/>
      <c r="AH9" s="536"/>
      <c r="AI9" s="536"/>
      <c r="AJ9" s="260"/>
      <c r="AK9" s="24113"/>
      <c r="AM9" s="1550"/>
      <c r="AN9" s="1550" t="str">
        <f t="shared" si="0"/>
        <v>Добавить строку</v>
      </c>
      <c r="AO9" s="1550"/>
      <c r="AP9" s="1550"/>
      <c r="AQ9" s="1557">
        <v>0</v>
      </c>
    </row>
    <row r="10" spans="1:43" s="1568" customFormat="1" ht="0.75" hidden="1" customHeight="1">
      <c r="A10" s="1301"/>
      <c r="B10" s="1301"/>
      <c r="C10" s="1301"/>
      <c r="D10" s="1301"/>
      <c r="E10" s="24115"/>
      <c r="F10" s="24115"/>
      <c r="G10" s="24115"/>
      <c r="H10" s="24115"/>
      <c r="I10" s="23947"/>
      <c r="J10" s="1301"/>
      <c r="K10" s="1301"/>
      <c r="L10" s="1307"/>
      <c r="M10" s="1172"/>
      <c r="N10" s="1172"/>
      <c r="O10" s="1172"/>
      <c r="P10" s="24092"/>
      <c r="Q10" s="1848"/>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4115"/>
      <c r="F11" s="24115"/>
      <c r="G11" s="24115"/>
      <c r="H11" s="2411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4115"/>
      <c r="F12" s="24115"/>
      <c r="G12" s="24114"/>
      <c r="H12" s="1300"/>
      <c r="I12" s="1300"/>
      <c r="J12" s="1300"/>
      <c r="K12" s="1300"/>
      <c r="L12" s="1303"/>
      <c r="M12" s="1304"/>
      <c r="N12" s="1304"/>
      <c r="O12" s="287"/>
      <c r="P12" s="1242"/>
      <c r="Q12" s="1243"/>
      <c r="R12" s="1242"/>
      <c r="S12" s="1248"/>
      <c r="T12" s="1251" t="s">
        <v>643</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4115"/>
      <c r="F13" s="24114"/>
      <c r="G13" s="1300"/>
      <c r="H13" s="1300"/>
      <c r="I13" s="1300"/>
      <c r="J13" s="1300"/>
      <c r="K13" s="1300"/>
      <c r="L13" s="1303"/>
      <c r="M13" s="1305"/>
      <c r="N13" s="1305"/>
      <c r="O13" s="287"/>
      <c r="P13" s="1242"/>
      <c r="Q13" s="1243"/>
      <c r="R13" s="1242"/>
      <c r="S13" s="1248"/>
      <c r="T13" s="1251" t="s">
        <v>370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4114"/>
      <c r="F14" s="1301"/>
      <c r="G14" s="1301"/>
      <c r="H14" s="1301"/>
      <c r="I14" s="1301"/>
      <c r="J14" s="1301"/>
      <c r="K14" s="1301"/>
      <c r="L14" s="1307"/>
      <c r="M14" s="1305"/>
      <c r="N14" s="1305"/>
      <c r="O14" s="287"/>
      <c r="P14" s="316"/>
      <c r="Q14" s="1270"/>
      <c r="R14" s="316"/>
      <c r="S14" s="1248"/>
      <c r="T14" s="1251" t="s">
        <v>481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34"/>
      <c r="AG16" s="1860" t="s">
        <v>59</v>
      </c>
      <c r="AH16" s="1634"/>
      <c r="AI16" s="1860" t="s">
        <v>59</v>
      </c>
      <c r="AQ16" s="1557">
        <v>0</v>
      </c>
    </row>
    <row r="17" spans="1:43" ht="14.25" hidden="1" customHeight="1">
      <c r="AL17" s="1567"/>
      <c r="AM17" s="1567"/>
      <c r="AN17" s="1567"/>
      <c r="AO17" s="1567"/>
      <c r="AP17" s="1567"/>
      <c r="AQ17" s="1557">
        <v>0</v>
      </c>
    </row>
    <row r="18" spans="1:43" ht="14.25" hidden="1" customHeight="1">
      <c r="O18" s="1271" t="s">
        <v>644</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65"/>
      <c r="B20" s="1865"/>
      <c r="C20" s="1865"/>
      <c r="D20" s="1865"/>
      <c r="E20" s="1865"/>
      <c r="F20" s="1865"/>
      <c r="G20" s="1865"/>
      <c r="H20" s="1865"/>
      <c r="I20" s="1865"/>
      <c r="J20" s="1865"/>
      <c r="K20" s="1865"/>
      <c r="L20" s="1865"/>
      <c r="M20" s="1866"/>
      <c r="N20" s="1866"/>
      <c r="O20" s="1867" t="s">
        <v>645</v>
      </c>
      <c r="P20" s="1434"/>
      <c r="Q20" s="1436"/>
      <c r="R20" s="1436"/>
      <c r="Y20" s="1433" t="s">
        <v>647</v>
      </c>
      <c r="AA20" s="1433" t="s">
        <v>648</v>
      </c>
      <c r="AC20" s="1433" t="s">
        <v>696</v>
      </c>
      <c r="AG20" s="1433" t="s">
        <v>647</v>
      </c>
      <c r="AI20" s="1433" t="s">
        <v>648</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7"/>
      <c r="R23" s="312"/>
      <c r="S23" s="1201"/>
      <c r="T23" s="393"/>
      <c r="U23" s="393"/>
      <c r="AQ23" s="1557">
        <v>14</v>
      </c>
    </row>
    <row r="24" spans="1:43" ht="39.75" customHeight="1">
      <c r="Q24" s="227"/>
      <c r="R24" s="312"/>
      <c r="S24" s="24069"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069"/>
      <c r="U24" s="24069"/>
      <c r="V24" s="24069"/>
      <c r="W24" s="24069"/>
      <c r="X24" s="24069"/>
      <c r="Y24" s="24069"/>
      <c r="Z24" s="24069"/>
      <c r="AA24" s="24069"/>
      <c r="AB24" s="24069"/>
      <c r="AC24" s="24069"/>
      <c r="AD24" s="24069"/>
      <c r="AE24" s="24069"/>
      <c r="AF24" s="24069"/>
      <c r="AG24" s="24069"/>
      <c r="AH24" s="24069"/>
      <c r="AI24" s="1169"/>
      <c r="AQ24" s="1557">
        <v>38</v>
      </c>
    </row>
    <row r="25" spans="1:43" ht="14.65" customHeight="1">
      <c r="Q25" s="227"/>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557">
        <v>14</v>
      </c>
    </row>
    <row r="26" spans="1:43" ht="14.25" hidden="1" customHeight="1">
      <c r="Q26" s="227"/>
      <c r="R26" s="312"/>
      <c r="S26" s="1201"/>
      <c r="T26" s="393"/>
      <c r="U26" s="393"/>
      <c r="V26" s="258"/>
      <c r="W26" s="258"/>
      <c r="X26" s="258"/>
      <c r="Y26" s="258"/>
      <c r="Z26" s="258"/>
      <c r="AA26" s="258"/>
      <c r="AB26" s="258"/>
      <c r="AC26" s="258"/>
      <c r="AD26" s="258"/>
      <c r="AE26" s="258"/>
      <c r="AF26" s="258"/>
      <c r="AG26" s="258"/>
      <c r="AH26" s="258"/>
      <c r="AI26" s="258"/>
      <c r="AQ26" s="1557">
        <v>0</v>
      </c>
    </row>
    <row r="27" spans="1:43" s="1750" customFormat="1" ht="25.5" hidden="1" customHeight="1">
      <c r="A27" s="1174"/>
      <c r="B27" s="1174"/>
      <c r="C27" s="1174"/>
      <c r="D27" s="1174"/>
      <c r="E27" s="1174"/>
      <c r="F27" s="1174"/>
      <c r="G27" s="1174"/>
      <c r="H27" s="1174"/>
      <c r="I27" s="1174"/>
      <c r="J27" s="1174"/>
      <c r="K27" s="1174"/>
      <c r="L27" s="1306"/>
      <c r="M27" s="1174"/>
      <c r="N27" s="1174"/>
      <c r="O27" s="1174"/>
      <c r="P27" s="1294"/>
      <c r="Q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1561"/>
      <c r="AB27" s="1561"/>
      <c r="AC27" s="24081"/>
      <c r="AD27" s="24081"/>
      <c r="AE27" s="24081"/>
      <c r="AF27" s="24081"/>
      <c r="AG27" s="24081"/>
      <c r="AH27" s="24081"/>
      <c r="AI27" s="1561"/>
      <c r="AJ27" s="1561"/>
      <c r="AK27" s="216"/>
      <c r="AL27" s="304"/>
      <c r="AM27" s="304"/>
      <c r="AN27" s="304"/>
      <c r="AO27" s="304"/>
      <c r="AP27" s="304"/>
      <c r="AQ27" s="354">
        <v>0</v>
      </c>
    </row>
    <row r="28" spans="1:43" s="1750" customFormat="1" ht="18.75" hidden="1" customHeight="1">
      <c r="A28" s="1174"/>
      <c r="B28" s="1174"/>
      <c r="C28" s="1174"/>
      <c r="D28" s="1174"/>
      <c r="E28" s="1174"/>
      <c r="F28" s="1174"/>
      <c r="G28" s="1174"/>
      <c r="H28" s="1174"/>
      <c r="I28" s="1174"/>
      <c r="J28" s="1174"/>
      <c r="K28" s="1174"/>
      <c r="L28" s="1306"/>
      <c r="M28" s="1174"/>
      <c r="N28" s="1174"/>
      <c r="O28" s="1174"/>
      <c r="P28" s="1294"/>
      <c r="Q28" s="1294"/>
      <c r="S28" s="24079" t="s">
        <v>650</v>
      </c>
      <c r="T28" s="24079"/>
      <c r="U28" s="1298"/>
      <c r="V28" s="24080" t="str">
        <f>IF(TITLE_DATE_PR_CHANGE="",IF(TITLE_DATE_PR="","",TITLE_DATE_PR),TITLE_DATE_PR_CHANGE)</f>
        <v>20.12.2024</v>
      </c>
      <c r="W28" s="24080"/>
      <c r="X28" s="24080"/>
      <c r="Y28" s="24080"/>
      <c r="Z28" s="24080"/>
      <c r="AA28" s="1561"/>
      <c r="AB28" s="1561"/>
      <c r="AC28" s="24080"/>
      <c r="AD28" s="24080"/>
      <c r="AE28" s="24080"/>
      <c r="AF28" s="24080"/>
      <c r="AG28" s="24080"/>
      <c r="AH28" s="24080"/>
      <c r="AI28" s="1561"/>
      <c r="AJ28" s="1561"/>
      <c r="AK28" s="216"/>
      <c r="AL28" s="304"/>
      <c r="AM28" s="304"/>
      <c r="AN28" s="304"/>
      <c r="AO28" s="304"/>
      <c r="AP28" s="304"/>
      <c r="AQ28" s="354">
        <v>0</v>
      </c>
    </row>
    <row r="29" spans="1:43" s="1750" customFormat="1" ht="18.75" hidden="1" customHeight="1">
      <c r="A29" s="1174"/>
      <c r="B29" s="1174"/>
      <c r="C29" s="1174"/>
      <c r="D29" s="1174"/>
      <c r="E29" s="1174"/>
      <c r="F29" s="1174"/>
      <c r="G29" s="1174"/>
      <c r="H29" s="1174"/>
      <c r="I29" s="1174"/>
      <c r="J29" s="1174"/>
      <c r="K29" s="1174"/>
      <c r="L29" s="1306"/>
      <c r="M29" s="1174"/>
      <c r="N29" s="1174"/>
      <c r="O29" s="1174"/>
      <c r="P29" s="1294"/>
      <c r="Q29" s="1294"/>
      <c r="S29" s="24079" t="s">
        <v>651</v>
      </c>
      <c r="T29" s="24079"/>
      <c r="U29" s="1298"/>
      <c r="V29" s="24081" t="str">
        <f>IF(TITLE_NUMBER_PR_CHANGE="",IF(TITLE_NUMBER_PR="","",TITLE_NUMBER_PR),TITLE_NUMBER_PR_CHANGE)</f>
        <v>403, 404</v>
      </c>
      <c r="W29" s="24081"/>
      <c r="X29" s="24081"/>
      <c r="Y29" s="24081"/>
      <c r="Z29" s="24081"/>
      <c r="AA29" s="1561"/>
      <c r="AB29" s="1561"/>
      <c r="AC29" s="24081"/>
      <c r="AD29" s="24081"/>
      <c r="AE29" s="24081"/>
      <c r="AF29" s="24081"/>
      <c r="AG29" s="24081"/>
      <c r="AH29" s="24081"/>
      <c r="AI29" s="1561"/>
      <c r="AJ29" s="1561"/>
      <c r="AK29" s="216"/>
      <c r="AL29" s="304"/>
      <c r="AM29" s="304"/>
      <c r="AN29" s="304"/>
      <c r="AO29" s="304"/>
      <c r="AP29" s="304"/>
      <c r="AQ29" s="354">
        <v>0</v>
      </c>
    </row>
    <row r="30" spans="1:43" s="1750" customFormat="1" ht="18.75" hidden="1" customHeight="1">
      <c r="A30" s="1174"/>
      <c r="B30" s="1174"/>
      <c r="C30" s="1174"/>
      <c r="D30" s="1174"/>
      <c r="E30" s="1174"/>
      <c r="F30" s="1174"/>
      <c r="G30" s="1174"/>
      <c r="H30" s="1174"/>
      <c r="I30" s="1174"/>
      <c r="J30" s="1174"/>
      <c r="K30" s="1174"/>
      <c r="L30" s="1306"/>
      <c r="M30" s="1174"/>
      <c r="N30" s="1174"/>
      <c r="O30" s="1174"/>
      <c r="P30" s="1294"/>
      <c r="Q30" s="1294"/>
      <c r="S30" s="24079" t="s">
        <v>33</v>
      </c>
      <c r="T30" s="24079"/>
      <c r="U30" s="1298"/>
      <c r="V30" s="24081" t="str">
        <f>IF(TITLE_IST_PUB_CHANGE="",IF(TITLE_IST_PUB="","",TITLE_IST_PUB),TITLE_IST_PUB_CHANGE)</f>
        <v>Смоленская газета</v>
      </c>
      <c r="W30" s="24081"/>
      <c r="X30" s="24081"/>
      <c r="Y30" s="24081"/>
      <c r="Z30" s="24081"/>
      <c r="AA30" s="1561"/>
      <c r="AB30" s="1561"/>
      <c r="AC30" s="24081"/>
      <c r="AD30" s="24081"/>
      <c r="AE30" s="24081"/>
      <c r="AF30" s="24081"/>
      <c r="AG30" s="24081"/>
      <c r="AH30" s="24081"/>
      <c r="AI30" s="1561"/>
      <c r="AJ30" s="1561"/>
      <c r="AK30" s="216"/>
      <c r="AL30" s="304"/>
      <c r="AM30" s="304"/>
      <c r="AN30" s="304"/>
      <c r="AO30" s="304"/>
      <c r="AP30" s="304"/>
      <c r="AQ30" s="354">
        <v>0</v>
      </c>
    </row>
    <row r="31" spans="1:43" ht="14.25" hidden="1" customHeight="1">
      <c r="Q31" s="227"/>
      <c r="R31" s="312"/>
      <c r="S31" s="1201"/>
      <c r="T31" s="393"/>
      <c r="U31" s="393"/>
      <c r="V31" s="258"/>
      <c r="W31" s="258"/>
      <c r="X31" s="258"/>
      <c r="Y31" s="258"/>
      <c r="Z31" s="258"/>
      <c r="AA31" s="258"/>
      <c r="AB31" s="258"/>
      <c r="AC31" s="258"/>
      <c r="AD31" s="258"/>
      <c r="AE31" s="258"/>
      <c r="AF31" s="258"/>
      <c r="AG31" s="258"/>
      <c r="AH31" s="258"/>
      <c r="AI31" s="258"/>
      <c r="AQ31" s="1557">
        <v>0</v>
      </c>
    </row>
    <row r="32" spans="1:43" s="1750" customFormat="1" ht="18.75" hidden="1" customHeight="1">
      <c r="A32" s="1174"/>
      <c r="B32" s="1174"/>
      <c r="C32" s="1174"/>
      <c r="D32" s="1174"/>
      <c r="E32" s="1174"/>
      <c r="F32" s="1174"/>
      <c r="G32" s="1174"/>
      <c r="H32" s="1174"/>
      <c r="I32" s="1174"/>
      <c r="J32" s="1174"/>
      <c r="K32" s="1174"/>
      <c r="L32" s="1306"/>
      <c r="M32" s="1174"/>
      <c r="N32" s="1174"/>
      <c r="O32" s="1174"/>
      <c r="P32" s="1294"/>
      <c r="Q32" s="1294"/>
      <c r="S32" s="24079" t="s">
        <v>650</v>
      </c>
      <c r="T32" s="24079"/>
      <c r="U32" s="1298"/>
      <c r="V32" s="24080" t="str">
        <f>IF(TITLE_DATE_PR_CHANGE="",IF(TITLE_DATE_PR="","",TITLE_DATE_PR),TITLE_DATE_PR_CHANGE)</f>
        <v>20.12.2024</v>
      </c>
      <c r="W32" s="24080"/>
      <c r="X32" s="24080"/>
      <c r="Y32" s="24080"/>
      <c r="Z32" s="24080"/>
      <c r="AA32" s="1561"/>
      <c r="AB32" s="1561"/>
      <c r="AC32" s="24080"/>
      <c r="AD32" s="24080"/>
      <c r="AE32" s="24080"/>
      <c r="AF32" s="24080"/>
      <c r="AG32" s="24080"/>
      <c r="AH32" s="24080"/>
      <c r="AI32" s="1561"/>
      <c r="AJ32" s="1561"/>
      <c r="AK32" s="216"/>
      <c r="AL32" s="304"/>
      <c r="AM32" s="304"/>
      <c r="AN32" s="304"/>
      <c r="AO32" s="304"/>
      <c r="AP32" s="304"/>
      <c r="AQ32" s="354">
        <v>0</v>
      </c>
    </row>
    <row r="33" spans="1:43" s="1750" customFormat="1" ht="18" hidden="1" customHeight="1">
      <c r="A33" s="1174"/>
      <c r="B33" s="1174"/>
      <c r="C33" s="1174"/>
      <c r="D33" s="1174"/>
      <c r="E33" s="1174"/>
      <c r="F33" s="1174"/>
      <c r="G33" s="1174"/>
      <c r="H33" s="1174"/>
      <c r="I33" s="1174"/>
      <c r="J33" s="1174"/>
      <c r="K33" s="1174"/>
      <c r="L33" s="1306"/>
      <c r="M33" s="1174"/>
      <c r="N33" s="1174"/>
      <c r="O33" s="1174"/>
      <c r="P33" s="1294"/>
      <c r="Q33" s="1294"/>
      <c r="S33" s="24079" t="s">
        <v>651</v>
      </c>
      <c r="T33" s="24079"/>
      <c r="U33" s="1298"/>
      <c r="V33" s="24081" t="str">
        <f>IF(TITLE_NUMBER_PR_CHANGE="",IF(TITLE_NUMBER_PR="","",TITLE_NUMBER_PR),TITLE_NUMBER_PR_CHANGE)</f>
        <v>403, 404</v>
      </c>
      <c r="W33" s="24081"/>
      <c r="X33" s="24081"/>
      <c r="Y33" s="24081"/>
      <c r="Z33" s="24081"/>
      <c r="AA33" s="1561"/>
      <c r="AB33" s="1561"/>
      <c r="AC33" s="24081"/>
      <c r="AD33" s="24081"/>
      <c r="AE33" s="24081"/>
      <c r="AF33" s="24081"/>
      <c r="AG33" s="24081"/>
      <c r="AH33" s="24081"/>
      <c r="AI33" s="1561"/>
      <c r="AJ33" s="1561"/>
      <c r="AK33" s="216"/>
      <c r="AL33" s="304"/>
      <c r="AM33" s="304"/>
      <c r="AN33" s="304"/>
      <c r="AO33" s="304"/>
      <c r="AP33" s="304"/>
      <c r="AQ33" s="354">
        <v>0</v>
      </c>
    </row>
    <row r="34" spans="1:43" s="1750"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64"/>
      <c r="V34" s="1561"/>
      <c r="W34" s="1561"/>
      <c r="X34" s="1561"/>
      <c r="Y34" s="1561"/>
      <c r="Z34" s="1561"/>
      <c r="AA34" s="1568" t="s">
        <v>654</v>
      </c>
      <c r="AB34" s="1568"/>
      <c r="AC34" s="1561"/>
      <c r="AD34" s="1561"/>
      <c r="AE34" s="1561"/>
      <c r="AF34" s="1561"/>
      <c r="AG34" s="1561"/>
      <c r="AH34" s="1561"/>
      <c r="AI34" s="1568" t="s">
        <v>654</v>
      </c>
      <c r="AL34" s="304"/>
      <c r="AM34" s="304"/>
      <c r="AN34" s="304"/>
      <c r="AO34" s="304"/>
      <c r="AP34" s="304"/>
      <c r="AQ34" s="354">
        <v>1</v>
      </c>
    </row>
    <row r="35" spans="1:43" ht="14.65" customHeight="1">
      <c r="Q35" s="227"/>
      <c r="R35" s="312"/>
      <c r="S35" s="1201"/>
      <c r="T35" s="393"/>
      <c r="U35" s="1170"/>
      <c r="V35" s="24100"/>
      <c r="W35" s="24100"/>
      <c r="X35" s="24100"/>
      <c r="Y35" s="24100"/>
      <c r="Z35" s="24100"/>
      <c r="AA35" s="24100"/>
      <c r="AB35" s="1851"/>
      <c r="AC35" s="24100"/>
      <c r="AD35" s="24100"/>
      <c r="AE35" s="24100"/>
      <c r="AF35" s="24100"/>
      <c r="AG35" s="24100"/>
      <c r="AH35" s="24100"/>
      <c r="AI35" s="24100"/>
      <c r="AQ35" s="1557">
        <v>14</v>
      </c>
    </row>
    <row r="36" spans="1:43" ht="14.65" customHeight="1">
      <c r="Q36" s="227"/>
      <c r="R36" s="312"/>
      <c r="S36" s="23947" t="s">
        <v>529</v>
      </c>
      <c r="T36" s="23947"/>
      <c r="U36" s="23947"/>
      <c r="V36" s="23947"/>
      <c r="W36" s="23947"/>
      <c r="X36" s="23947"/>
      <c r="Y36" s="23947"/>
      <c r="Z36" s="23947"/>
      <c r="AA36" s="24022"/>
      <c r="AB36" s="24022"/>
      <c r="AC36" s="24022"/>
      <c r="AD36" s="23947"/>
      <c r="AE36" s="23947"/>
      <c r="AF36" s="23947"/>
      <c r="AG36" s="23947"/>
      <c r="AH36" s="23947"/>
      <c r="AI36" s="23947"/>
      <c r="AJ36" s="23947"/>
      <c r="AK36" s="23947" t="s">
        <v>530</v>
      </c>
      <c r="AQ36" s="1557">
        <v>14</v>
      </c>
    </row>
    <row r="37" spans="1:43" ht="14.65" customHeight="1">
      <c r="Q37" s="227"/>
      <c r="R37" s="312"/>
      <c r="S37" s="24101" t="s">
        <v>79</v>
      </c>
      <c r="T37" s="24050" t="s">
        <v>725</v>
      </c>
      <c r="U37" s="273"/>
      <c r="V37" s="24103"/>
      <c r="W37" s="24103"/>
      <c r="X37" s="24103"/>
      <c r="Y37" s="24103"/>
      <c r="Z37" s="24103"/>
      <c r="AA37" s="24050" t="s">
        <v>657</v>
      </c>
      <c r="AB37" s="24049" t="s">
        <v>726</v>
      </c>
      <c r="AC37" s="24049" t="s">
        <v>700</v>
      </c>
      <c r="AD37" s="24118" t="s">
        <v>656</v>
      </c>
      <c r="AE37" s="24118"/>
      <c r="AF37" s="24103"/>
      <c r="AG37" s="24103"/>
      <c r="AH37" s="24104"/>
      <c r="AI37" s="24105" t="s">
        <v>657</v>
      </c>
      <c r="AJ37" s="24108" t="s">
        <v>659</v>
      </c>
      <c r="AK37" s="23947"/>
      <c r="AQ37" s="1557">
        <v>14</v>
      </c>
    </row>
    <row r="38" spans="1:43" ht="35.65" customHeight="1">
      <c r="Q38" s="227"/>
      <c r="R38" s="312"/>
      <c r="S38" s="24101"/>
      <c r="T38" s="24050"/>
      <c r="U38" s="960"/>
      <c r="V38" s="23927" t="s">
        <v>703</v>
      </c>
      <c r="W38" s="23947"/>
      <c r="X38" s="24023" t="s">
        <v>663</v>
      </c>
      <c r="Y38" s="24130"/>
      <c r="Z38" s="24130"/>
      <c r="AA38" s="24050"/>
      <c r="AB38" s="24049"/>
      <c r="AC38" s="24049"/>
      <c r="AD38" s="23927" t="s">
        <v>703</v>
      </c>
      <c r="AE38" s="23947"/>
      <c r="AF38" s="24130" t="s">
        <v>663</v>
      </c>
      <c r="AG38" s="24130"/>
      <c r="AH38" s="24024"/>
      <c r="AI38" s="24106"/>
      <c r="AJ38" s="24109"/>
      <c r="AK38" s="23947"/>
      <c r="AQ38" s="1557">
        <v>34</v>
      </c>
    </row>
    <row r="39" spans="1:43" ht="14.65" customHeight="1">
      <c r="Q39" s="227"/>
      <c r="R39" s="312"/>
      <c r="S39" s="24101"/>
      <c r="T39" s="24050"/>
      <c r="U39" s="960"/>
      <c r="V39" s="24154" t="str">
        <f>IF($AD$39&lt;&gt;"",$AD$39,"")</f>
        <v/>
      </c>
      <c r="W39" s="24154"/>
      <c r="X39" s="24028"/>
      <c r="Y39" s="24131"/>
      <c r="Z39" s="24131"/>
      <c r="AA39" s="24050"/>
      <c r="AB39" s="24049"/>
      <c r="AC39" s="24049"/>
      <c r="AD39" s="24163"/>
      <c r="AE39" s="24153"/>
      <c r="AF39" s="24131"/>
      <c r="AG39" s="24131"/>
      <c r="AH39" s="24029"/>
      <c r="AI39" s="24106"/>
      <c r="AJ39" s="24109"/>
      <c r="AK39" s="23947"/>
      <c r="AQ39" s="1557">
        <v>14</v>
      </c>
    </row>
    <row r="40" spans="1:43" ht="14.65" customHeight="1">
      <c r="A40" s="1192"/>
      <c r="B40" s="1192" t="s">
        <v>241</v>
      </c>
      <c r="C40" s="1192" t="s">
        <v>242</v>
      </c>
      <c r="D40" s="1192" t="s">
        <v>243</v>
      </c>
      <c r="E40" s="1236" t="s">
        <v>664</v>
      </c>
      <c r="F40" s="1236" t="s">
        <v>665</v>
      </c>
      <c r="G40" s="1236" t="s">
        <v>666</v>
      </c>
      <c r="H40" s="1236" t="s">
        <v>667</v>
      </c>
      <c r="I40" s="1236" t="s">
        <v>668</v>
      </c>
      <c r="J40" s="1236" t="s">
        <v>669</v>
      </c>
      <c r="K40" s="1236" t="s">
        <v>670</v>
      </c>
      <c r="L40" s="1236" t="s">
        <v>645</v>
      </c>
      <c r="Q40" s="227"/>
      <c r="R40" s="312"/>
      <c r="S40" s="24101"/>
      <c r="T40" s="24050"/>
      <c r="U40" s="238"/>
      <c r="V40" s="1844" t="s">
        <v>704</v>
      </c>
      <c r="W40" s="1844" t="s">
        <v>705</v>
      </c>
      <c r="X40" s="1832" t="s">
        <v>673</v>
      </c>
      <c r="Y40" s="24055" t="s">
        <v>674</v>
      </c>
      <c r="Z40" s="24067"/>
      <c r="AA40" s="24050"/>
      <c r="AB40" s="24049"/>
      <c r="AC40" s="24049"/>
      <c r="AD40" s="1862" t="s">
        <v>704</v>
      </c>
      <c r="AE40" s="1853" t="s">
        <v>705</v>
      </c>
      <c r="AF40" s="1832" t="s">
        <v>673</v>
      </c>
      <c r="AG40" s="24055" t="s">
        <v>674</v>
      </c>
      <c r="AH40" s="24068"/>
      <c r="AI40" s="24107"/>
      <c r="AJ40" s="24110"/>
      <c r="AK40" s="23947"/>
      <c r="AQ40" s="1557">
        <v>14</v>
      </c>
    </row>
    <row r="41" spans="1:43" s="1567" customFormat="1" ht="11.25" hidden="1" customHeight="1">
      <c r="A41" s="1192"/>
      <c r="B41" s="1192"/>
      <c r="C41" s="1192"/>
      <c r="D41" s="1192"/>
      <c r="E41" s="1192"/>
      <c r="F41" s="1192"/>
      <c r="G41" s="1192"/>
      <c r="H41" s="1192"/>
      <c r="I41" s="1192"/>
      <c r="J41" s="1192"/>
      <c r="K41" s="1192"/>
      <c r="L41" s="1236"/>
      <c r="M41" s="1859"/>
      <c r="N41" s="1859"/>
      <c r="O41" s="1859"/>
      <c r="P41" s="446"/>
      <c r="Q41" s="1180"/>
      <c r="R41" s="1180">
        <v>1</v>
      </c>
      <c r="S41" s="1203" t="s">
        <v>218</v>
      </c>
      <c r="T41" s="1181" t="s">
        <v>95</v>
      </c>
      <c r="U41" s="1171" t="str">
        <f ca="1">OFFSET(U41,0,-1)</f>
        <v>2</v>
      </c>
      <c r="V41" s="1850">
        <f ca="1">OFFSET(V41,0,-1)+1</f>
        <v>3</v>
      </c>
      <c r="W41" s="1850">
        <f ca="1">OFFSET(W41,0,-1)+1</f>
        <v>4</v>
      </c>
      <c r="X41" s="1850">
        <f ca="1">OFFSET(X41,0,-1)+1</f>
        <v>5</v>
      </c>
      <c r="Y41" s="24099">
        <f ca="1">OFFSET(Y41,0,-1)+1</f>
        <v>6</v>
      </c>
      <c r="Z41" s="24099"/>
      <c r="AA41" s="1267">
        <f ca="1">OFFSET(AA41,0,-2)+1</f>
        <v>7</v>
      </c>
      <c r="AB41" s="1267"/>
      <c r="AC41" s="1267"/>
      <c r="AD41" s="1850">
        <f ca="1">OFFSET(AD41,0,-1)+1</f>
        <v>1</v>
      </c>
      <c r="AE41" s="1850">
        <f ca="1">OFFSET(AE41,0,-1)+1</f>
        <v>2</v>
      </c>
      <c r="AF41" s="1850">
        <f ca="1">OFFSET(AF41,0,-1)+1</f>
        <v>3</v>
      </c>
      <c r="AG41" s="24099">
        <f ca="1">OFFSET(AG41,0,-1)+1</f>
        <v>4</v>
      </c>
      <c r="AH41" s="24099"/>
      <c r="AI41" s="1850">
        <f ca="1">OFFSET(AI41,0,-2)+1</f>
        <v>5</v>
      </c>
      <c r="AJ41" s="1171">
        <f ca="1">OFFSET(AJ41,0,-1)</f>
        <v>5</v>
      </c>
      <c r="AK41" s="1850">
        <f ca="1">OFFSET(AK41,0,-1)+1</f>
        <v>6</v>
      </c>
      <c r="AL41" s="1562"/>
      <c r="AM41" s="1562"/>
      <c r="AN41" s="1562"/>
      <c r="AO41" s="1562"/>
      <c r="AP41" s="1562"/>
      <c r="AQ41" s="1567">
        <v>0</v>
      </c>
    </row>
    <row r="42" spans="1:43" ht="107.25" customHeight="1">
      <c r="A42" s="1193" t="s">
        <v>304</v>
      </c>
      <c r="B42" s="1193"/>
      <c r="C42" s="1193"/>
      <c r="D42" s="1193"/>
      <c r="E42" s="24114">
        <v>1</v>
      </c>
      <c r="F42" s="1193"/>
      <c r="G42" s="1193"/>
      <c r="H42" s="1193"/>
      <c r="I42" s="1193"/>
      <c r="J42" s="1193"/>
      <c r="K42" s="1193"/>
      <c r="L42" s="1236"/>
      <c r="M42" s="1536"/>
      <c r="N42" s="1536"/>
      <c r="O42" s="1536"/>
      <c r="P42" s="1335"/>
      <c r="Q42" s="803"/>
      <c r="R42" s="291"/>
      <c r="S42" s="1852">
        <f>INDEX(PT_DIFFERENTIATION_NUM_NTAR,MATCH(A42,PT_DIFFERENTIATION_NTAR_ID,0))</f>
        <v>0</v>
      </c>
      <c r="T42" s="1451" t="s">
        <v>229</v>
      </c>
      <c r="U42" s="236"/>
      <c r="V42" s="24083"/>
      <c r="W42" s="24083"/>
      <c r="X42" s="24083"/>
      <c r="Y42" s="24083"/>
      <c r="Z42" s="24083"/>
      <c r="AA42" s="24084"/>
      <c r="AB42" s="1846"/>
      <c r="AC42" s="24083" t="str">
        <f>INDEX(PT_DIFFERENTIATION_NTAR,MATCH(A42,PT_DIFFERENTIATION_NTAR_ID,0))</f>
        <v/>
      </c>
      <c r="AD42" s="24083"/>
      <c r="AE42" s="24083"/>
      <c r="AF42" s="24083"/>
      <c r="AG42" s="24083"/>
      <c r="AH42" s="24083"/>
      <c r="AI42" s="24083"/>
      <c r="AJ42" s="2408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0"/>
      <c r="AN42" s="1550" t="str">
        <f t="shared" ref="AN42:AN56" si="1">IF(T42="","",T42)</f>
        <v>Наименование тарифа</v>
      </c>
      <c r="AO42" s="1550"/>
      <c r="AP42" s="1550"/>
      <c r="AQ42" s="1557">
        <v>102</v>
      </c>
    </row>
    <row r="43" spans="1:43" ht="21.95" customHeight="1">
      <c r="A43" s="1193" t="s">
        <v>304</v>
      </c>
      <c r="B43" s="1193" t="s">
        <v>305</v>
      </c>
      <c r="C43" s="1193"/>
      <c r="D43" s="1193"/>
      <c r="E43" s="24115"/>
      <c r="F43" s="24114">
        <v>1</v>
      </c>
      <c r="G43" s="1193"/>
      <c r="H43" s="1193"/>
      <c r="I43" s="1193"/>
      <c r="J43" s="1193"/>
      <c r="K43" s="1193"/>
      <c r="L43" s="1236"/>
      <c r="M43" s="1536"/>
      <c r="N43" s="1536"/>
      <c r="O43" s="1536"/>
      <c r="P43" s="1863"/>
      <c r="Q43" s="1337"/>
      <c r="R43" s="289"/>
      <c r="S43" s="1852" t="str">
        <f>INDEX(PT_DIFFERENTIATION_NUM_TER,MATCH(B43,PT_DIFFERENTIATION_TER_ID,0))</f>
        <v>.</v>
      </c>
      <c r="T43" s="1448" t="s">
        <v>626</v>
      </c>
      <c r="U43" s="236"/>
      <c r="V43" s="24083"/>
      <c r="W43" s="24083"/>
      <c r="X43" s="24083"/>
      <c r="Y43" s="24083"/>
      <c r="Z43" s="24083"/>
      <c r="AA43" s="24084"/>
      <c r="AB43" s="1846"/>
      <c r="AC43" s="24083" t="str">
        <f>INDEX(PT_DIFFERENTIATION_TER,MATCH(B43,PT_DIFFERENTIATION_TER_ID,0))</f>
        <v/>
      </c>
      <c r="AD43" s="24083"/>
      <c r="AE43" s="24083"/>
      <c r="AF43" s="24083"/>
      <c r="AG43" s="24083"/>
      <c r="AH43" s="24083"/>
      <c r="AI43" s="24083"/>
      <c r="AJ43" s="24084"/>
      <c r="AK43" s="1184" t="s">
        <v>627</v>
      </c>
      <c r="AM43" s="1550"/>
      <c r="AN43" s="1550" t="str">
        <f t="shared" si="1"/>
        <v>Территория действия тарифа</v>
      </c>
      <c r="AO43" s="1550"/>
      <c r="AP43" s="1550"/>
      <c r="AQ43" s="1557">
        <v>21</v>
      </c>
    </row>
    <row r="44" spans="1:43" ht="24" customHeight="1">
      <c r="A44" s="1193" t="s">
        <v>304</v>
      </c>
      <c r="B44" s="1193" t="s">
        <v>305</v>
      </c>
      <c r="C44" s="1193" t="s">
        <v>306</v>
      </c>
      <c r="D44" s="1193"/>
      <c r="E44" s="24115"/>
      <c r="F44" s="24115"/>
      <c r="G44" s="24114">
        <v>1</v>
      </c>
      <c r="H44" s="1193"/>
      <c r="I44" s="1193"/>
      <c r="J44" s="1193"/>
      <c r="K44" s="1193"/>
      <c r="L44" s="1236"/>
      <c r="M44" s="1536"/>
      <c r="N44" s="1536"/>
      <c r="O44" s="1536"/>
      <c r="P44" s="1338"/>
      <c r="Q44" s="1337"/>
      <c r="R44" s="289"/>
      <c r="S44" s="1852" t="str">
        <f>INDEX(PT_DIFFERENTIATION_NUM_CS,MATCH(C44,PT_DIFFERENTIATION_CS_ID,0))</f>
        <v>..</v>
      </c>
      <c r="T44" s="245" t="s">
        <v>628</v>
      </c>
      <c r="U44" s="236"/>
      <c r="V44" s="24083"/>
      <c r="W44" s="24083"/>
      <c r="X44" s="24083"/>
      <c r="Y44" s="24083"/>
      <c r="Z44" s="24083"/>
      <c r="AA44" s="24084"/>
      <c r="AB44" s="1846"/>
      <c r="AC44" s="24083" t="str">
        <f>INDEX(PT_DIFFERENTIATION_CS,MATCH(C44,PT_DIFFERENTIATION_CS_ID,0))</f>
        <v/>
      </c>
      <c r="AD44" s="24083"/>
      <c r="AE44" s="24083"/>
      <c r="AF44" s="24083"/>
      <c r="AG44" s="24083"/>
      <c r="AH44" s="24083"/>
      <c r="AI44" s="24083"/>
      <c r="AJ44" s="24084"/>
      <c r="AK44" s="1184" t="s">
        <v>629</v>
      </c>
      <c r="AM44" s="1550"/>
      <c r="AN44" s="1550" t="str">
        <f t="shared" si="1"/>
        <v xml:space="preserve">Наименование системы теплоснабжения </v>
      </c>
      <c r="AO44" s="1550"/>
      <c r="AP44" s="1550"/>
      <c r="AQ44" s="1557">
        <v>23</v>
      </c>
    </row>
    <row r="45" spans="1:43" ht="21.95" customHeight="1">
      <c r="A45" s="1193" t="s">
        <v>304</v>
      </c>
      <c r="B45" s="1193" t="s">
        <v>305</v>
      </c>
      <c r="C45" s="1193" t="s">
        <v>306</v>
      </c>
      <c r="D45" s="1193" t="s">
        <v>307</v>
      </c>
      <c r="E45" s="24115"/>
      <c r="F45" s="24115"/>
      <c r="G45" s="24115"/>
      <c r="H45" s="24114">
        <v>1</v>
      </c>
      <c r="I45" s="1193"/>
      <c r="J45" s="1193"/>
      <c r="K45" s="1193"/>
      <c r="L45" s="1236"/>
      <c r="M45" s="1536"/>
      <c r="N45" s="1536"/>
      <c r="O45" s="1536"/>
      <c r="P45" s="1338"/>
      <c r="Q45" s="1337"/>
      <c r="R45" s="289"/>
      <c r="S45" s="1852" t="str">
        <f>INDEX(PT_DIFFERENTIATION_NUM_IST_TE,MATCH(D45,PT_DIFFERENTIATION_IST_TE_ID,0))</f>
        <v>...</v>
      </c>
      <c r="T45" s="246" t="s">
        <v>630</v>
      </c>
      <c r="U45" s="236"/>
      <c r="V45" s="24083"/>
      <c r="W45" s="24083"/>
      <c r="X45" s="24083"/>
      <c r="Y45" s="24083"/>
      <c r="Z45" s="24083"/>
      <c r="AA45" s="24084"/>
      <c r="AB45" s="1846"/>
      <c r="AC45" s="24083" t="str">
        <f>INDEX(PT_DIFFERENTIATION_IST_TE,MATCH(D45,PT_DIFFERENTIATION_IST_TE_ID,0))</f>
        <v/>
      </c>
      <c r="AD45" s="24083"/>
      <c r="AE45" s="24083"/>
      <c r="AF45" s="24083"/>
      <c r="AG45" s="24083"/>
      <c r="AH45" s="24083"/>
      <c r="AI45" s="24083"/>
      <c r="AJ45" s="24084"/>
      <c r="AK45" s="1184" t="s">
        <v>631</v>
      </c>
      <c r="AM45" s="1550"/>
      <c r="AN45" s="1550" t="str">
        <f t="shared" si="1"/>
        <v xml:space="preserve">Источник тепловой энергии  </v>
      </c>
      <c r="AO45" s="1550"/>
      <c r="AP45" s="1550"/>
      <c r="AQ45" s="1557">
        <v>21</v>
      </c>
    </row>
    <row r="46" spans="1:43" s="1568" customFormat="1" ht="0" hidden="1" customHeight="1">
      <c r="A46" s="1301" t="s">
        <v>304</v>
      </c>
      <c r="B46" s="1301" t="s">
        <v>305</v>
      </c>
      <c r="C46" s="1301" t="s">
        <v>306</v>
      </c>
      <c r="D46" s="1301" t="s">
        <v>307</v>
      </c>
      <c r="E46" s="24115"/>
      <c r="F46" s="24115"/>
      <c r="G46" s="24115"/>
      <c r="H46" s="24115"/>
      <c r="I46" s="23947" t="str">
        <f>S45&amp;".1"</f>
        <v>....1</v>
      </c>
      <c r="J46" s="1301"/>
      <c r="K46" s="1301"/>
      <c r="L46" s="1307" t="s">
        <v>632</v>
      </c>
      <c r="M46" s="1172"/>
      <c r="N46" s="1172"/>
      <c r="O46" s="1172"/>
      <c r="P46" s="24092">
        <v>1</v>
      </c>
      <c r="Q46" s="1848"/>
      <c r="R46" s="292"/>
      <c r="S46" s="971"/>
      <c r="T46" s="1309"/>
      <c r="U46" s="1310"/>
      <c r="V46" s="24120"/>
      <c r="W46" s="24120"/>
      <c r="X46" s="24120"/>
      <c r="Y46" s="24120"/>
      <c r="Z46" s="24120"/>
      <c r="AA46" s="24121"/>
      <c r="AB46" s="1854"/>
      <c r="AC46" s="24120"/>
      <c r="AD46" s="24120"/>
      <c r="AE46" s="24120"/>
      <c r="AF46" s="24120"/>
      <c r="AG46" s="24120"/>
      <c r="AH46" s="24120"/>
      <c r="AI46" s="24120"/>
      <c r="AJ46" s="24121"/>
      <c r="AK46" s="1311"/>
      <c r="AM46" s="1550"/>
      <c r="AN46" s="1550" t="str">
        <f t="shared" si="1"/>
        <v/>
      </c>
      <c r="AO46" s="1550"/>
      <c r="AP46" s="1550"/>
      <c r="AQ46" s="1562">
        <v>0</v>
      </c>
    </row>
    <row r="47" spans="1:43" s="1568" customFormat="1" ht="0" hidden="1" customHeight="1">
      <c r="A47" s="1301" t="s">
        <v>304</v>
      </c>
      <c r="B47" s="1301" t="s">
        <v>305</v>
      </c>
      <c r="C47" s="1301" t="s">
        <v>306</v>
      </c>
      <c r="D47" s="1301" t="s">
        <v>307</v>
      </c>
      <c r="E47" s="24115"/>
      <c r="F47" s="24115"/>
      <c r="G47" s="24115"/>
      <c r="H47" s="24115"/>
      <c r="I47" s="23928"/>
      <c r="J47" s="23947" t="str">
        <f>S45&amp;".1"</f>
        <v>....1</v>
      </c>
      <c r="K47" s="1301"/>
      <c r="L47" s="1307"/>
      <c r="M47" s="1172"/>
      <c r="N47" s="1172"/>
      <c r="O47" s="1172"/>
      <c r="P47" s="24092"/>
      <c r="Q47" s="24092">
        <v>1</v>
      </c>
      <c r="R47" s="293"/>
      <c r="S47" s="971"/>
      <c r="T47" s="1325"/>
      <c r="U47" s="1310"/>
      <c r="V47" s="24120"/>
      <c r="W47" s="24120"/>
      <c r="X47" s="24120"/>
      <c r="Y47" s="24120"/>
      <c r="Z47" s="24120"/>
      <c r="AA47" s="24121"/>
      <c r="AB47" s="1854"/>
      <c r="AC47" s="24120"/>
      <c r="AD47" s="24120"/>
      <c r="AE47" s="24120"/>
      <c r="AF47" s="24120"/>
      <c r="AG47" s="24120"/>
      <c r="AH47" s="24120"/>
      <c r="AI47" s="24120"/>
      <c r="AJ47" s="24121"/>
      <c r="AK47" s="1311"/>
      <c r="AM47" s="1550"/>
      <c r="AN47" s="1550" t="str">
        <f t="shared" si="1"/>
        <v/>
      </c>
      <c r="AO47" s="1550"/>
      <c r="AP47" s="1550"/>
      <c r="AQ47" s="1562">
        <v>0</v>
      </c>
    </row>
    <row r="48" spans="1:43" ht="21.95" customHeight="1">
      <c r="A48" s="1193" t="s">
        <v>304</v>
      </c>
      <c r="B48" s="1193" t="s">
        <v>305</v>
      </c>
      <c r="C48" s="1193" t="s">
        <v>306</v>
      </c>
      <c r="D48" s="1193" t="s">
        <v>307</v>
      </c>
      <c r="E48" s="24115"/>
      <c r="F48" s="24115"/>
      <c r="G48" s="24115"/>
      <c r="H48" s="24115"/>
      <c r="I48" s="23928"/>
      <c r="J48" s="23928"/>
      <c r="K48" s="1835" t="str">
        <f>S45&amp;".1"</f>
        <v>....1</v>
      </c>
      <c r="L48" s="1236"/>
      <c r="P48" s="24092"/>
      <c r="Q48" s="24092"/>
      <c r="R48" s="293">
        <v>1</v>
      </c>
      <c r="S48" s="1856" t="str">
        <f>$K48</f>
        <v>....1</v>
      </c>
      <c r="T48" s="1855"/>
      <c r="U48" s="236"/>
      <c r="V48" s="687"/>
      <c r="W48" s="1183"/>
      <c r="X48" s="1849"/>
      <c r="Y48" s="1836" t="s">
        <v>59</v>
      </c>
      <c r="Z48" s="1849"/>
      <c r="AA48" s="1836" t="s">
        <v>59</v>
      </c>
      <c r="AB48" s="1858"/>
      <c r="AC48" s="1857" t="s">
        <v>17</v>
      </c>
      <c r="AD48" s="687"/>
      <c r="AE48" s="1183"/>
      <c r="AF48" s="1849"/>
      <c r="AG48" s="1836" t="s">
        <v>59</v>
      </c>
      <c r="AH48" s="1849"/>
      <c r="AI48" s="1836" t="s">
        <v>59</v>
      </c>
      <c r="AJ48" s="1274"/>
      <c r="AK48" s="24111" t="s">
        <v>706</v>
      </c>
      <c r="AL48" s="1562" t="e">
        <f ca="1">STRCHECKDATE(#REF!)</f>
        <v>#NAME?</v>
      </c>
      <c r="AM48" s="1550"/>
      <c r="AN48" s="1550" t="str">
        <f t="shared" si="1"/>
        <v/>
      </c>
      <c r="AO48" s="1550"/>
      <c r="AP48" s="1550"/>
      <c r="AQ48" s="1557">
        <v>21</v>
      </c>
    </row>
    <row r="49" spans="1:43" ht="11.45" customHeight="1">
      <c r="A49" s="1193" t="s">
        <v>304</v>
      </c>
      <c r="B49" s="1193" t="s">
        <v>305</v>
      </c>
      <c r="C49" s="1193" t="s">
        <v>306</v>
      </c>
      <c r="D49" s="1193" t="s">
        <v>307</v>
      </c>
      <c r="E49" s="24115"/>
      <c r="F49" s="24115"/>
      <c r="G49" s="24115"/>
      <c r="H49" s="24115"/>
      <c r="I49" s="23928"/>
      <c r="J49" s="23947"/>
      <c r="K49" s="1193"/>
      <c r="L49" s="1236"/>
      <c r="P49" s="24092"/>
      <c r="Q49" s="24092"/>
      <c r="R49" s="292"/>
      <c r="S49" s="1204"/>
      <c r="T49" s="223" t="s">
        <v>694</v>
      </c>
      <c r="U49" s="536"/>
      <c r="V49" s="536"/>
      <c r="W49" s="536"/>
      <c r="X49" s="536"/>
      <c r="Y49" s="536"/>
      <c r="Z49" s="536"/>
      <c r="AA49" s="260"/>
      <c r="AB49" s="536"/>
      <c r="AC49" s="536"/>
      <c r="AD49" s="536"/>
      <c r="AE49" s="536"/>
      <c r="AF49" s="536"/>
      <c r="AG49" s="536"/>
      <c r="AH49" s="536"/>
      <c r="AI49" s="536"/>
      <c r="AJ49" s="260"/>
      <c r="AK49" s="24113"/>
      <c r="AM49" s="1550"/>
      <c r="AN49" s="1550" t="str">
        <f t="shared" si="1"/>
        <v>Добавить строку</v>
      </c>
      <c r="AO49" s="1550"/>
      <c r="AP49" s="1550"/>
      <c r="AQ49" s="1557">
        <v>11</v>
      </c>
    </row>
    <row r="50" spans="1:43" s="1568" customFormat="1" ht="1.1499999999999999" customHeight="1">
      <c r="A50" s="1301" t="s">
        <v>304</v>
      </c>
      <c r="B50" s="1301" t="s">
        <v>305</v>
      </c>
      <c r="C50" s="1301" t="s">
        <v>306</v>
      </c>
      <c r="D50" s="1301" t="s">
        <v>307</v>
      </c>
      <c r="E50" s="24115"/>
      <c r="F50" s="24115"/>
      <c r="G50" s="24115"/>
      <c r="H50" s="24115"/>
      <c r="I50" s="23947"/>
      <c r="J50" s="1301"/>
      <c r="K50" s="1301"/>
      <c r="L50" s="1307"/>
      <c r="M50" s="1172"/>
      <c r="N50" s="1172"/>
      <c r="O50" s="1172"/>
      <c r="P50" s="24092"/>
      <c r="Q50" s="1848"/>
      <c r="R50" s="292"/>
      <c r="S50" s="1312"/>
      <c r="T50" s="1313" t="s">
        <v>641</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304</v>
      </c>
      <c r="B51" s="1301" t="s">
        <v>305</v>
      </c>
      <c r="C51" s="1301" t="s">
        <v>306</v>
      </c>
      <c r="D51" s="1301" t="s">
        <v>307</v>
      </c>
      <c r="E51" s="24115"/>
      <c r="F51" s="24115"/>
      <c r="G51" s="24115"/>
      <c r="H51" s="2411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304</v>
      </c>
      <c r="B52" s="1301" t="s">
        <v>305</v>
      </c>
      <c r="C52" s="1301" t="s">
        <v>306</v>
      </c>
      <c r="D52" s="1300"/>
      <c r="E52" s="24115"/>
      <c r="F52" s="24115"/>
      <c r="G52" s="24114"/>
      <c r="H52" s="1300"/>
      <c r="I52" s="1300"/>
      <c r="J52" s="1300"/>
      <c r="K52" s="1300"/>
      <c r="L52" s="1303"/>
      <c r="M52" s="1304"/>
      <c r="N52" s="1304"/>
      <c r="O52" s="287"/>
      <c r="P52" s="1242"/>
      <c r="Q52" s="1243"/>
      <c r="R52" s="1242"/>
      <c r="S52" s="1248"/>
      <c r="T52" s="1251" t="s">
        <v>643</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304</v>
      </c>
      <c r="B53" s="1301" t="s">
        <v>305</v>
      </c>
      <c r="C53" s="1300"/>
      <c r="D53" s="1300"/>
      <c r="E53" s="24115"/>
      <c r="F53" s="24114"/>
      <c r="G53" s="1300"/>
      <c r="H53" s="1300"/>
      <c r="I53" s="1300"/>
      <c r="J53" s="1300"/>
      <c r="K53" s="1300"/>
      <c r="L53" s="1303"/>
      <c r="M53" s="1305"/>
      <c r="N53" s="1305"/>
      <c r="O53" s="287"/>
      <c r="P53" s="1242"/>
      <c r="Q53" s="1243"/>
      <c r="R53" s="1242"/>
      <c r="S53" s="1248"/>
      <c r="T53" s="1251" t="s">
        <v>370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304</v>
      </c>
      <c r="B54" s="1301"/>
      <c r="C54" s="1301"/>
      <c r="D54" s="1301"/>
      <c r="E54" s="24115"/>
      <c r="F54" s="1301"/>
      <c r="G54" s="1301"/>
      <c r="H54" s="1301"/>
      <c r="I54" s="1301"/>
      <c r="J54" s="1301"/>
      <c r="K54" s="1301"/>
      <c r="L54" s="1307"/>
      <c r="M54" s="1305"/>
      <c r="N54" s="1305"/>
      <c r="O54" s="287"/>
      <c r="P54" s="316"/>
      <c r="Q54" s="1270"/>
      <c r="R54" s="316"/>
      <c r="S54" s="1248"/>
      <c r="T54" s="1251" t="s">
        <v>481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304</v>
      </c>
      <c r="B55" s="1301"/>
      <c r="C55" s="1301"/>
      <c r="D55" s="1301"/>
      <c r="E55" s="24114"/>
      <c r="F55" s="1301"/>
      <c r="G55" s="1301"/>
      <c r="H55" s="1301"/>
      <c r="I55" s="1301"/>
      <c r="J55" s="1301"/>
      <c r="K55" s="1301"/>
      <c r="L55" s="1307"/>
      <c r="M55" s="1305"/>
      <c r="N55" s="1305"/>
      <c r="O55" s="287"/>
      <c r="P55" s="316"/>
      <c r="Q55" s="1270"/>
      <c r="R55" s="316"/>
      <c r="S55" s="1248"/>
      <c r="T55" s="1251" t="s">
        <v>481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482</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4087"/>
      <c r="U58" s="24087"/>
      <c r="V58" s="24087"/>
      <c r="W58" s="24087"/>
      <c r="X58" s="24087"/>
      <c r="Y58" s="24087"/>
      <c r="Z58" s="24087"/>
      <c r="AA58" s="24087"/>
      <c r="AB58" s="24087"/>
      <c r="AC58" s="24087"/>
      <c r="AD58" s="24087"/>
      <c r="AE58" s="24087"/>
      <c r="AF58" s="24087"/>
      <c r="AG58" s="24087"/>
      <c r="AH58" s="24087"/>
      <c r="AI58" s="24087"/>
      <c r="AJ58" s="24087"/>
      <c r="AK58" s="24087"/>
      <c r="AQ58" s="1557">
        <v>19</v>
      </c>
    </row>
    <row r="59" spans="1:43" ht="21" customHeight="1">
      <c r="O59" s="1561"/>
      <c r="T59" s="24087"/>
      <c r="U59" s="24087"/>
      <c r="V59" s="24087"/>
      <c r="W59" s="24087"/>
      <c r="X59" s="24087"/>
      <c r="Y59" s="24087"/>
      <c r="Z59" s="24087"/>
      <c r="AA59" s="24087"/>
      <c r="AB59" s="24087"/>
      <c r="AC59" s="24087"/>
      <c r="AD59" s="24087"/>
      <c r="AE59" s="24087"/>
      <c r="AF59" s="24087"/>
      <c r="AG59" s="24087"/>
      <c r="AH59" s="24087"/>
      <c r="AI59" s="24087"/>
      <c r="AJ59" s="24087"/>
      <c r="AK59" s="24087"/>
      <c r="AQ59" s="1557">
        <v>20</v>
      </c>
    </row>
    <row r="60" spans="1:43" ht="14.65" customHeight="1">
      <c r="O60" s="1561"/>
      <c r="T60" s="1847"/>
      <c r="U60" s="1847"/>
      <c r="V60" s="1847"/>
      <c r="W60" s="1847"/>
      <c r="X60" s="1847"/>
      <c r="Y60" s="1847"/>
      <c r="Z60" s="1847"/>
      <c r="AA60" s="1847"/>
      <c r="AB60" s="1847"/>
      <c r="AC60" s="1847"/>
      <c r="AD60" s="1847"/>
      <c r="AE60" s="1847"/>
      <c r="AF60" s="1847"/>
      <c r="AG60" s="1847"/>
      <c r="AH60" s="1847"/>
      <c r="AI60" s="1847"/>
      <c r="AJ60" s="1847"/>
      <c r="AK60" s="1847"/>
      <c r="AQ60" s="1557">
        <v>14</v>
      </c>
    </row>
    <row r="61" spans="1:43" ht="19.899999999999999" customHeight="1">
      <c r="O61" s="1561"/>
      <c r="T61" s="24087"/>
      <c r="U61" s="24087"/>
      <c r="V61" s="24087"/>
      <c r="W61" s="24087"/>
      <c r="X61" s="24087"/>
      <c r="Y61" s="24087"/>
      <c r="Z61" s="24087"/>
      <c r="AA61" s="24087"/>
      <c r="AB61" s="24087"/>
      <c r="AC61" s="24087"/>
      <c r="AD61" s="24087"/>
      <c r="AE61" s="24087"/>
      <c r="AF61" s="24087"/>
      <c r="AG61" s="24087"/>
      <c r="AH61" s="24087"/>
      <c r="AI61" s="24087"/>
      <c r="AJ61" s="24087"/>
      <c r="AK61" s="24087"/>
      <c r="AQ61" s="1557">
        <v>19</v>
      </c>
    </row>
    <row r="62" spans="1:43" ht="16.899999999999999" customHeight="1">
      <c r="O62" s="1561"/>
      <c r="T62" s="24087"/>
      <c r="U62" s="24087"/>
      <c r="V62" s="24087"/>
      <c r="W62" s="24087"/>
      <c r="X62" s="24087"/>
      <c r="Y62" s="24087"/>
      <c r="Z62" s="24087"/>
      <c r="AA62" s="24087"/>
      <c r="AB62" s="24087"/>
      <c r="AC62" s="24087"/>
      <c r="AD62" s="24087"/>
      <c r="AE62" s="24087"/>
      <c r="AF62" s="24087"/>
      <c r="AG62" s="24087"/>
      <c r="AH62" s="24087"/>
      <c r="AI62" s="24087"/>
      <c r="AJ62" s="24087"/>
      <c r="AK62" s="24087"/>
      <c r="AQ62" s="1557">
        <v>16</v>
      </c>
    </row>
    <row r="63" spans="1:43" ht="14.65" customHeight="1">
      <c r="O63" s="1561"/>
      <c r="AQ63" s="1557">
        <v>14</v>
      </c>
    </row>
    <row r="64" spans="1:43" ht="22.5" hidden="1" customHeight="1">
      <c r="A64" s="1557" t="s">
        <v>73</v>
      </c>
      <c r="B64" s="1557">
        <v>0</v>
      </c>
      <c r="C64" s="1557">
        <v>0</v>
      </c>
      <c r="D64" s="1557">
        <v>0</v>
      </c>
      <c r="E64" s="1557">
        <v>0</v>
      </c>
      <c r="F64" s="1557">
        <v>0</v>
      </c>
      <c r="G64" s="1557">
        <v>0</v>
      </c>
      <c r="H64" s="1557">
        <v>0</v>
      </c>
      <c r="I64" s="1557">
        <v>0</v>
      </c>
      <c r="J64" s="1557">
        <v>0</v>
      </c>
      <c r="K64" s="1557">
        <v>0</v>
      </c>
      <c r="L64" s="1833">
        <v>0</v>
      </c>
      <c r="M64" s="1859">
        <v>0</v>
      </c>
      <c r="N64" s="1859">
        <v>0</v>
      </c>
      <c r="O64" s="1859">
        <v>0</v>
      </c>
      <c r="P64" s="1288">
        <v>3</v>
      </c>
      <c r="Q64" s="1297">
        <v>3</v>
      </c>
      <c r="R64" s="280">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0" customWidth="1"/>
    <col min="19" max="19" width="12" style="198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v>
      </c>
    </row>
    <row r="2" spans="1:61" ht="21" hidden="1" customHeight="1">
      <c r="A2" s="1289"/>
      <c r="B2" s="1289"/>
      <c r="C2" s="1289"/>
      <c r="D2" s="1289"/>
      <c r="E2" s="24088">
        <v>1</v>
      </c>
      <c r="F2" s="1289"/>
      <c r="G2" s="1289"/>
      <c r="H2" s="1289"/>
      <c r="I2" s="1289"/>
      <c r="J2" s="1289"/>
      <c r="K2" s="1289"/>
      <c r="L2" s="1290"/>
      <c r="M2" s="1291"/>
      <c r="N2" s="1291"/>
      <c r="O2" s="1291"/>
      <c r="P2" s="1335"/>
      <c r="Q2" s="803"/>
      <c r="R2" s="291"/>
      <c r="S2" s="1391" t="e">
        <f>INDEX(PT_DIFFERENTIATION_NUM_NTAR,MATCH(A2,PT_DIFFERENTIATION_NTAR_ID,0))</f>
        <v>#N/A</v>
      </c>
      <c r="T2" s="234" t="s">
        <v>229</v>
      </c>
      <c r="U2" s="236"/>
      <c r="V2" s="24083"/>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3"/>
      <c r="AM2" s="24083"/>
      <c r="AN2" s="24083"/>
      <c r="AO2" s="24083"/>
      <c r="AP2" s="24083"/>
      <c r="AQ2" s="24083"/>
      <c r="AR2" s="24083"/>
      <c r="AS2" s="24083"/>
      <c r="AT2" s="24083"/>
      <c r="AU2" s="24083"/>
      <c r="AV2" s="24083"/>
      <c r="AW2" s="24083"/>
      <c r="AX2" s="24083"/>
      <c r="AY2" s="24083"/>
      <c r="AZ2" s="24083"/>
      <c r="BA2" s="24083"/>
      <c r="BB2" s="2408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089"/>
      <c r="F3" s="24088">
        <v>1</v>
      </c>
      <c r="G3" s="1289"/>
      <c r="H3" s="1289"/>
      <c r="I3" s="1289"/>
      <c r="J3" s="1289"/>
      <c r="K3" s="1289"/>
      <c r="L3" s="1290"/>
      <c r="M3" s="1291"/>
      <c r="N3" s="1291"/>
      <c r="O3" s="1291"/>
      <c r="P3" s="1336"/>
      <c r="Q3" s="1337"/>
      <c r="R3" s="289"/>
      <c r="S3" s="1391" t="e">
        <f>INDEX(PT_DIFFERENTIATION_NUM_TER,MATCH(B3,PT_DIFFERENTIATION_TER_ID,0))</f>
        <v>#N/A</v>
      </c>
      <c r="T3" s="244" t="s">
        <v>626</v>
      </c>
      <c r="U3" s="236"/>
      <c r="V3" s="24083"/>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3"/>
      <c r="AM3" s="24083"/>
      <c r="AN3" s="24083"/>
      <c r="AO3" s="24083"/>
      <c r="AP3" s="24083"/>
      <c r="AQ3" s="24083"/>
      <c r="AR3" s="24083"/>
      <c r="AS3" s="24083"/>
      <c r="AT3" s="24083"/>
      <c r="AU3" s="24083"/>
      <c r="AV3" s="24083"/>
      <c r="AW3" s="24083"/>
      <c r="AX3" s="24083"/>
      <c r="AY3" s="24083"/>
      <c r="AZ3" s="24083"/>
      <c r="BA3" s="24083"/>
      <c r="BB3" s="24084"/>
      <c r="BC3" s="1184" t="s">
        <v>627</v>
      </c>
      <c r="BE3" s="436"/>
      <c r="BF3" s="436" t="str">
        <f t="shared" si="0"/>
        <v>Территория действия тарифа</v>
      </c>
      <c r="BG3" s="436"/>
      <c r="BH3" s="436"/>
      <c r="BI3" s="1081">
        <v>0</v>
      </c>
    </row>
    <row r="4" spans="1:61" ht="42" hidden="1" customHeight="1">
      <c r="A4" s="1289"/>
      <c r="B4" s="1289"/>
      <c r="C4" s="1289"/>
      <c r="D4" s="1289"/>
      <c r="E4" s="24089"/>
      <c r="F4" s="24089"/>
      <c r="G4" s="24088">
        <v>1</v>
      </c>
      <c r="H4" s="1289"/>
      <c r="I4" s="1289"/>
      <c r="J4" s="1289"/>
      <c r="K4" s="1289"/>
      <c r="L4" s="1290"/>
      <c r="M4" s="1291"/>
      <c r="N4" s="1291"/>
      <c r="O4" s="1291"/>
      <c r="P4" s="1338"/>
      <c r="Q4" s="1337"/>
      <c r="R4" s="289"/>
      <c r="S4" s="1391" t="e">
        <f>INDEX(PT_DIFFERENTIATION_NUM_CS,MATCH(C4,PT_DIFFERENTIATION_CS_ID,0))</f>
        <v>#N/A</v>
      </c>
      <c r="T4" s="245" t="s">
        <v>707</v>
      </c>
      <c r="U4" s="236"/>
      <c r="V4" s="24083"/>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3"/>
      <c r="AM4" s="24083"/>
      <c r="AN4" s="24083"/>
      <c r="AO4" s="24083"/>
      <c r="AP4" s="24083"/>
      <c r="AQ4" s="24083"/>
      <c r="AR4" s="24083"/>
      <c r="AS4" s="24083"/>
      <c r="AT4" s="24083"/>
      <c r="AU4" s="24083"/>
      <c r="AV4" s="24083"/>
      <c r="AW4" s="24083"/>
      <c r="AX4" s="24083"/>
      <c r="AY4" s="24083"/>
      <c r="AZ4" s="24083"/>
      <c r="BA4" s="24083"/>
      <c r="BB4" s="24084"/>
      <c r="BC4" s="1184" t="s">
        <v>708</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4089"/>
      <c r="F5" s="24089"/>
      <c r="G5" s="24089"/>
      <c r="H5" s="24088">
        <v>1</v>
      </c>
      <c r="I5" s="1269"/>
      <c r="J5" s="1269"/>
      <c r="K5" s="1269"/>
      <c r="L5" s="1272"/>
      <c r="M5" s="1241"/>
      <c r="N5" s="1241"/>
      <c r="O5" s="1241"/>
      <c r="P5" s="1423"/>
      <c r="Q5" s="1424"/>
      <c r="R5" s="293"/>
      <c r="S5" s="971"/>
      <c r="T5" s="1425"/>
      <c r="U5" s="1310"/>
      <c r="V5" s="24120"/>
      <c r="W5" s="24120"/>
      <c r="X5" s="24120"/>
      <c r="Y5" s="24120"/>
      <c r="Z5" s="24120"/>
      <c r="AA5" s="24120"/>
      <c r="AB5" s="24120"/>
      <c r="AC5" s="24121"/>
      <c r="AD5" s="24119"/>
      <c r="AE5" s="24120"/>
      <c r="AF5" s="24120"/>
      <c r="AG5" s="24120"/>
      <c r="AH5" s="24120"/>
      <c r="AI5" s="24120"/>
      <c r="AJ5" s="24120"/>
      <c r="AK5" s="24120"/>
      <c r="AL5" s="24120"/>
      <c r="AM5" s="24120"/>
      <c r="AN5" s="24120"/>
      <c r="AO5" s="24120"/>
      <c r="AP5" s="24120"/>
      <c r="AQ5" s="24120"/>
      <c r="AR5" s="24120"/>
      <c r="AS5" s="24120"/>
      <c r="AT5" s="24120"/>
      <c r="AU5" s="24120"/>
      <c r="AV5" s="24120"/>
      <c r="AW5" s="24120"/>
      <c r="AX5" s="24120"/>
      <c r="AY5" s="24120"/>
      <c r="AZ5" s="24120"/>
      <c r="BA5" s="24120"/>
      <c r="BB5" s="24121"/>
      <c r="BC5" s="1311" t="s">
        <v>631</v>
      </c>
      <c r="BE5" s="436"/>
      <c r="BF5" s="436" t="str">
        <f t="shared" si="0"/>
        <v/>
      </c>
      <c r="BG5" s="436"/>
      <c r="BH5" s="436"/>
      <c r="BI5" s="447">
        <v>0</v>
      </c>
    </row>
    <row r="6" spans="1:61" s="1568" customFormat="1" ht="14.25" hidden="1" customHeight="1">
      <c r="A6" s="1269"/>
      <c r="B6" s="1269"/>
      <c r="C6" s="1269"/>
      <c r="D6" s="1269"/>
      <c r="E6" s="24089"/>
      <c r="F6" s="24089"/>
      <c r="G6" s="24089"/>
      <c r="H6" s="24089"/>
      <c r="I6" s="24090" t="str">
        <f>S5&amp;".1"</f>
        <v>.1</v>
      </c>
      <c r="J6" s="1269"/>
      <c r="K6" s="1269"/>
      <c r="L6" s="1272" t="s">
        <v>632</v>
      </c>
      <c r="M6" s="446"/>
      <c r="N6" s="446"/>
      <c r="O6" s="446"/>
      <c r="P6" s="24092">
        <v>1</v>
      </c>
      <c r="Q6" s="1388"/>
      <c r="R6" s="292"/>
      <c r="S6" s="971"/>
      <c r="T6" s="1309"/>
      <c r="U6" s="1310"/>
      <c r="V6" s="24120"/>
      <c r="W6" s="24120"/>
      <c r="X6" s="24120"/>
      <c r="Y6" s="24120"/>
      <c r="Z6" s="24120"/>
      <c r="AA6" s="24120"/>
      <c r="AB6" s="24120"/>
      <c r="AC6" s="24121"/>
      <c r="AD6" s="24119"/>
      <c r="AE6" s="24120"/>
      <c r="AF6" s="24120"/>
      <c r="AG6" s="24120"/>
      <c r="AH6" s="24120"/>
      <c r="AI6" s="24120"/>
      <c r="AJ6" s="24120"/>
      <c r="AK6" s="24120"/>
      <c r="AL6" s="24120"/>
      <c r="AM6" s="24120"/>
      <c r="AN6" s="24120"/>
      <c r="AO6" s="24120"/>
      <c r="AP6" s="24120"/>
      <c r="AQ6" s="24120"/>
      <c r="AR6" s="24120"/>
      <c r="AS6" s="24120"/>
      <c r="AT6" s="24120"/>
      <c r="AU6" s="24120"/>
      <c r="AV6" s="24120"/>
      <c r="AW6" s="24120"/>
      <c r="AX6" s="24120"/>
      <c r="AY6" s="24120"/>
      <c r="AZ6" s="24120"/>
      <c r="BA6" s="24120"/>
      <c r="BB6" s="24121"/>
      <c r="BC6" s="1311"/>
      <c r="BE6" s="436"/>
      <c r="BF6" s="436" t="str">
        <f t="shared" si="0"/>
        <v/>
      </c>
      <c r="BG6" s="436"/>
      <c r="BH6" s="436"/>
      <c r="BI6" s="447">
        <v>0</v>
      </c>
    </row>
    <row r="7" spans="1:61" s="1568" customFormat="1" ht="14.25" hidden="1" customHeight="1">
      <c r="A7" s="1269"/>
      <c r="B7" s="1269"/>
      <c r="C7" s="1269"/>
      <c r="D7" s="1269"/>
      <c r="E7" s="24089"/>
      <c r="F7" s="24089"/>
      <c r="G7" s="24089"/>
      <c r="H7" s="24089"/>
      <c r="I7" s="24091"/>
      <c r="J7" s="24090" t="str">
        <f>S5&amp;".1"</f>
        <v>.1</v>
      </c>
      <c r="K7" s="1269"/>
      <c r="L7" s="1272"/>
      <c r="M7" s="446"/>
      <c r="N7" s="446"/>
      <c r="O7" s="446"/>
      <c r="P7" s="24092"/>
      <c r="Q7" s="24092">
        <v>1</v>
      </c>
      <c r="R7" s="293"/>
      <c r="S7" s="971"/>
      <c r="T7" s="1325"/>
      <c r="U7" s="1310"/>
      <c r="V7" s="24120"/>
      <c r="W7" s="24120"/>
      <c r="X7" s="24120"/>
      <c r="Y7" s="24120"/>
      <c r="Z7" s="24120"/>
      <c r="AA7" s="24120"/>
      <c r="AB7" s="24120"/>
      <c r="AC7" s="24121"/>
      <c r="AD7" s="24119"/>
      <c r="AE7" s="24120"/>
      <c r="AF7" s="24120"/>
      <c r="AG7" s="24120"/>
      <c r="AH7" s="24120"/>
      <c r="AI7" s="24120"/>
      <c r="AJ7" s="24120"/>
      <c r="AK7" s="24120"/>
      <c r="AL7" s="24120"/>
      <c r="AM7" s="24120"/>
      <c r="AN7" s="24120"/>
      <c r="AO7" s="24120"/>
      <c r="AP7" s="24120"/>
      <c r="AQ7" s="24120"/>
      <c r="AR7" s="24120"/>
      <c r="AS7" s="24120"/>
      <c r="AT7" s="24120"/>
      <c r="AU7" s="24120"/>
      <c r="AV7" s="24120"/>
      <c r="AW7" s="24120"/>
      <c r="AX7" s="24120"/>
      <c r="AY7" s="24120"/>
      <c r="AZ7" s="24120"/>
      <c r="BA7" s="24120"/>
      <c r="BB7" s="24121"/>
      <c r="BC7" s="1311"/>
      <c r="BE7" s="436"/>
      <c r="BF7" s="436" t="str">
        <f t="shared" si="0"/>
        <v/>
      </c>
      <c r="BG7" s="436"/>
      <c r="BH7" s="436"/>
      <c r="BI7" s="447">
        <v>0</v>
      </c>
    </row>
    <row r="8" spans="1:61" ht="11.25" hidden="1" customHeight="1">
      <c r="A8" s="1289"/>
      <c r="B8" s="1289"/>
      <c r="C8" s="1289"/>
      <c r="D8" s="1289"/>
      <c r="E8" s="24089"/>
      <c r="F8" s="24089"/>
      <c r="G8" s="24089"/>
      <c r="H8" s="24089"/>
      <c r="I8" s="24091"/>
      <c r="J8" s="24091"/>
      <c r="K8" s="24090" t="e">
        <f>S4&amp;".1"</f>
        <v>#N/A</v>
      </c>
      <c r="L8" s="1290"/>
      <c r="P8" s="24092"/>
      <c r="Q8" s="24092"/>
      <c r="R8" s="24148">
        <v>1</v>
      </c>
      <c r="S8" s="24145" t="e">
        <f>$K8</f>
        <v>#N/A</v>
      </c>
      <c r="T8" s="24165"/>
      <c r="U8" s="236"/>
      <c r="V8" s="687"/>
      <c r="W8" s="1183"/>
      <c r="X8" s="687"/>
      <c r="Y8" s="1183"/>
      <c r="Z8" s="1632"/>
      <c r="AA8" s="1385" t="s">
        <v>59</v>
      </c>
      <c r="AB8" s="1632"/>
      <c r="AC8" s="1385" t="s">
        <v>59</v>
      </c>
      <c r="AD8" s="24018" t="s">
        <v>59</v>
      </c>
      <c r="AE8" s="24141"/>
      <c r="AF8" s="24046">
        <v>1</v>
      </c>
      <c r="AG8" s="24164"/>
      <c r="AH8" s="23957" t="s">
        <v>59</v>
      </c>
      <c r="AI8" s="24141"/>
      <c r="AJ8" s="24046">
        <v>1</v>
      </c>
      <c r="AK8" s="24155" t="s">
        <v>17</v>
      </c>
      <c r="AL8" s="23957" t="s">
        <v>59</v>
      </c>
      <c r="AM8" s="24023"/>
      <c r="AN8" s="24046">
        <v>1</v>
      </c>
      <c r="AO8" s="24168"/>
      <c r="AP8" s="24169" t="s">
        <v>59</v>
      </c>
      <c r="AQ8" s="247"/>
      <c r="AR8" s="1389">
        <v>1</v>
      </c>
      <c r="AS8" s="1392" t="s">
        <v>17</v>
      </c>
      <c r="AT8" s="687"/>
      <c r="AU8" s="1183"/>
      <c r="AV8" s="687"/>
      <c r="AW8" s="1183"/>
      <c r="AX8" s="1632"/>
      <c r="AY8" s="1385" t="s">
        <v>59</v>
      </c>
      <c r="AZ8" s="1632"/>
      <c r="BA8" s="1385" t="s">
        <v>59</v>
      </c>
      <c r="BB8" s="1274"/>
      <c r="BC8" s="24111" t="s">
        <v>727</v>
      </c>
      <c r="BE8" s="436"/>
      <c r="BF8" s="436" t="str">
        <f t="shared" si="0"/>
        <v/>
      </c>
      <c r="BG8" s="436"/>
      <c r="BH8" s="436"/>
      <c r="BI8" s="1081">
        <v>0</v>
      </c>
    </row>
    <row r="9" spans="1:61" ht="11.25" hidden="1" customHeight="1">
      <c r="A9" s="1289"/>
      <c r="B9" s="1289"/>
      <c r="C9" s="1289"/>
      <c r="D9" s="1289"/>
      <c r="E9" s="24089"/>
      <c r="F9" s="24089"/>
      <c r="G9" s="24089"/>
      <c r="H9" s="24089"/>
      <c r="I9" s="24091"/>
      <c r="J9" s="24091"/>
      <c r="K9" s="24090"/>
      <c r="L9" s="1290"/>
      <c r="P9" s="24092"/>
      <c r="Q9" s="24092"/>
      <c r="R9" s="24148"/>
      <c r="S9" s="24146"/>
      <c r="T9" s="24166"/>
      <c r="U9" s="236"/>
      <c r="V9" s="1319"/>
      <c r="W9" s="1422"/>
      <c r="X9" s="1319"/>
      <c r="Y9" s="1422"/>
      <c r="Z9" s="1319"/>
      <c r="AA9" s="1319"/>
      <c r="AB9" s="1319"/>
      <c r="AC9" s="1319"/>
      <c r="AD9" s="24019"/>
      <c r="AE9" s="24141"/>
      <c r="AF9" s="24046"/>
      <c r="AG9" s="24164"/>
      <c r="AH9" s="23957"/>
      <c r="AI9" s="24141"/>
      <c r="AJ9" s="24046"/>
      <c r="AK9" s="24155"/>
      <c r="AL9" s="23957"/>
      <c r="AM9" s="24028"/>
      <c r="AN9" s="24046"/>
      <c r="AO9" s="24168"/>
      <c r="AP9" s="24170"/>
      <c r="AQ9" s="252"/>
      <c r="AR9" s="352"/>
      <c r="AS9" s="352" t="s">
        <v>728</v>
      </c>
      <c r="AT9" s="1319"/>
      <c r="AU9" s="1422"/>
      <c r="AV9" s="1319"/>
      <c r="AW9" s="1422"/>
      <c r="AX9" s="1319"/>
      <c r="AY9" s="1319"/>
      <c r="AZ9" s="1319"/>
      <c r="BA9" s="1319"/>
      <c r="BB9" s="1323"/>
      <c r="BC9" s="24112"/>
      <c r="BE9" s="436"/>
      <c r="BF9" s="436"/>
      <c r="BG9" s="436"/>
      <c r="BH9" s="436"/>
      <c r="BI9" s="1081">
        <v>0</v>
      </c>
    </row>
    <row r="10" spans="1:61" ht="11.25" hidden="1" customHeight="1">
      <c r="A10" s="1289"/>
      <c r="B10" s="1289"/>
      <c r="C10" s="1289"/>
      <c r="D10" s="1289"/>
      <c r="E10" s="24089"/>
      <c r="F10" s="24089"/>
      <c r="G10" s="24089"/>
      <c r="H10" s="24089"/>
      <c r="I10" s="24091"/>
      <c r="J10" s="24091"/>
      <c r="K10" s="24090"/>
      <c r="L10" s="1290"/>
      <c r="P10" s="24092"/>
      <c r="Q10" s="24092"/>
      <c r="R10" s="24148"/>
      <c r="S10" s="24146"/>
      <c r="T10" s="24166"/>
      <c r="U10" s="236"/>
      <c r="V10" s="1319"/>
      <c r="W10" s="1422"/>
      <c r="X10" s="1319"/>
      <c r="Y10" s="1422"/>
      <c r="Z10" s="1319"/>
      <c r="AA10" s="1319"/>
      <c r="AB10" s="1319"/>
      <c r="AC10" s="1319"/>
      <c r="AD10" s="24019"/>
      <c r="AE10" s="24141"/>
      <c r="AF10" s="24046"/>
      <c r="AG10" s="24164"/>
      <c r="AH10" s="23957"/>
      <c r="AI10" s="24141"/>
      <c r="AJ10" s="24046"/>
      <c r="AK10" s="24155"/>
      <c r="AL10" s="23957"/>
      <c r="AM10" s="252"/>
      <c r="AN10" s="1426"/>
      <c r="AO10" s="1426" t="s">
        <v>729</v>
      </c>
      <c r="AP10" s="352"/>
      <c r="AQ10" s="352"/>
      <c r="AR10" s="352"/>
      <c r="AS10" s="1319"/>
      <c r="AT10" s="1319"/>
      <c r="AU10" s="1422"/>
      <c r="AV10" s="1319"/>
      <c r="AW10" s="1422"/>
      <c r="AX10" s="1319"/>
      <c r="AY10" s="1319"/>
      <c r="AZ10" s="1319"/>
      <c r="BA10" s="1319"/>
      <c r="BB10" s="1323"/>
      <c r="BC10" s="24112"/>
      <c r="BE10" s="436"/>
      <c r="BF10" s="436"/>
      <c r="BG10" s="436"/>
      <c r="BH10" s="436"/>
      <c r="BI10" s="1081">
        <v>0</v>
      </c>
    </row>
    <row r="11" spans="1:61" ht="11.25" hidden="1" customHeight="1">
      <c r="A11" s="1289"/>
      <c r="B11" s="1289"/>
      <c r="C11" s="1289"/>
      <c r="D11" s="1289"/>
      <c r="E11" s="24089"/>
      <c r="F11" s="24089"/>
      <c r="G11" s="24089"/>
      <c r="H11" s="24089"/>
      <c r="I11" s="24091"/>
      <c r="J11" s="24091"/>
      <c r="K11" s="24090"/>
      <c r="L11" s="1290"/>
      <c r="P11" s="24092"/>
      <c r="Q11" s="24092"/>
      <c r="R11" s="24148"/>
      <c r="S11" s="24146"/>
      <c r="T11" s="24166"/>
      <c r="U11" s="236"/>
      <c r="V11" s="1319"/>
      <c r="W11" s="1422"/>
      <c r="X11" s="1319"/>
      <c r="Y11" s="1422"/>
      <c r="Z11" s="1319"/>
      <c r="AA11" s="1319"/>
      <c r="AB11" s="1319"/>
      <c r="AC11" s="1319"/>
      <c r="AD11" s="24019"/>
      <c r="AE11" s="24141"/>
      <c r="AF11" s="24046"/>
      <c r="AG11" s="24164"/>
      <c r="AH11" s="23957"/>
      <c r="AI11" s="230"/>
      <c r="AJ11" s="351"/>
      <c r="AK11" s="249" t="s">
        <v>730</v>
      </c>
      <c r="AL11" s="1319"/>
      <c r="AM11" s="1319"/>
      <c r="AN11" s="1319"/>
      <c r="AO11" s="1319"/>
      <c r="AP11" s="1319"/>
      <c r="AQ11" s="1319"/>
      <c r="AR11" s="1319"/>
      <c r="AS11" s="1319"/>
      <c r="AT11" s="1319"/>
      <c r="AU11" s="1422"/>
      <c r="AV11" s="1319"/>
      <c r="AW11" s="1422"/>
      <c r="AX11" s="1319"/>
      <c r="AY11" s="1319"/>
      <c r="AZ11" s="1319"/>
      <c r="BA11" s="1319"/>
      <c r="BB11" s="1323"/>
      <c r="BC11" s="24112"/>
      <c r="BE11" s="436"/>
      <c r="BF11" s="436"/>
      <c r="BG11" s="436"/>
      <c r="BH11" s="436"/>
      <c r="BI11" s="1081">
        <v>0</v>
      </c>
    </row>
    <row r="12" spans="1:61" ht="11.25" hidden="1" customHeight="1">
      <c r="A12" s="1289"/>
      <c r="B12" s="1289"/>
      <c r="C12" s="1289"/>
      <c r="D12" s="1289"/>
      <c r="E12" s="24089"/>
      <c r="F12" s="24089"/>
      <c r="G12" s="24089"/>
      <c r="H12" s="24089"/>
      <c r="I12" s="24091"/>
      <c r="J12" s="24091"/>
      <c r="K12" s="24090"/>
      <c r="L12" s="1290"/>
      <c r="P12" s="24092"/>
      <c r="Q12" s="24092"/>
      <c r="R12" s="24148"/>
      <c r="S12" s="24147"/>
      <c r="T12" s="24167"/>
      <c r="U12" s="236"/>
      <c r="V12" s="1319"/>
      <c r="W12" s="1320" t="str">
        <f>Z8&amp;"-"&amp;AB8</f>
        <v>-</v>
      </c>
      <c r="X12" s="1319"/>
      <c r="Y12" s="1320" t="str">
        <f>AB8&amp;"-"&amp;AD8</f>
        <v>-да</v>
      </c>
      <c r="Z12" s="1319"/>
      <c r="AA12" s="1319"/>
      <c r="AB12" s="1319"/>
      <c r="AC12" s="1319"/>
      <c r="AD12" s="23962"/>
      <c r="AE12" s="248"/>
      <c r="AF12" s="250"/>
      <c r="AG12" s="352" t="s">
        <v>731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112"/>
      <c r="BE12" s="436"/>
      <c r="BF12" s="436" t="str">
        <f t="shared" ref="BF12:BF18" si="1">IF(T12="","",T12)</f>
        <v/>
      </c>
      <c r="BG12" s="436"/>
      <c r="BH12" s="436"/>
      <c r="BI12" s="1081">
        <v>0</v>
      </c>
    </row>
    <row r="13" spans="1:61" ht="11.25" hidden="1" customHeight="1">
      <c r="A13" s="1289"/>
      <c r="B13" s="1289"/>
      <c r="C13" s="1289"/>
      <c r="D13" s="1289"/>
      <c r="E13" s="24089"/>
      <c r="F13" s="24089"/>
      <c r="G13" s="24089"/>
      <c r="H13" s="24089"/>
      <c r="I13" s="24091"/>
      <c r="J13" s="24090"/>
      <c r="K13" s="1289"/>
      <c r="L13" s="1290"/>
      <c r="P13" s="24092"/>
      <c r="Q13" s="24092"/>
      <c r="R13" s="292"/>
      <c r="S13" s="1204"/>
      <c r="T13" s="223" t="s">
        <v>694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113"/>
      <c r="BE13" s="436"/>
      <c r="BF13" s="436" t="str">
        <f t="shared" si="1"/>
        <v>Добавить строку</v>
      </c>
      <c r="BG13" s="436"/>
      <c r="BH13" s="436"/>
      <c r="BI13" s="1081">
        <v>0</v>
      </c>
    </row>
    <row r="14" spans="1:61" s="1568" customFormat="1" ht="14.25" hidden="1" customHeight="1">
      <c r="A14" s="1269"/>
      <c r="B14" s="1269"/>
      <c r="C14" s="1269"/>
      <c r="D14" s="1269"/>
      <c r="E14" s="24089"/>
      <c r="F14" s="24089"/>
      <c r="G14" s="24089"/>
      <c r="H14" s="24089"/>
      <c r="I14" s="24090"/>
      <c r="J14" s="1269"/>
      <c r="K14" s="1269"/>
      <c r="L14" s="1272"/>
      <c r="M14" s="446"/>
      <c r="N14" s="446"/>
      <c r="O14" s="446"/>
      <c r="P14" s="2409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089"/>
      <c r="F15" s="24089"/>
      <c r="G15" s="24089"/>
      <c r="H15" s="240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089"/>
      <c r="F16" s="24089"/>
      <c r="G16" s="2408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089"/>
      <c r="F17" s="24088"/>
      <c r="G17" s="1240"/>
      <c r="H17" s="1240"/>
      <c r="I17" s="1240"/>
      <c r="J17" s="1240"/>
      <c r="K17" s="1240"/>
      <c r="L17" s="1390"/>
      <c r="M17" s="1247"/>
      <c r="N17" s="1247"/>
      <c r="P17" s="1242"/>
      <c r="Q17" s="1243"/>
      <c r="R17" s="1242"/>
      <c r="S17" s="1248"/>
      <c r="T17" s="1251" t="s">
        <v>370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088"/>
      <c r="F18" s="1269"/>
      <c r="G18" s="1269"/>
      <c r="H18" s="1269"/>
      <c r="I18" s="1269"/>
      <c r="J18" s="1269"/>
      <c r="K18" s="1269"/>
      <c r="L18" s="1272"/>
      <c r="M18" s="1247"/>
      <c r="N18" s="1247"/>
      <c r="O18" s="454"/>
      <c r="P18" s="316"/>
      <c r="Q18" s="1270"/>
      <c r="R18" s="316"/>
      <c r="S18" s="1248"/>
      <c r="T18" s="1251" t="s">
        <v>481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6</v>
      </c>
      <c r="AE20" s="1427"/>
      <c r="AF20" s="484">
        <v>1</v>
      </c>
      <c r="AG20" s="1428"/>
      <c r="AH20" s="1250" t="s">
        <v>6</v>
      </c>
      <c r="AI20" s="1427"/>
      <c r="AJ20" s="484">
        <v>1</v>
      </c>
      <c r="AK20" s="1428"/>
      <c r="AL20" s="1250" t="s">
        <v>6</v>
      </c>
      <c r="AM20" s="1429"/>
      <c r="AN20" s="484">
        <v>1</v>
      </c>
      <c r="AO20" s="1430"/>
      <c r="AP20" s="1250" t="s">
        <v>6</v>
      </c>
      <c r="AQ20" s="1429"/>
      <c r="AR20" s="484">
        <v>1</v>
      </c>
      <c r="AS20" s="1430"/>
      <c r="AT20" s="261"/>
      <c r="AU20" s="320"/>
      <c r="AV20" s="261"/>
      <c r="AW20" s="320"/>
      <c r="AX20" s="1634"/>
      <c r="AY20" s="1386" t="s">
        <v>59</v>
      </c>
      <c r="AZ20" s="1634"/>
      <c r="BA20" s="1386" t="s">
        <v>59</v>
      </c>
      <c r="BI20" s="1081">
        <v>0</v>
      </c>
    </row>
    <row r="21" spans="1:61" ht="14.25" hidden="1" customHeight="1">
      <c r="BD21" s="432"/>
      <c r="BE21" s="432"/>
      <c r="BF21" s="432"/>
      <c r="BG21" s="432"/>
      <c r="BH21" s="432"/>
      <c r="BI21" s="1081">
        <v>0</v>
      </c>
    </row>
    <row r="22" spans="1:61" ht="14.25" hidden="1" customHeight="1">
      <c r="O22" s="1293" t="s">
        <v>644</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645</v>
      </c>
      <c r="P24" s="1434"/>
      <c r="Q24" s="1436"/>
      <c r="R24" s="1436"/>
      <c r="AA24" s="1433" t="s">
        <v>647</v>
      </c>
      <c r="AC24" s="1433" t="s">
        <v>648</v>
      </c>
      <c r="AD24" s="1433" t="s">
        <v>695</v>
      </c>
      <c r="AH24" s="1433" t="s">
        <v>695</v>
      </c>
      <c r="AK24" s="1433" t="s">
        <v>732</v>
      </c>
      <c r="AL24" s="1433" t="s">
        <v>695</v>
      </c>
      <c r="AP24" s="1433" t="s">
        <v>695</v>
      </c>
      <c r="AY24" s="1433" t="s">
        <v>647</v>
      </c>
      <c r="BA24" s="1433" t="s">
        <v>648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4069"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4069"/>
      <c r="U28" s="24069"/>
      <c r="V28" s="24069"/>
      <c r="W28" s="24069"/>
      <c r="X28" s="24069"/>
      <c r="Y28" s="24069"/>
      <c r="Z28" s="24069"/>
      <c r="AA28" s="24069"/>
      <c r="AB28" s="24069"/>
      <c r="AC28" s="24069"/>
      <c r="AD28" s="24069"/>
      <c r="AE28" s="24069"/>
      <c r="AF28" s="24069"/>
      <c r="AG28" s="24069"/>
      <c r="AH28" s="24069"/>
      <c r="AI28" s="24069"/>
      <c r="AJ28" s="24069"/>
      <c r="AK28" s="24069"/>
      <c r="AL28" s="24069"/>
      <c r="AM28" s="24069"/>
      <c r="AN28" s="24069"/>
      <c r="AO28" s="24069"/>
      <c r="AP28" s="24069"/>
      <c r="AQ28" s="24069"/>
      <c r="AR28" s="24069"/>
      <c r="AS28" s="24069"/>
      <c r="AT28" s="24069"/>
      <c r="AU28" s="24069"/>
      <c r="AV28" s="24069"/>
      <c r="AW28" s="24069"/>
      <c r="AX28" s="24069"/>
      <c r="AY28" s="24069"/>
      <c r="AZ28" s="24069"/>
      <c r="BA28" s="1169"/>
      <c r="BI28" s="1081">
        <v>14</v>
      </c>
    </row>
    <row r="29" spans="1:61" ht="14.65" customHeight="1">
      <c r="Q29" s="227"/>
      <c r="R29" s="312"/>
      <c r="S29" s="24042" t="str">
        <f>IF(org=0,"Не определено",org)</f>
        <v>ООО "Смоленскрегионтеплоэнерго"</v>
      </c>
      <c r="T29" s="24042"/>
      <c r="U29" s="24042"/>
      <c r="V29" s="24042"/>
      <c r="W29" s="24042"/>
      <c r="X29" s="24042"/>
      <c r="Y29" s="24042"/>
      <c r="Z29" s="24042"/>
      <c r="AA29" s="24042"/>
      <c r="AB29" s="24042"/>
      <c r="AC29" s="24042"/>
      <c r="AD29" s="24042"/>
      <c r="AE29" s="24042"/>
      <c r="AF29" s="24042"/>
      <c r="AG29" s="24042"/>
      <c r="AH29" s="24042"/>
      <c r="AI29" s="24042"/>
      <c r="AJ29" s="24042"/>
      <c r="AK29" s="24042"/>
      <c r="AL29" s="24042"/>
      <c r="AM29" s="24042"/>
      <c r="AN29" s="24042"/>
      <c r="AO29" s="24042"/>
      <c r="AP29" s="24042"/>
      <c r="AQ29" s="24042"/>
      <c r="AR29" s="24042"/>
      <c r="AS29" s="24042"/>
      <c r="AT29" s="24042"/>
      <c r="AU29" s="24042"/>
      <c r="AV29" s="24042"/>
      <c r="AW29" s="24042"/>
      <c r="AX29" s="24042"/>
      <c r="AY29" s="24042"/>
      <c r="AZ29" s="2404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50" customFormat="1" ht="25.5" customHeight="1">
      <c r="A31" s="1294"/>
      <c r="B31" s="1294"/>
      <c r="C31" s="1294"/>
      <c r="D31" s="1294"/>
      <c r="E31" s="1294"/>
      <c r="F31" s="1294"/>
      <c r="G31" s="1294"/>
      <c r="H31" s="1294"/>
      <c r="I31" s="1294"/>
      <c r="J31" s="1294"/>
      <c r="K31" s="1294"/>
      <c r="L31" s="1295"/>
      <c r="M31" s="1294"/>
      <c r="N31" s="1294"/>
      <c r="O31" s="1294"/>
      <c r="P31" s="1294"/>
      <c r="Q31" s="1294"/>
      <c r="S31" s="24079" t="s">
        <v>31</v>
      </c>
      <c r="T31" s="24079"/>
      <c r="U31" s="1298"/>
      <c r="V31"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31" s="24081"/>
      <c r="X31" s="24081"/>
      <c r="Y31" s="24081"/>
      <c r="Z31" s="24081"/>
      <c r="AA31" s="24081"/>
      <c r="AB31" s="24081"/>
      <c r="AC31" s="262"/>
      <c r="AD31"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31" s="24081"/>
      <c r="AF31" s="24081"/>
      <c r="AG31" s="24081"/>
      <c r="AH31" s="24081"/>
      <c r="AI31" s="24081"/>
      <c r="AJ31" s="24081"/>
      <c r="AK31" s="24081"/>
      <c r="AL31" s="24081"/>
      <c r="AM31" s="24081"/>
      <c r="AN31" s="24081"/>
      <c r="AO31" s="24081"/>
      <c r="AP31" s="24081"/>
      <c r="AQ31" s="24081"/>
      <c r="AR31" s="24081"/>
      <c r="AS31" s="24081"/>
      <c r="AT31" s="24081"/>
      <c r="AU31" s="24081"/>
      <c r="AV31" s="24081"/>
      <c r="AW31" s="24081"/>
      <c r="AX31" s="24081"/>
      <c r="AY31" s="24081"/>
      <c r="AZ31" s="24081"/>
      <c r="BA31" s="262"/>
      <c r="BB31" s="262"/>
      <c r="BC31" s="216"/>
      <c r="BD31" s="304"/>
      <c r="BE31" s="304"/>
      <c r="BF31" s="304"/>
      <c r="BG31" s="304"/>
      <c r="BH31" s="304"/>
      <c r="BI31" s="354">
        <v>0</v>
      </c>
    </row>
    <row r="32" spans="1:61" s="1750" customFormat="1" ht="18.75" customHeight="1">
      <c r="A32" s="1294"/>
      <c r="B32" s="1294"/>
      <c r="C32" s="1294"/>
      <c r="D32" s="1294"/>
      <c r="E32" s="1294"/>
      <c r="F32" s="1294"/>
      <c r="G32" s="1294"/>
      <c r="H32" s="1294"/>
      <c r="I32" s="1294"/>
      <c r="J32" s="1294"/>
      <c r="K32" s="1294"/>
      <c r="L32" s="1295"/>
      <c r="M32" s="1294"/>
      <c r="N32" s="1294"/>
      <c r="O32" s="1294"/>
      <c r="P32" s="1294"/>
      <c r="Q32" s="1294"/>
      <c r="S32" s="24079" t="s">
        <v>650</v>
      </c>
      <c r="T32" s="24079"/>
      <c r="U32" s="1298"/>
      <c r="V32" s="24080" t="str">
        <f>IF(TITLE_DATE_PR_CHANGE="",IF(TITLE_DATE_PR="","",TITLE_DATE_PR),TITLE_DATE_PR_CHANGE)</f>
        <v>20.12.2024</v>
      </c>
      <c r="W32" s="24080"/>
      <c r="X32" s="24080"/>
      <c r="Y32" s="24080"/>
      <c r="Z32" s="24080"/>
      <c r="AA32" s="24080"/>
      <c r="AB32" s="24080"/>
      <c r="AC32" s="262"/>
      <c r="AD32" s="24080" t="str">
        <f>IF(TITLE_DATE_PR_CHANGE="",IF(TITLE_DATE_PR="","",TITLE_DATE_PR),TITLE_DATE_PR_CHANGE)</f>
        <v>20.12.2024</v>
      </c>
      <c r="AE32" s="24080"/>
      <c r="AF32" s="24080"/>
      <c r="AG32" s="24080"/>
      <c r="AH32" s="24080"/>
      <c r="AI32" s="24080"/>
      <c r="AJ32" s="24080"/>
      <c r="AK32" s="24080"/>
      <c r="AL32" s="24080"/>
      <c r="AM32" s="24080"/>
      <c r="AN32" s="24080"/>
      <c r="AO32" s="24080"/>
      <c r="AP32" s="24080"/>
      <c r="AQ32" s="24080"/>
      <c r="AR32" s="24080"/>
      <c r="AS32" s="24080"/>
      <c r="AT32" s="24080"/>
      <c r="AU32" s="24080"/>
      <c r="AV32" s="24080"/>
      <c r="AW32" s="24080"/>
      <c r="AX32" s="24080"/>
      <c r="AY32" s="24080"/>
      <c r="AZ32" s="24080"/>
      <c r="BA32" s="262"/>
      <c r="BB32" s="262"/>
      <c r="BC32" s="216"/>
      <c r="BD32" s="304"/>
      <c r="BE32" s="304"/>
      <c r="BF32" s="304"/>
      <c r="BG32" s="304"/>
      <c r="BH32" s="304"/>
      <c r="BI32" s="354">
        <v>0</v>
      </c>
    </row>
    <row r="33" spans="1:61" s="1750" customFormat="1" ht="18.75" customHeight="1">
      <c r="A33" s="1294"/>
      <c r="B33" s="1294"/>
      <c r="C33" s="1294"/>
      <c r="D33" s="1294"/>
      <c r="E33" s="1294"/>
      <c r="F33" s="1294"/>
      <c r="G33" s="1294"/>
      <c r="H33" s="1294"/>
      <c r="I33" s="1294"/>
      <c r="J33" s="1294"/>
      <c r="K33" s="1294"/>
      <c r="L33" s="1295"/>
      <c r="M33" s="1294"/>
      <c r="N33" s="1294"/>
      <c r="O33" s="1294"/>
      <c r="P33" s="1294"/>
      <c r="Q33" s="1294"/>
      <c r="S33" s="24079" t="s">
        <v>651</v>
      </c>
      <c r="T33" s="24079"/>
      <c r="U33" s="1298"/>
      <c r="V33" s="24081" t="str">
        <f>IF(TITLE_NUMBER_PR_CHANGE="",IF(TITLE_NUMBER_PR="","",TITLE_NUMBER_PR),TITLE_NUMBER_PR_CHANGE)</f>
        <v>403, 404</v>
      </c>
      <c r="W33" s="24081"/>
      <c r="X33" s="24081"/>
      <c r="Y33" s="24081"/>
      <c r="Z33" s="24081"/>
      <c r="AA33" s="24081"/>
      <c r="AB33" s="24081"/>
      <c r="AC33" s="262"/>
      <c r="AD33" s="24081" t="str">
        <f>IF(TITLE_NUMBER_PR_CHANGE="",IF(TITLE_NUMBER_PR="","",TITLE_NUMBER_PR),TITLE_NUMBER_PR_CHANGE)</f>
        <v>403, 404</v>
      </c>
      <c r="AE33" s="24081"/>
      <c r="AF33" s="24081"/>
      <c r="AG33" s="24081"/>
      <c r="AH33" s="24081"/>
      <c r="AI33" s="24081"/>
      <c r="AJ33" s="24081"/>
      <c r="AK33" s="24081"/>
      <c r="AL33" s="24081"/>
      <c r="AM33" s="24081"/>
      <c r="AN33" s="24081"/>
      <c r="AO33" s="24081"/>
      <c r="AP33" s="24081"/>
      <c r="AQ33" s="24081"/>
      <c r="AR33" s="24081"/>
      <c r="AS33" s="24081"/>
      <c r="AT33" s="24081"/>
      <c r="AU33" s="24081"/>
      <c r="AV33" s="24081"/>
      <c r="AW33" s="24081"/>
      <c r="AX33" s="24081"/>
      <c r="AY33" s="24081"/>
      <c r="AZ33" s="24081"/>
      <c r="BA33" s="262"/>
      <c r="BB33" s="262"/>
      <c r="BC33" s="216"/>
      <c r="BD33" s="304"/>
      <c r="BE33" s="304"/>
      <c r="BF33" s="304"/>
      <c r="BG33" s="304"/>
      <c r="BH33" s="304"/>
      <c r="BI33" s="354">
        <v>0</v>
      </c>
    </row>
    <row r="34" spans="1:61" s="1750" customFormat="1" ht="18.75" customHeight="1">
      <c r="A34" s="1294"/>
      <c r="B34" s="1294"/>
      <c r="C34" s="1294"/>
      <c r="D34" s="1294"/>
      <c r="E34" s="1294"/>
      <c r="F34" s="1294"/>
      <c r="G34" s="1294"/>
      <c r="H34" s="1294"/>
      <c r="I34" s="1294"/>
      <c r="J34" s="1294"/>
      <c r="K34" s="1294"/>
      <c r="L34" s="1295"/>
      <c r="M34" s="1294"/>
      <c r="N34" s="1294"/>
      <c r="O34" s="1294"/>
      <c r="P34" s="1294"/>
      <c r="Q34" s="1294"/>
      <c r="S34" s="24079" t="s">
        <v>33</v>
      </c>
      <c r="T34" s="24079"/>
      <c r="U34" s="1298"/>
      <c r="V34" s="24081" t="str">
        <f>IF(TITLE_IST_PUB_CHANGE="",IF(TITLE_IST_PUB="","",TITLE_IST_PUB),TITLE_IST_PUB_CHANGE)</f>
        <v>Смоленская газета</v>
      </c>
      <c r="W34" s="24081"/>
      <c r="X34" s="24081"/>
      <c r="Y34" s="24081"/>
      <c r="Z34" s="24081"/>
      <c r="AA34" s="24081"/>
      <c r="AB34" s="24081"/>
      <c r="AC34" s="262"/>
      <c r="AD34" s="24081" t="str">
        <f>IF(TITLE_IST_PUB_CHANGE="",IF(TITLE_IST_PUB="","",TITLE_IST_PUB),TITLE_IST_PUB_CHANGE)</f>
        <v>Смоленская газета</v>
      </c>
      <c r="AE34" s="24081"/>
      <c r="AF34" s="24081"/>
      <c r="AG34" s="24081"/>
      <c r="AH34" s="24081"/>
      <c r="AI34" s="24081"/>
      <c r="AJ34" s="24081"/>
      <c r="AK34" s="24081"/>
      <c r="AL34" s="24081"/>
      <c r="AM34" s="24081"/>
      <c r="AN34" s="24081"/>
      <c r="AO34" s="24081"/>
      <c r="AP34" s="24081"/>
      <c r="AQ34" s="24081"/>
      <c r="AR34" s="24081"/>
      <c r="AS34" s="24081"/>
      <c r="AT34" s="24081"/>
      <c r="AU34" s="24081"/>
      <c r="AV34" s="24081"/>
      <c r="AW34" s="24081"/>
      <c r="AX34" s="24081"/>
      <c r="AY34" s="24081"/>
      <c r="AZ34" s="24081"/>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4079" t="s">
        <v>650</v>
      </c>
      <c r="T36" s="24079"/>
      <c r="U36" s="1298"/>
      <c r="V36" s="24080" t="str">
        <f>IF(TITLE_DATE_PR_CHANGE="",IF(TITLE_DATE_PR="","",TITLE_DATE_PR),TITLE_DATE_PR_CHANGE)</f>
        <v>20.12.2024</v>
      </c>
      <c r="W36" s="24080"/>
      <c r="X36" s="24080"/>
      <c r="Y36" s="24080"/>
      <c r="Z36" s="24080"/>
      <c r="AA36" s="24080"/>
      <c r="AB36" s="24080"/>
      <c r="AC36" s="262"/>
      <c r="AD36" s="24080" t="str">
        <f>IF(TITLE_DATE_PR_CHANGE="",IF(TITLE_DATE_PR="","",TITLE_DATE_PR),TITLE_DATE_PR_CHANGE)</f>
        <v>20.12.2024</v>
      </c>
      <c r="AE36" s="24080"/>
      <c r="AF36" s="24080"/>
      <c r="AG36" s="24080"/>
      <c r="AH36" s="24080"/>
      <c r="AI36" s="24080"/>
      <c r="AJ36" s="24080"/>
      <c r="AK36" s="24080"/>
      <c r="AL36" s="24080"/>
      <c r="AM36" s="24080"/>
      <c r="AN36" s="24080"/>
      <c r="AO36" s="24080"/>
      <c r="AP36" s="24080"/>
      <c r="AQ36" s="24080"/>
      <c r="AR36" s="24080"/>
      <c r="AS36" s="24080"/>
      <c r="AT36" s="24080"/>
      <c r="AU36" s="24080"/>
      <c r="AV36" s="24080"/>
      <c r="AW36" s="24080"/>
      <c r="AX36" s="24080"/>
      <c r="AY36" s="24080"/>
      <c r="AZ36" s="24080"/>
      <c r="BA36" s="262"/>
      <c r="BB36" s="262"/>
      <c r="BC36" s="216"/>
      <c r="BD36" s="304"/>
      <c r="BE36" s="304"/>
      <c r="BF36" s="304"/>
      <c r="BG36" s="304"/>
      <c r="BH36" s="304"/>
      <c r="BI36" s="354">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4079" t="s">
        <v>651</v>
      </c>
      <c r="T37" s="24079"/>
      <c r="U37" s="1298"/>
      <c r="V37" s="24081" t="str">
        <f>IF(TITLE_NUMBER_PR_CHANGE="",IF(TITLE_NUMBER_PR="","",TITLE_NUMBER_PR),TITLE_NUMBER_PR_CHANGE)</f>
        <v>403, 404</v>
      </c>
      <c r="W37" s="24081"/>
      <c r="X37" s="24081"/>
      <c r="Y37" s="24081"/>
      <c r="Z37" s="24081"/>
      <c r="AA37" s="24081"/>
      <c r="AB37" s="24081"/>
      <c r="AC37" s="262"/>
      <c r="AD37" s="24081" t="str">
        <f>IF(TITLE_NUMBER_PR_CHANGE="",IF(TITLE_NUMBER_PR="","",TITLE_NUMBER_PR),TITLE_NUMBER_PR_CHANGE)</f>
        <v>403, 404</v>
      </c>
      <c r="AE37" s="24081"/>
      <c r="AF37" s="24081"/>
      <c r="AG37" s="24081"/>
      <c r="AH37" s="24081"/>
      <c r="AI37" s="24081"/>
      <c r="AJ37" s="24081"/>
      <c r="AK37" s="24081"/>
      <c r="AL37" s="24081"/>
      <c r="AM37" s="24081"/>
      <c r="AN37" s="24081"/>
      <c r="AO37" s="24081"/>
      <c r="AP37" s="24081"/>
      <c r="AQ37" s="24081"/>
      <c r="AR37" s="24081"/>
      <c r="AS37" s="24081"/>
      <c r="AT37" s="24081"/>
      <c r="AU37" s="24081"/>
      <c r="AV37" s="24081"/>
      <c r="AW37" s="24081"/>
      <c r="AX37" s="24081"/>
      <c r="AY37" s="24081"/>
      <c r="AZ37" s="24081"/>
      <c r="BA37" s="262"/>
      <c r="BB37" s="262"/>
      <c r="BC37" s="216"/>
      <c r="BD37" s="304"/>
      <c r="BE37" s="304"/>
      <c r="BF37" s="304"/>
      <c r="BG37" s="304"/>
      <c r="BH37" s="304"/>
      <c r="BI37" s="354">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380"/>
      <c r="V38" s="262"/>
      <c r="W38" s="262"/>
      <c r="X38" s="262"/>
      <c r="Y38" s="262"/>
      <c r="Z38" s="262"/>
      <c r="AA38" s="262"/>
      <c r="AB38" s="262"/>
      <c r="AC38" s="214" t="s">
        <v>654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654</v>
      </c>
      <c r="BD38" s="304"/>
      <c r="BE38" s="304"/>
      <c r="BF38" s="304"/>
      <c r="BG38" s="304"/>
      <c r="BH38" s="304"/>
      <c r="BI38" s="354">
        <v>0</v>
      </c>
    </row>
    <row r="39" spans="1:61" ht="14.65" customHeight="1">
      <c r="Q39" s="227"/>
      <c r="R39" s="312"/>
      <c r="S39" s="1201"/>
      <c r="T39" s="299"/>
      <c r="U39" s="1170"/>
      <c r="V39" s="24100"/>
      <c r="W39" s="24100"/>
      <c r="X39" s="24100"/>
      <c r="Y39" s="24100"/>
      <c r="Z39" s="24100"/>
      <c r="AA39" s="24100"/>
      <c r="AB39" s="24100"/>
      <c r="AC39" s="24100"/>
      <c r="AD39" s="24100"/>
      <c r="AE39" s="24100"/>
      <c r="AF39" s="24100"/>
      <c r="AG39" s="24100"/>
      <c r="AH39" s="24100"/>
      <c r="AI39" s="24100"/>
      <c r="AJ39" s="24100"/>
      <c r="AK39" s="24100"/>
      <c r="AL39" s="24100"/>
      <c r="AM39" s="24100"/>
      <c r="AN39" s="24100"/>
      <c r="AO39" s="24100"/>
      <c r="AP39" s="24100"/>
      <c r="AQ39" s="24100"/>
      <c r="AR39" s="24100"/>
      <c r="AS39" s="24100"/>
      <c r="AT39" s="24100"/>
      <c r="AU39" s="24100"/>
      <c r="AV39" s="24100"/>
      <c r="AW39" s="24100"/>
      <c r="AX39" s="24100"/>
      <c r="AY39" s="24100"/>
      <c r="AZ39" s="24100"/>
      <c r="BA39" s="24100"/>
      <c r="BI39" s="1081">
        <v>14</v>
      </c>
    </row>
    <row r="40" spans="1:61" ht="14.65" customHeight="1">
      <c r="Q40" s="227"/>
      <c r="R40" s="312"/>
      <c r="S40" s="23947" t="s">
        <v>529</v>
      </c>
      <c r="T40" s="23947"/>
      <c r="U40" s="23947"/>
      <c r="V40" s="23947"/>
      <c r="W40" s="23947"/>
      <c r="X40" s="23947"/>
      <c r="Y40" s="23947"/>
      <c r="Z40" s="23947"/>
      <c r="AA40" s="23947"/>
      <c r="AB40" s="23947"/>
      <c r="AC40" s="23947"/>
      <c r="AD40" s="23947"/>
      <c r="AE40" s="23947"/>
      <c r="AF40" s="23947"/>
      <c r="AG40" s="23947"/>
      <c r="AH40" s="23947"/>
      <c r="AI40" s="23947"/>
      <c r="AJ40" s="23947"/>
      <c r="AK40" s="23947"/>
      <c r="AL40" s="23947"/>
      <c r="AM40" s="23947"/>
      <c r="AN40" s="23947"/>
      <c r="AO40" s="23947"/>
      <c r="AP40" s="23947"/>
      <c r="AQ40" s="23947"/>
      <c r="AR40" s="23947"/>
      <c r="AS40" s="23947"/>
      <c r="AT40" s="23947"/>
      <c r="AU40" s="23947"/>
      <c r="AV40" s="23947"/>
      <c r="AW40" s="23947"/>
      <c r="AX40" s="23947"/>
      <c r="AY40" s="23947"/>
      <c r="AZ40" s="23947"/>
      <c r="BA40" s="23947"/>
      <c r="BB40" s="23947"/>
      <c r="BC40" s="23947" t="s">
        <v>530</v>
      </c>
      <c r="BI40" s="1081">
        <v>14</v>
      </c>
    </row>
    <row r="41" spans="1:61" ht="14.65" customHeight="1">
      <c r="Q41" s="227"/>
      <c r="R41" s="312"/>
      <c r="S41" s="24101" t="s">
        <v>79</v>
      </c>
      <c r="T41" s="24050" t="s">
        <v>733</v>
      </c>
      <c r="U41" s="237"/>
      <c r="V41" s="24102" t="s">
        <v>656</v>
      </c>
      <c r="W41" s="24103"/>
      <c r="X41" s="24103"/>
      <c r="Y41" s="24103"/>
      <c r="Z41" s="24103"/>
      <c r="AA41" s="24103"/>
      <c r="AB41" s="24104"/>
      <c r="AC41" s="24105" t="s">
        <v>657</v>
      </c>
      <c r="AD41" s="24134" t="s">
        <v>734</v>
      </c>
      <c r="AE41" s="24118"/>
      <c r="AF41" s="24118"/>
      <c r="AG41" s="24135"/>
      <c r="AH41" s="24134" t="s">
        <v>735</v>
      </c>
      <c r="AI41" s="24118"/>
      <c r="AJ41" s="24118"/>
      <c r="AK41" s="24135"/>
      <c r="AL41" s="24134" t="s">
        <v>736</v>
      </c>
      <c r="AM41" s="24118"/>
      <c r="AN41" s="24118"/>
      <c r="AO41" s="24135"/>
      <c r="AP41" s="24134" t="s">
        <v>737</v>
      </c>
      <c r="AQ41" s="24118"/>
      <c r="AR41" s="24118"/>
      <c r="AS41" s="24135"/>
      <c r="AT41" s="24102" t="s">
        <v>656</v>
      </c>
      <c r="AU41" s="24103"/>
      <c r="AV41" s="24103"/>
      <c r="AW41" s="24103"/>
      <c r="AX41" s="24103"/>
      <c r="AY41" s="24103"/>
      <c r="AZ41" s="24104"/>
      <c r="BA41" s="24105" t="s">
        <v>657</v>
      </c>
      <c r="BB41" s="24108" t="s">
        <v>659</v>
      </c>
      <c r="BC41" s="23947"/>
      <c r="BI41" s="1081">
        <v>14</v>
      </c>
    </row>
    <row r="42" spans="1:61" ht="35.65" customHeight="1">
      <c r="Q42" s="227"/>
      <c r="R42" s="312"/>
      <c r="S42" s="24101"/>
      <c r="T42" s="24050"/>
      <c r="U42" s="960"/>
      <c r="V42" s="24023" t="s">
        <v>738</v>
      </c>
      <c r="W42" s="24024"/>
      <c r="X42" s="24023" t="s">
        <v>739</v>
      </c>
      <c r="Y42" s="24024"/>
      <c r="Z42" s="24023" t="s">
        <v>740</v>
      </c>
      <c r="AA42" s="24130"/>
      <c r="AB42" s="24024"/>
      <c r="AC42" s="24106"/>
      <c r="AD42" s="24136"/>
      <c r="AE42" s="24137"/>
      <c r="AF42" s="24137"/>
      <c r="AG42" s="24149"/>
      <c r="AH42" s="24136"/>
      <c r="AI42" s="24137"/>
      <c r="AJ42" s="24137"/>
      <c r="AK42" s="24149"/>
      <c r="AL42" s="24136"/>
      <c r="AM42" s="24137"/>
      <c r="AN42" s="24137"/>
      <c r="AO42" s="24149"/>
      <c r="AP42" s="24136"/>
      <c r="AQ42" s="24137"/>
      <c r="AR42" s="24137"/>
      <c r="AS42" s="24149"/>
      <c r="AT42" s="24023" t="s">
        <v>738</v>
      </c>
      <c r="AU42" s="24024"/>
      <c r="AV42" s="24023" t="s">
        <v>739</v>
      </c>
      <c r="AW42" s="24024"/>
      <c r="AX42" s="24023" t="s">
        <v>740</v>
      </c>
      <c r="AY42" s="24130"/>
      <c r="AZ42" s="24024"/>
      <c r="BA42" s="24106"/>
      <c r="BB42" s="24109"/>
      <c r="BC42" s="23947"/>
      <c r="BI42" s="1081">
        <v>34</v>
      </c>
    </row>
    <row r="43" spans="1:61" ht="14.65" customHeight="1">
      <c r="Q43" s="227"/>
      <c r="R43" s="312"/>
      <c r="S43" s="24101"/>
      <c r="T43" s="24050"/>
      <c r="U43" s="960"/>
      <c r="V43" s="24028"/>
      <c r="W43" s="24029"/>
      <c r="X43" s="24028"/>
      <c r="Y43" s="24029"/>
      <c r="Z43" s="24028"/>
      <c r="AA43" s="24131"/>
      <c r="AB43" s="24029"/>
      <c r="AC43" s="24106"/>
      <c r="AD43" s="24136"/>
      <c r="AE43" s="24137"/>
      <c r="AF43" s="24137"/>
      <c r="AG43" s="24149"/>
      <c r="AH43" s="24136"/>
      <c r="AI43" s="24137"/>
      <c r="AJ43" s="24137"/>
      <c r="AK43" s="24149"/>
      <c r="AL43" s="24136"/>
      <c r="AM43" s="24137"/>
      <c r="AN43" s="24137"/>
      <c r="AO43" s="24149"/>
      <c r="AP43" s="24136"/>
      <c r="AQ43" s="24137"/>
      <c r="AR43" s="24137"/>
      <c r="AS43" s="24149"/>
      <c r="AT43" s="24028"/>
      <c r="AU43" s="24029"/>
      <c r="AV43" s="24028"/>
      <c r="AW43" s="24029"/>
      <c r="AX43" s="24028"/>
      <c r="AY43" s="24131"/>
      <c r="AZ43" s="24029"/>
      <c r="BA43" s="24106"/>
      <c r="BB43" s="24109"/>
      <c r="BC43" s="23947"/>
      <c r="BI43" s="1081">
        <v>14</v>
      </c>
    </row>
    <row r="44" spans="1:61" ht="14.65" customHeight="1">
      <c r="A44" s="1296"/>
      <c r="B44" s="1296" t="s">
        <v>241</v>
      </c>
      <c r="C44" s="1296" t="s">
        <v>242</v>
      </c>
      <c r="D44" s="1296" t="s">
        <v>243</v>
      </c>
      <c r="E44" s="1290" t="s">
        <v>664</v>
      </c>
      <c r="F44" s="1290" t="s">
        <v>665</v>
      </c>
      <c r="G44" s="1290" t="s">
        <v>666</v>
      </c>
      <c r="H44" s="1290" t="s">
        <v>667</v>
      </c>
      <c r="I44" s="1290" t="s">
        <v>668</v>
      </c>
      <c r="J44" s="1290" t="s">
        <v>669</v>
      </c>
      <c r="K44" s="1290" t="s">
        <v>670</v>
      </c>
      <c r="L44" s="1290" t="s">
        <v>645</v>
      </c>
      <c r="Q44" s="227"/>
      <c r="R44" s="312"/>
      <c r="S44" s="24101"/>
      <c r="T44" s="24050"/>
      <c r="U44" s="238"/>
      <c r="V44" s="1374" t="s">
        <v>704</v>
      </c>
      <c r="W44" s="1374" t="s">
        <v>705</v>
      </c>
      <c r="X44" s="1374" t="s">
        <v>704</v>
      </c>
      <c r="Y44" s="1374" t="s">
        <v>705</v>
      </c>
      <c r="Z44" s="1381" t="s">
        <v>673</v>
      </c>
      <c r="AA44" s="24055" t="s">
        <v>674</v>
      </c>
      <c r="AB44" s="24068"/>
      <c r="AC44" s="24107"/>
      <c r="AD44" s="24138"/>
      <c r="AE44" s="24139"/>
      <c r="AF44" s="24139"/>
      <c r="AG44" s="24140"/>
      <c r="AH44" s="24138"/>
      <c r="AI44" s="24139"/>
      <c r="AJ44" s="24139"/>
      <c r="AK44" s="24140"/>
      <c r="AL44" s="24138"/>
      <c r="AM44" s="24139"/>
      <c r="AN44" s="24139"/>
      <c r="AO44" s="24140"/>
      <c r="AP44" s="24138"/>
      <c r="AQ44" s="24139"/>
      <c r="AR44" s="24139"/>
      <c r="AS44" s="24140"/>
      <c r="AT44" s="1374" t="s">
        <v>704</v>
      </c>
      <c r="AU44" s="1374" t="s">
        <v>705</v>
      </c>
      <c r="AV44" s="1374" t="s">
        <v>704</v>
      </c>
      <c r="AW44" s="1374" t="s">
        <v>705</v>
      </c>
      <c r="AX44" s="1381" t="s">
        <v>673</v>
      </c>
      <c r="AY44" s="24055" t="s">
        <v>674</v>
      </c>
      <c r="AZ44" s="24068"/>
      <c r="BA44" s="24107"/>
      <c r="BB44" s="24110"/>
      <c r="BC44" s="2394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218</v>
      </c>
      <c r="T45" s="1181" t="s">
        <v>95</v>
      </c>
      <c r="U45" s="1171" t="str">
        <f ca="1">OFFSET(U45,0,-1)</f>
        <v>2</v>
      </c>
      <c r="V45" s="1377">
        <f t="shared" ref="V45:AA45" ca="1" si="2">OFFSET(V45,0,-1)+1</f>
        <v>3</v>
      </c>
      <c r="W45" s="1377">
        <f t="shared" ca="1" si="2"/>
        <v>4</v>
      </c>
      <c r="X45" s="1377">
        <f t="shared" ca="1" si="2"/>
        <v>5</v>
      </c>
      <c r="Y45" s="1377">
        <f t="shared" ca="1" si="2"/>
        <v>6</v>
      </c>
      <c r="Z45" s="1377">
        <f t="shared" ca="1" si="2"/>
        <v>7</v>
      </c>
      <c r="AA45" s="24099">
        <f t="shared" ca="1" si="2"/>
        <v>8</v>
      </c>
      <c r="AB45" s="2409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4099">
        <f ca="1">OFFSET(AY45,0,-1)+1</f>
        <v>3</v>
      </c>
      <c r="AZ45" s="24099"/>
      <c r="BA45" s="1377">
        <f ca="1">OFFSET(BA45,0,-2)+1</f>
        <v>4</v>
      </c>
      <c r="BB45" s="1171">
        <f ca="1">OFFSET(BB45,0,-1)</f>
        <v>4</v>
      </c>
      <c r="BC45" s="1377">
        <f ca="1">OFFSET(BC45,0,-1)+1</f>
        <v>5</v>
      </c>
      <c r="BD45" s="447"/>
      <c r="BE45" s="447"/>
      <c r="BF45" s="447"/>
      <c r="BG45" s="447"/>
      <c r="BH45" s="447"/>
      <c r="BI45" s="432">
        <v>0</v>
      </c>
    </row>
    <row r="46" spans="1:61" ht="21.95" customHeight="1">
      <c r="A46" s="1289" t="s">
        <v>344</v>
      </c>
      <c r="B46" s="1289"/>
      <c r="C46" s="1289"/>
      <c r="D46" s="1289"/>
      <c r="E46" s="24088">
        <v>1</v>
      </c>
      <c r="F46" s="1289"/>
      <c r="G46" s="1289"/>
      <c r="H46" s="1289"/>
      <c r="I46" s="1289"/>
      <c r="J46" s="1289"/>
      <c r="K46" s="1289"/>
      <c r="L46" s="1290"/>
      <c r="M46" s="1291"/>
      <c r="N46" s="1291"/>
      <c r="O46" s="1291"/>
      <c r="P46" s="1335"/>
      <c r="Q46" s="803"/>
      <c r="R46" s="291"/>
      <c r="S46" s="1383">
        <f>INDEX(PT_DIFFERENTIATION_NUM_NTAR,MATCH(A46,PT_DIFFERENTIATION_NTAR_ID,0))</f>
        <v>0</v>
      </c>
      <c r="T46" s="234" t="s">
        <v>229</v>
      </c>
      <c r="U46" s="236"/>
      <c r="V46" s="24083"/>
      <c r="W46" s="24083"/>
      <c r="X46" s="24083"/>
      <c r="Y46" s="24083"/>
      <c r="Z46" s="24083"/>
      <c r="AA46" s="24083"/>
      <c r="AB46" s="24083"/>
      <c r="AC46" s="24084"/>
      <c r="AD46" s="24082" t="str">
        <f>INDEX(PT_DIFFERENTIATION_NTAR,MATCH(A46,PT_DIFFERENTIATION_NTAR_ID,0))</f>
        <v/>
      </c>
      <c r="AE46" s="24083"/>
      <c r="AF46" s="24083"/>
      <c r="AG46" s="24083"/>
      <c r="AH46" s="24083"/>
      <c r="AI46" s="24083"/>
      <c r="AJ46" s="24083"/>
      <c r="AK46" s="24083"/>
      <c r="AL46" s="24083"/>
      <c r="AM46" s="24083"/>
      <c r="AN46" s="24083"/>
      <c r="AO46" s="24083"/>
      <c r="AP46" s="24083"/>
      <c r="AQ46" s="24083"/>
      <c r="AR46" s="24083"/>
      <c r="AS46" s="24083"/>
      <c r="AT46" s="24083"/>
      <c r="AU46" s="24083"/>
      <c r="AV46" s="24083"/>
      <c r="AW46" s="24083"/>
      <c r="AX46" s="24083"/>
      <c r="AY46" s="24083"/>
      <c r="AZ46" s="24083"/>
      <c r="BA46" s="24083"/>
      <c r="BB46" s="2408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344</v>
      </c>
      <c r="B47" s="1289" t="s">
        <v>345</v>
      </c>
      <c r="C47" s="1289"/>
      <c r="D47" s="1289"/>
      <c r="E47" s="24089"/>
      <c r="F47" s="24088">
        <v>1</v>
      </c>
      <c r="G47" s="1289"/>
      <c r="H47" s="1289"/>
      <c r="I47" s="1289"/>
      <c r="J47" s="1289"/>
      <c r="K47" s="1289"/>
      <c r="L47" s="1290"/>
      <c r="M47" s="1291"/>
      <c r="N47" s="1291"/>
      <c r="O47" s="1291"/>
      <c r="P47" s="1336"/>
      <c r="Q47" s="1337"/>
      <c r="R47" s="289"/>
      <c r="S47" s="1383" t="str">
        <f>INDEX(PT_DIFFERENTIATION_NUM_TER,MATCH(B47,PT_DIFFERENTIATION_TER_ID,0))</f>
        <v>.</v>
      </c>
      <c r="T47" s="244" t="s">
        <v>626</v>
      </c>
      <c r="U47" s="236"/>
      <c r="V47" s="24083"/>
      <c r="W47" s="24083"/>
      <c r="X47" s="24083"/>
      <c r="Y47" s="24083"/>
      <c r="Z47" s="24083"/>
      <c r="AA47" s="24083"/>
      <c r="AB47" s="24083"/>
      <c r="AC47" s="24084"/>
      <c r="AD47" s="24082" t="str">
        <f>INDEX(PT_DIFFERENTIATION_TER,MATCH(B47,PT_DIFFERENTIATION_TER_ID,0))</f>
        <v/>
      </c>
      <c r="AE47" s="24083"/>
      <c r="AF47" s="24083"/>
      <c r="AG47" s="24083"/>
      <c r="AH47" s="24083"/>
      <c r="AI47" s="24083"/>
      <c r="AJ47" s="24083"/>
      <c r="AK47" s="24083"/>
      <c r="AL47" s="24083"/>
      <c r="AM47" s="24083"/>
      <c r="AN47" s="24083"/>
      <c r="AO47" s="24083"/>
      <c r="AP47" s="24083"/>
      <c r="AQ47" s="24083"/>
      <c r="AR47" s="24083"/>
      <c r="AS47" s="24083"/>
      <c r="AT47" s="24083"/>
      <c r="AU47" s="24083"/>
      <c r="AV47" s="24083"/>
      <c r="AW47" s="24083"/>
      <c r="AX47" s="24083"/>
      <c r="AY47" s="24083"/>
      <c r="AZ47" s="24083"/>
      <c r="BA47" s="24083"/>
      <c r="BB47" s="24084"/>
      <c r="BC47" s="1184" t="s">
        <v>627</v>
      </c>
      <c r="BE47" s="436"/>
      <c r="BF47" s="436" t="str">
        <f t="shared" si="3"/>
        <v>Территория действия тарифа</v>
      </c>
      <c r="BG47" s="436"/>
      <c r="BH47" s="436"/>
      <c r="BI47" s="1081">
        <v>21</v>
      </c>
    </row>
    <row r="48" spans="1:61" ht="43.15" customHeight="1">
      <c r="A48" s="1289" t="s">
        <v>344</v>
      </c>
      <c r="B48" s="1289" t="s">
        <v>345</v>
      </c>
      <c r="C48" s="1289" t="s">
        <v>346</v>
      </c>
      <c r="D48" s="1289"/>
      <c r="E48" s="24089"/>
      <c r="F48" s="24089"/>
      <c r="G48" s="24088">
        <v>1</v>
      </c>
      <c r="H48" s="1289"/>
      <c r="I48" s="1289"/>
      <c r="J48" s="1289"/>
      <c r="K48" s="1289"/>
      <c r="L48" s="1290"/>
      <c r="M48" s="1291"/>
      <c r="N48" s="1291"/>
      <c r="O48" s="1291"/>
      <c r="P48" s="1338"/>
      <c r="Q48" s="1337"/>
      <c r="R48" s="289"/>
      <c r="S48" s="1383" t="str">
        <f>INDEX(PT_DIFFERENTIATION_NUM_CS,MATCH(C48,PT_DIFFERENTIATION_CS_ID,0))</f>
        <v>..</v>
      </c>
      <c r="T48" s="245" t="s">
        <v>707</v>
      </c>
      <c r="U48" s="236"/>
      <c r="V48" s="24083"/>
      <c r="W48" s="24083"/>
      <c r="X48" s="24083"/>
      <c r="Y48" s="24083"/>
      <c r="Z48" s="24083"/>
      <c r="AA48" s="24083"/>
      <c r="AB48" s="24083"/>
      <c r="AC48" s="24084"/>
      <c r="AD48" s="24082" t="str">
        <f>INDEX(PT_DIFFERENTIATION_CS,MATCH(C48,PT_DIFFERENTIATION_CS_ID,0))</f>
        <v/>
      </c>
      <c r="AE48" s="24083"/>
      <c r="AF48" s="24083"/>
      <c r="AG48" s="24083"/>
      <c r="AH48" s="24083"/>
      <c r="AI48" s="24083"/>
      <c r="AJ48" s="24083"/>
      <c r="AK48" s="24083"/>
      <c r="AL48" s="24083"/>
      <c r="AM48" s="24083"/>
      <c r="AN48" s="24083"/>
      <c r="AO48" s="24083"/>
      <c r="AP48" s="24083"/>
      <c r="AQ48" s="24083"/>
      <c r="AR48" s="24083"/>
      <c r="AS48" s="24083"/>
      <c r="AT48" s="24083"/>
      <c r="AU48" s="24083"/>
      <c r="AV48" s="24083"/>
      <c r="AW48" s="24083"/>
      <c r="AX48" s="24083"/>
      <c r="AY48" s="24083"/>
      <c r="AZ48" s="24083"/>
      <c r="BA48" s="24083"/>
      <c r="BB48" s="24084"/>
      <c r="BC48" s="1184" t="s">
        <v>708</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344</v>
      </c>
      <c r="B49" s="1269" t="s">
        <v>345</v>
      </c>
      <c r="C49" s="1269" t="s">
        <v>346</v>
      </c>
      <c r="D49" s="1269" t="s">
        <v>741</v>
      </c>
      <c r="E49" s="24089"/>
      <c r="F49" s="24089"/>
      <c r="G49" s="24089"/>
      <c r="H49" s="24088">
        <v>1</v>
      </c>
      <c r="I49" s="1269"/>
      <c r="J49" s="1269"/>
      <c r="K49" s="1269"/>
      <c r="L49" s="1272"/>
      <c r="M49" s="1241"/>
      <c r="N49" s="1241"/>
      <c r="O49" s="1241"/>
      <c r="P49" s="1423"/>
      <c r="Q49" s="1424"/>
      <c r="R49" s="293"/>
      <c r="S49" s="971"/>
      <c r="T49" s="1425"/>
      <c r="U49" s="1310"/>
      <c r="V49" s="24120"/>
      <c r="W49" s="24120"/>
      <c r="X49" s="24120"/>
      <c r="Y49" s="24120"/>
      <c r="Z49" s="24120"/>
      <c r="AA49" s="24120"/>
      <c r="AB49" s="24120"/>
      <c r="AC49" s="24121"/>
      <c r="AD49" s="24119"/>
      <c r="AE49" s="24120"/>
      <c r="AF49" s="24120"/>
      <c r="AG49" s="24120"/>
      <c r="AH49" s="24120"/>
      <c r="AI49" s="24120"/>
      <c r="AJ49" s="24120"/>
      <c r="AK49" s="24120"/>
      <c r="AL49" s="24120"/>
      <c r="AM49" s="24120"/>
      <c r="AN49" s="24120"/>
      <c r="AO49" s="24120"/>
      <c r="AP49" s="24120"/>
      <c r="AQ49" s="24120"/>
      <c r="AR49" s="24120"/>
      <c r="AS49" s="24120"/>
      <c r="AT49" s="24120"/>
      <c r="AU49" s="24120"/>
      <c r="AV49" s="24120"/>
      <c r="AW49" s="24120"/>
      <c r="AX49" s="24120"/>
      <c r="AY49" s="24120"/>
      <c r="AZ49" s="24120"/>
      <c r="BA49" s="24120"/>
      <c r="BB49" s="24121"/>
      <c r="BC49" s="1311" t="s">
        <v>631</v>
      </c>
      <c r="BE49" s="436"/>
      <c r="BF49" s="436" t="str">
        <f t="shared" si="3"/>
        <v/>
      </c>
      <c r="BG49" s="436"/>
      <c r="BH49" s="436"/>
      <c r="BI49" s="447">
        <v>0</v>
      </c>
    </row>
    <row r="50" spans="1:61" s="1568" customFormat="1" ht="0" hidden="1" customHeight="1">
      <c r="A50" s="1269" t="s">
        <v>344</v>
      </c>
      <c r="B50" s="1269" t="s">
        <v>345</v>
      </c>
      <c r="C50" s="1269" t="s">
        <v>346</v>
      </c>
      <c r="D50" s="1269" t="s">
        <v>741</v>
      </c>
      <c r="E50" s="24089"/>
      <c r="F50" s="24089"/>
      <c r="G50" s="24089"/>
      <c r="H50" s="24089"/>
      <c r="I50" s="24090" t="str">
        <f>S49&amp;".1"</f>
        <v>.1</v>
      </c>
      <c r="J50" s="1269"/>
      <c r="K50" s="1269"/>
      <c r="L50" s="1272" t="s">
        <v>632</v>
      </c>
      <c r="M50" s="446"/>
      <c r="N50" s="446"/>
      <c r="O50" s="446"/>
      <c r="P50" s="24092">
        <v>1</v>
      </c>
      <c r="Q50" s="1388"/>
      <c r="R50" s="292"/>
      <c r="S50" s="971"/>
      <c r="T50" s="1309"/>
      <c r="U50" s="1310"/>
      <c r="V50" s="24120"/>
      <c r="W50" s="24120"/>
      <c r="X50" s="24120"/>
      <c r="Y50" s="24120"/>
      <c r="Z50" s="24120"/>
      <c r="AA50" s="24120"/>
      <c r="AB50" s="24120"/>
      <c r="AC50" s="24121"/>
      <c r="AD50" s="24119"/>
      <c r="AE50" s="24120"/>
      <c r="AF50" s="24120"/>
      <c r="AG50" s="24120"/>
      <c r="AH50" s="24120"/>
      <c r="AI50" s="24120"/>
      <c r="AJ50" s="24120"/>
      <c r="AK50" s="24120"/>
      <c r="AL50" s="24120"/>
      <c r="AM50" s="24120"/>
      <c r="AN50" s="24120"/>
      <c r="AO50" s="24120"/>
      <c r="AP50" s="24120"/>
      <c r="AQ50" s="24120"/>
      <c r="AR50" s="24120"/>
      <c r="AS50" s="24120"/>
      <c r="AT50" s="24120"/>
      <c r="AU50" s="24120"/>
      <c r="AV50" s="24120"/>
      <c r="AW50" s="24120"/>
      <c r="AX50" s="24120"/>
      <c r="AY50" s="24120"/>
      <c r="AZ50" s="24120"/>
      <c r="BA50" s="24120"/>
      <c r="BB50" s="24121"/>
      <c r="BC50" s="1311"/>
      <c r="BE50" s="436"/>
      <c r="BF50" s="436" t="str">
        <f t="shared" si="3"/>
        <v/>
      </c>
      <c r="BG50" s="436"/>
      <c r="BH50" s="436"/>
      <c r="BI50" s="447">
        <v>0</v>
      </c>
    </row>
    <row r="51" spans="1:61" s="1568" customFormat="1" ht="0" hidden="1" customHeight="1">
      <c r="A51" s="1269" t="s">
        <v>344</v>
      </c>
      <c r="B51" s="1269" t="s">
        <v>345</v>
      </c>
      <c r="C51" s="1269" t="s">
        <v>346</v>
      </c>
      <c r="D51" s="1269" t="s">
        <v>741</v>
      </c>
      <c r="E51" s="24089"/>
      <c r="F51" s="24089"/>
      <c r="G51" s="24089"/>
      <c r="H51" s="24089"/>
      <c r="I51" s="24091"/>
      <c r="J51" s="24090" t="str">
        <f>S49&amp;".1"</f>
        <v>.1</v>
      </c>
      <c r="K51" s="1269"/>
      <c r="L51" s="1272"/>
      <c r="M51" s="446"/>
      <c r="N51" s="446"/>
      <c r="O51" s="446"/>
      <c r="P51" s="24092"/>
      <c r="Q51" s="24092">
        <v>1</v>
      </c>
      <c r="R51" s="293"/>
      <c r="S51" s="971"/>
      <c r="T51" s="1325"/>
      <c r="U51" s="1310"/>
      <c r="V51" s="24120"/>
      <c r="W51" s="24120"/>
      <c r="X51" s="24120"/>
      <c r="Y51" s="24120"/>
      <c r="Z51" s="24120"/>
      <c r="AA51" s="24120"/>
      <c r="AB51" s="24120"/>
      <c r="AC51" s="24121"/>
      <c r="AD51" s="24119"/>
      <c r="AE51" s="24120"/>
      <c r="AF51" s="24120"/>
      <c r="AG51" s="24120"/>
      <c r="AH51" s="24120"/>
      <c r="AI51" s="24120"/>
      <c r="AJ51" s="24120"/>
      <c r="AK51" s="24120"/>
      <c r="AL51" s="24120"/>
      <c r="AM51" s="24120"/>
      <c r="AN51" s="24171"/>
      <c r="AO51" s="24171"/>
      <c r="AP51" s="24120"/>
      <c r="AQ51" s="24120"/>
      <c r="AR51" s="24120"/>
      <c r="AS51" s="24120"/>
      <c r="AT51" s="24120"/>
      <c r="AU51" s="24120"/>
      <c r="AV51" s="24120"/>
      <c r="AW51" s="24120"/>
      <c r="AX51" s="24120"/>
      <c r="AY51" s="24120"/>
      <c r="AZ51" s="24120"/>
      <c r="BA51" s="24120"/>
      <c r="BB51" s="24121"/>
      <c r="BC51" s="1311"/>
      <c r="BE51" s="436"/>
      <c r="BF51" s="436" t="str">
        <f t="shared" si="3"/>
        <v/>
      </c>
      <c r="BG51" s="436"/>
      <c r="BH51" s="436"/>
      <c r="BI51" s="447">
        <v>0</v>
      </c>
    </row>
    <row r="52" spans="1:61" ht="11.45" customHeight="1">
      <c r="A52" s="1289" t="s">
        <v>344</v>
      </c>
      <c r="B52" s="1289" t="s">
        <v>345</v>
      </c>
      <c r="C52" s="1289" t="s">
        <v>346</v>
      </c>
      <c r="D52" s="1289" t="s">
        <v>741</v>
      </c>
      <c r="E52" s="24089"/>
      <c r="F52" s="24089"/>
      <c r="G52" s="24089"/>
      <c r="H52" s="24089"/>
      <c r="I52" s="24091"/>
      <c r="J52" s="24091"/>
      <c r="K52" s="24090" t="str">
        <f>S48&amp;".1"</f>
        <v>...1</v>
      </c>
      <c r="L52" s="1290"/>
      <c r="P52" s="24092"/>
      <c r="Q52" s="24092"/>
      <c r="R52" s="293">
        <v>1</v>
      </c>
      <c r="S52" s="24145" t="str">
        <f>$K52</f>
        <v>...1</v>
      </c>
      <c r="T52" s="24165"/>
      <c r="U52" s="236"/>
      <c r="V52" s="687"/>
      <c r="W52" s="1183"/>
      <c r="X52" s="687"/>
      <c r="Y52" s="1183"/>
      <c r="Z52" s="1632"/>
      <c r="AA52" s="1385" t="s">
        <v>59</v>
      </c>
      <c r="AB52" s="1632"/>
      <c r="AC52" s="1385" t="s">
        <v>59</v>
      </c>
      <c r="AD52" s="24018" t="s">
        <v>59</v>
      </c>
      <c r="AE52" s="24141"/>
      <c r="AF52" s="24046">
        <v>1</v>
      </c>
      <c r="AG52" s="24164"/>
      <c r="AH52" s="23957" t="s">
        <v>59</v>
      </c>
      <c r="AI52" s="24141"/>
      <c r="AJ52" s="24046">
        <v>1</v>
      </c>
      <c r="AK52" s="24155" t="s">
        <v>17</v>
      </c>
      <c r="AL52" s="23957" t="s">
        <v>59</v>
      </c>
      <c r="AM52" s="24023"/>
      <c r="AN52" s="24046">
        <v>1</v>
      </c>
      <c r="AO52" s="24168"/>
      <c r="AP52" s="24169" t="s">
        <v>59</v>
      </c>
      <c r="AQ52" s="247"/>
      <c r="AR52" s="1389">
        <v>1</v>
      </c>
      <c r="AS52" s="1392" t="s">
        <v>17</v>
      </c>
      <c r="AT52" s="687"/>
      <c r="AU52" s="1183"/>
      <c r="AV52" s="687"/>
      <c r="AW52" s="1183"/>
      <c r="AX52" s="1632"/>
      <c r="AY52" s="1385" t="s">
        <v>59</v>
      </c>
      <c r="AZ52" s="1632"/>
      <c r="BA52" s="1385" t="s">
        <v>59</v>
      </c>
      <c r="BB52" s="1274"/>
      <c r="BC52" s="24111" t="s">
        <v>727</v>
      </c>
      <c r="BE52" s="436"/>
      <c r="BF52" s="436" t="str">
        <f t="shared" si="3"/>
        <v/>
      </c>
      <c r="BG52" s="436"/>
      <c r="BH52" s="436"/>
      <c r="BI52" s="1081">
        <v>11</v>
      </c>
    </row>
    <row r="53" spans="1:61" ht="11.45" customHeight="1">
      <c r="A53" s="1289"/>
      <c r="B53" s="1289"/>
      <c r="C53" s="1289"/>
      <c r="D53" s="1289"/>
      <c r="E53" s="24089"/>
      <c r="F53" s="24089"/>
      <c r="G53" s="24089"/>
      <c r="H53" s="24089"/>
      <c r="I53" s="24091"/>
      <c r="J53" s="24091"/>
      <c r="K53" s="24090"/>
      <c r="L53" s="1290"/>
      <c r="P53" s="24092"/>
      <c r="Q53" s="24092"/>
      <c r="R53" s="293"/>
      <c r="S53" s="24146"/>
      <c r="T53" s="24166"/>
      <c r="U53" s="236"/>
      <c r="V53" s="1319"/>
      <c r="W53" s="1422"/>
      <c r="X53" s="1319"/>
      <c r="Y53" s="1422"/>
      <c r="Z53" s="1319"/>
      <c r="AA53" s="1319"/>
      <c r="AB53" s="1319"/>
      <c r="AC53" s="1319"/>
      <c r="AD53" s="24019"/>
      <c r="AE53" s="24141"/>
      <c r="AF53" s="24046"/>
      <c r="AG53" s="24164"/>
      <c r="AH53" s="23957"/>
      <c r="AI53" s="24141"/>
      <c r="AJ53" s="24046"/>
      <c r="AK53" s="24155"/>
      <c r="AL53" s="23957"/>
      <c r="AM53" s="24028"/>
      <c r="AN53" s="24046"/>
      <c r="AO53" s="24168"/>
      <c r="AP53" s="24170"/>
      <c r="AQ53" s="252"/>
      <c r="AR53" s="352"/>
      <c r="AS53" s="352" t="s">
        <v>728</v>
      </c>
      <c r="AT53" s="1319"/>
      <c r="AU53" s="1422"/>
      <c r="AV53" s="1319"/>
      <c r="AW53" s="1422"/>
      <c r="AX53" s="1319"/>
      <c r="AY53" s="1319"/>
      <c r="AZ53" s="1319"/>
      <c r="BA53" s="1319"/>
      <c r="BB53" s="1323"/>
      <c r="BC53" s="24112"/>
      <c r="BE53" s="436"/>
      <c r="BF53" s="436"/>
      <c r="BG53" s="436"/>
      <c r="BH53" s="436"/>
      <c r="BI53" s="1081">
        <v>11</v>
      </c>
    </row>
    <row r="54" spans="1:61" ht="11.45" customHeight="1">
      <c r="A54" s="1289" t="s">
        <v>344</v>
      </c>
      <c r="B54" s="1289"/>
      <c r="C54" s="1289"/>
      <c r="D54" s="1289"/>
      <c r="E54" s="24089"/>
      <c r="F54" s="24089"/>
      <c r="G54" s="24089"/>
      <c r="H54" s="24089"/>
      <c r="I54" s="24091"/>
      <c r="J54" s="24091"/>
      <c r="K54" s="24090"/>
      <c r="L54" s="1290"/>
      <c r="P54" s="24092"/>
      <c r="Q54" s="24092"/>
      <c r="R54" s="293"/>
      <c r="S54" s="24146"/>
      <c r="T54" s="24166"/>
      <c r="U54" s="236"/>
      <c r="V54" s="1319"/>
      <c r="W54" s="1422"/>
      <c r="X54" s="1319"/>
      <c r="Y54" s="1422"/>
      <c r="Z54" s="1319"/>
      <c r="AA54" s="1319"/>
      <c r="AB54" s="1319"/>
      <c r="AC54" s="1319"/>
      <c r="AD54" s="24019"/>
      <c r="AE54" s="24141"/>
      <c r="AF54" s="24046"/>
      <c r="AG54" s="24164"/>
      <c r="AH54" s="23957"/>
      <c r="AI54" s="24141"/>
      <c r="AJ54" s="24046"/>
      <c r="AK54" s="24155"/>
      <c r="AL54" s="23957"/>
      <c r="AM54" s="252"/>
      <c r="AN54" s="1426"/>
      <c r="AO54" s="1426" t="s">
        <v>729</v>
      </c>
      <c r="AP54" s="352"/>
      <c r="AQ54" s="352"/>
      <c r="AR54" s="352"/>
      <c r="AS54" s="1319"/>
      <c r="AT54" s="1319"/>
      <c r="AU54" s="1422"/>
      <c r="AV54" s="1319"/>
      <c r="AW54" s="1422"/>
      <c r="AX54" s="1319"/>
      <c r="AY54" s="1319"/>
      <c r="AZ54" s="1319"/>
      <c r="BA54" s="1319"/>
      <c r="BB54" s="1323"/>
      <c r="BC54" s="24112"/>
      <c r="BE54" s="436"/>
      <c r="BF54" s="436"/>
      <c r="BG54" s="436"/>
      <c r="BH54" s="436"/>
      <c r="BI54" s="1081">
        <v>11</v>
      </c>
    </row>
    <row r="55" spans="1:61" ht="11.45" customHeight="1">
      <c r="A55" s="1289" t="s">
        <v>344</v>
      </c>
      <c r="B55" s="1289"/>
      <c r="C55" s="1289"/>
      <c r="D55" s="1289"/>
      <c r="E55" s="24089"/>
      <c r="F55" s="24089"/>
      <c r="G55" s="24089"/>
      <c r="H55" s="24089"/>
      <c r="I55" s="24091"/>
      <c r="J55" s="24091"/>
      <c r="K55" s="24090"/>
      <c r="L55" s="1290"/>
      <c r="P55" s="24092"/>
      <c r="Q55" s="24092"/>
      <c r="R55" s="293"/>
      <c r="S55" s="24146"/>
      <c r="T55" s="24166"/>
      <c r="U55" s="236"/>
      <c r="V55" s="1319"/>
      <c r="W55" s="1422"/>
      <c r="X55" s="1319"/>
      <c r="Y55" s="1422"/>
      <c r="Z55" s="1319"/>
      <c r="AA55" s="1319"/>
      <c r="AB55" s="1319"/>
      <c r="AC55" s="1319"/>
      <c r="AD55" s="24019"/>
      <c r="AE55" s="24141"/>
      <c r="AF55" s="24046"/>
      <c r="AG55" s="24164"/>
      <c r="AH55" s="23957"/>
      <c r="AI55" s="230"/>
      <c r="AJ55" s="351"/>
      <c r="AK55" s="249" t="s">
        <v>730</v>
      </c>
      <c r="AL55" s="1319"/>
      <c r="AM55" s="1319"/>
      <c r="AN55" s="1319"/>
      <c r="AO55" s="1319"/>
      <c r="AP55" s="1319"/>
      <c r="AQ55" s="1319"/>
      <c r="AR55" s="1319"/>
      <c r="AS55" s="1319"/>
      <c r="AT55" s="1319"/>
      <c r="AU55" s="1422"/>
      <c r="AV55" s="1319"/>
      <c r="AW55" s="1422"/>
      <c r="AX55" s="1319"/>
      <c r="AY55" s="1319"/>
      <c r="AZ55" s="1319"/>
      <c r="BA55" s="1319"/>
      <c r="BB55" s="1323"/>
      <c r="BC55" s="24112"/>
      <c r="BE55" s="436"/>
      <c r="BF55" s="436"/>
      <c r="BG55" s="436"/>
      <c r="BH55" s="436"/>
      <c r="BI55" s="1081">
        <v>11</v>
      </c>
    </row>
    <row r="56" spans="1:61" ht="11.45" customHeight="1">
      <c r="A56" s="1289" t="s">
        <v>344</v>
      </c>
      <c r="B56" s="1289" t="s">
        <v>345</v>
      </c>
      <c r="C56" s="1289" t="s">
        <v>346</v>
      </c>
      <c r="D56" s="1289" t="s">
        <v>741</v>
      </c>
      <c r="E56" s="24089"/>
      <c r="F56" s="24089"/>
      <c r="G56" s="24089"/>
      <c r="H56" s="24089"/>
      <c r="I56" s="24091"/>
      <c r="J56" s="24091"/>
      <c r="K56" s="24090"/>
      <c r="L56" s="1290"/>
      <c r="P56" s="24092"/>
      <c r="Q56" s="24092"/>
      <c r="R56" s="293"/>
      <c r="S56" s="24147"/>
      <c r="T56" s="24167"/>
      <c r="U56" s="236"/>
      <c r="V56" s="1319"/>
      <c r="W56" s="1320" t="str">
        <f>Z52&amp;"-"&amp;AB52</f>
        <v>-</v>
      </c>
      <c r="X56" s="1319"/>
      <c r="Y56" s="1320" t="str">
        <f>AB52&amp;"-"&amp;AD52</f>
        <v>-да</v>
      </c>
      <c r="Z56" s="1319"/>
      <c r="AA56" s="1319"/>
      <c r="AB56" s="1319"/>
      <c r="AC56" s="1319"/>
      <c r="AD56" s="23962"/>
      <c r="AE56" s="248"/>
      <c r="AF56" s="250"/>
      <c r="AG56" s="352" t="s">
        <v>731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112"/>
      <c r="BE56" s="436"/>
      <c r="BF56" s="436" t="str">
        <f t="shared" ref="BF56:BF63" si="4">IF(T56="","",T56)</f>
        <v/>
      </c>
      <c r="BG56" s="436"/>
      <c r="BH56" s="436"/>
      <c r="BI56" s="1081">
        <v>11</v>
      </c>
    </row>
    <row r="57" spans="1:61" ht="11.45" customHeight="1">
      <c r="A57" s="1289" t="s">
        <v>344</v>
      </c>
      <c r="B57" s="1289" t="s">
        <v>345</v>
      </c>
      <c r="C57" s="1289" t="s">
        <v>346</v>
      </c>
      <c r="D57" s="1289" t="s">
        <v>741</v>
      </c>
      <c r="E57" s="24089"/>
      <c r="F57" s="24089"/>
      <c r="G57" s="24089"/>
      <c r="H57" s="24089"/>
      <c r="I57" s="24091"/>
      <c r="J57" s="24090"/>
      <c r="K57" s="1289"/>
      <c r="L57" s="1290"/>
      <c r="P57" s="24092"/>
      <c r="Q57" s="24092"/>
      <c r="R57" s="292"/>
      <c r="S57" s="1204"/>
      <c r="T57" s="223" t="s">
        <v>694</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113"/>
      <c r="BE57" s="436"/>
      <c r="BF57" s="436" t="str">
        <f t="shared" si="4"/>
        <v>Добавить строку</v>
      </c>
      <c r="BG57" s="436"/>
      <c r="BH57" s="436"/>
      <c r="BI57" s="1081">
        <v>11</v>
      </c>
    </row>
    <row r="58" spans="1:61" s="1568" customFormat="1" ht="0" hidden="1" customHeight="1">
      <c r="A58" s="1269" t="s">
        <v>344</v>
      </c>
      <c r="B58" s="1269" t="s">
        <v>345</v>
      </c>
      <c r="C58" s="1269" t="s">
        <v>346</v>
      </c>
      <c r="D58" s="1269" t="s">
        <v>741</v>
      </c>
      <c r="E58" s="24089"/>
      <c r="F58" s="24089"/>
      <c r="G58" s="24089"/>
      <c r="H58" s="24089"/>
      <c r="I58" s="24090"/>
      <c r="J58" s="1269"/>
      <c r="K58" s="1269"/>
      <c r="L58" s="1272"/>
      <c r="M58" s="446"/>
      <c r="N58" s="446"/>
      <c r="O58" s="446"/>
      <c r="P58" s="2409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344</v>
      </c>
      <c r="B59" s="1269" t="s">
        <v>345</v>
      </c>
      <c r="C59" s="1269" t="s">
        <v>346</v>
      </c>
      <c r="D59" s="1269" t="s">
        <v>741</v>
      </c>
      <c r="E59" s="24089"/>
      <c r="F59" s="24089"/>
      <c r="G59" s="24089"/>
      <c r="H59" s="240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344</v>
      </c>
      <c r="B60" s="1269" t="s">
        <v>345</v>
      </c>
      <c r="C60" s="1269" t="s">
        <v>346</v>
      </c>
      <c r="D60" s="1240"/>
      <c r="E60" s="24089"/>
      <c r="F60" s="24089"/>
      <c r="G60" s="2408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344</v>
      </c>
      <c r="B61" s="1269" t="s">
        <v>345</v>
      </c>
      <c r="C61" s="1240"/>
      <c r="D61" s="1240"/>
      <c r="E61" s="24089"/>
      <c r="F61" s="24088"/>
      <c r="G61" s="1240"/>
      <c r="H61" s="1240"/>
      <c r="I61" s="1240"/>
      <c r="J61" s="1240"/>
      <c r="K61" s="1240"/>
      <c r="L61" s="1390"/>
      <c r="M61" s="1247"/>
      <c r="N61" s="1247"/>
      <c r="P61" s="1242"/>
      <c r="Q61" s="1243"/>
      <c r="R61" s="1242"/>
      <c r="S61" s="1248"/>
      <c r="T61" s="1251" t="s">
        <v>370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344</v>
      </c>
      <c r="B62" s="1269"/>
      <c r="C62" s="1269"/>
      <c r="D62" s="1269"/>
      <c r="E62" s="24088"/>
      <c r="F62" s="1269"/>
      <c r="G62" s="1269"/>
      <c r="H62" s="1269"/>
      <c r="I62" s="1269"/>
      <c r="J62" s="1269"/>
      <c r="K62" s="1269"/>
      <c r="L62" s="1272"/>
      <c r="M62" s="1247"/>
      <c r="N62" s="1247"/>
      <c r="O62" s="454"/>
      <c r="P62" s="316"/>
      <c r="Q62" s="1270"/>
      <c r="R62" s="316"/>
      <c r="S62" s="1248"/>
      <c r="T62" s="1251" t="s">
        <v>481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N65" s="24087"/>
      <c r="AO65" s="24087"/>
      <c r="AP65" s="24087"/>
      <c r="AQ65" s="24087"/>
      <c r="AR65" s="24087"/>
      <c r="AS65" s="24087"/>
      <c r="AT65" s="24087"/>
      <c r="AU65" s="24087"/>
      <c r="AV65" s="24087"/>
      <c r="AW65" s="24087"/>
      <c r="AX65" s="24087"/>
      <c r="AY65" s="24087"/>
      <c r="AZ65" s="24087"/>
      <c r="BA65" s="24087"/>
      <c r="BB65" s="24087"/>
      <c r="BC65" s="2408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4087"/>
      <c r="U67" s="24087"/>
      <c r="V67" s="24087"/>
      <c r="W67" s="24087"/>
      <c r="X67" s="24087"/>
      <c r="Y67" s="24087"/>
      <c r="Z67" s="24087"/>
      <c r="AA67" s="24087"/>
      <c r="AB67" s="24087"/>
      <c r="AC67" s="24087"/>
      <c r="AD67" s="24087"/>
      <c r="AE67" s="24087"/>
      <c r="AF67" s="24087"/>
      <c r="AG67" s="24087"/>
      <c r="AH67" s="24087"/>
      <c r="AI67" s="24087"/>
      <c r="AJ67" s="24087"/>
      <c r="AK67" s="24087"/>
      <c r="AL67" s="24087"/>
      <c r="AM67" s="24087"/>
      <c r="AN67" s="24087"/>
      <c r="AO67" s="24087"/>
      <c r="AP67" s="24087"/>
      <c r="AQ67" s="24087"/>
      <c r="AR67" s="24087"/>
      <c r="AS67" s="24087"/>
      <c r="AT67" s="24087"/>
      <c r="AU67" s="24087"/>
      <c r="AV67" s="24087"/>
      <c r="AW67" s="24087"/>
      <c r="AX67" s="24087"/>
      <c r="AY67" s="24087"/>
      <c r="AZ67" s="24087"/>
      <c r="BA67" s="24087"/>
      <c r="BB67" s="24087"/>
      <c r="BC67" s="24087"/>
      <c r="BI67" s="1081">
        <v>19</v>
      </c>
    </row>
    <row r="68" spans="1:61" ht="14.65" customHeight="1">
      <c r="O68" s="473"/>
      <c r="BI68" s="1081">
        <v>14</v>
      </c>
    </row>
    <row r="69" spans="1:61" ht="14.25" hidden="1" customHeight="1">
      <c r="A69" s="1086" t="s">
        <v>73</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v>
      </c>
    </row>
    <row r="2" spans="1:43" ht="23.25" hidden="1" customHeight="1">
      <c r="A2" s="1289"/>
      <c r="B2" s="1289"/>
      <c r="C2" s="1289"/>
      <c r="D2" s="1289"/>
      <c r="E2" s="24088">
        <v>1</v>
      </c>
      <c r="F2" s="1289"/>
      <c r="G2" s="1289"/>
      <c r="H2" s="1289"/>
      <c r="I2" s="1289"/>
      <c r="J2" s="1289"/>
      <c r="K2" s="1289"/>
      <c r="L2" s="1290"/>
      <c r="M2" s="1291"/>
      <c r="N2" s="1291"/>
      <c r="O2" s="1291"/>
      <c r="P2" s="297"/>
      <c r="Q2" s="296"/>
      <c r="R2" s="291"/>
      <c r="S2" s="1419" t="e">
        <f>INDEX(PT_DIFFERENTIATION_NUM_NTAR,MATCH(A2,PT_DIFFERENTIATION_NTAR_ID,0))</f>
        <v>#N/A</v>
      </c>
      <c r="T2" s="234" t="s">
        <v>229</v>
      </c>
      <c r="U2" s="236"/>
      <c r="V2" s="24082"/>
      <c r="W2" s="24083"/>
      <c r="X2" s="24083"/>
      <c r="Y2" s="24083"/>
      <c r="Z2" s="24083"/>
      <c r="AA2" s="24083"/>
      <c r="AB2" s="24084"/>
      <c r="AC2" s="24082" t="e">
        <f>INDEX(PT_DIFFERENTIATION_NTAR,MATCH(A2,PT_DIFFERENTIATION_NTAR_ID,0))</f>
        <v>#N/A</v>
      </c>
      <c r="AD2" s="24083"/>
      <c r="AE2" s="24083"/>
      <c r="AF2" s="24083"/>
      <c r="AG2" s="24083"/>
      <c r="AH2" s="24083"/>
      <c r="AI2" s="24083"/>
      <c r="AJ2" s="240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089"/>
      <c r="F3" s="24088">
        <v>1</v>
      </c>
      <c r="G3" s="1289"/>
      <c r="H3" s="1289"/>
      <c r="I3" s="1289"/>
      <c r="J3" s="1289"/>
      <c r="K3" s="1289"/>
      <c r="L3" s="1290"/>
      <c r="M3" s="1291"/>
      <c r="N3" s="1291"/>
      <c r="O3" s="1291"/>
      <c r="P3" s="1413"/>
      <c r="Q3" s="288"/>
      <c r="R3" s="289"/>
      <c r="S3" s="1419" t="e">
        <f>INDEX(PT_DIFFERENTIATION_NUM_TER,MATCH(B3,PT_DIFFERENTIATION_TER_ID,0))</f>
        <v>#N/A</v>
      </c>
      <c r="T3" s="244" t="s">
        <v>626</v>
      </c>
      <c r="U3" s="236"/>
      <c r="V3" s="24082"/>
      <c r="W3" s="24083"/>
      <c r="X3" s="24083"/>
      <c r="Y3" s="24083"/>
      <c r="Z3" s="24083"/>
      <c r="AA3" s="24083"/>
      <c r="AB3" s="24084"/>
      <c r="AC3" s="24082" t="e">
        <f>INDEX(PT_DIFFERENTIATION_TER,MATCH(B3,PT_DIFFERENTIATION_TER_ID,0))</f>
        <v>#N/A</v>
      </c>
      <c r="AD3" s="24083"/>
      <c r="AE3" s="24083"/>
      <c r="AF3" s="24083"/>
      <c r="AG3" s="24083"/>
      <c r="AH3" s="24083"/>
      <c r="AI3" s="24083"/>
      <c r="AJ3" s="24084"/>
      <c r="AK3" s="1184" t="s">
        <v>627</v>
      </c>
      <c r="AM3" s="436"/>
      <c r="AN3" s="436" t="str">
        <f t="shared" si="0"/>
        <v>Территория действия тарифа</v>
      </c>
      <c r="AO3" s="436"/>
      <c r="AP3" s="436"/>
      <c r="AQ3" s="1081">
        <v>0</v>
      </c>
    </row>
    <row r="4" spans="1:43" ht="23.25" hidden="1" customHeight="1">
      <c r="A4" s="1289"/>
      <c r="B4" s="1289"/>
      <c r="C4" s="1289"/>
      <c r="D4" s="1289"/>
      <c r="E4" s="24089"/>
      <c r="F4" s="24089"/>
      <c r="G4" s="24088">
        <v>1</v>
      </c>
      <c r="H4" s="1289"/>
      <c r="I4" s="1289"/>
      <c r="J4" s="1289"/>
      <c r="K4" s="1289"/>
      <c r="L4" s="1290"/>
      <c r="M4" s="1291"/>
      <c r="N4" s="1291"/>
      <c r="O4" s="1291"/>
      <c r="P4" s="290"/>
      <c r="Q4" s="288"/>
      <c r="R4" s="289"/>
      <c r="S4" s="1419" t="e">
        <f>INDEX(PT_DIFFERENTIATION_NUM_CS,MATCH(C4,PT_DIFFERENTIATION_CS_ID,0))</f>
        <v>#N/A</v>
      </c>
      <c r="T4" s="245" t="s">
        <v>742</v>
      </c>
      <c r="U4" s="236"/>
      <c r="V4" s="24082"/>
      <c r="W4" s="24083"/>
      <c r="X4" s="24083"/>
      <c r="Y4" s="24083"/>
      <c r="Z4" s="24083"/>
      <c r="AA4" s="24083"/>
      <c r="AB4" s="24084"/>
      <c r="AC4" s="24082" t="e">
        <f>INDEX(PT_DIFFERENTIATION_CS,MATCH(C4,PT_DIFFERENTIATION_CS_ID,0))</f>
        <v>#N/A</v>
      </c>
      <c r="AD4" s="24083"/>
      <c r="AE4" s="24083"/>
      <c r="AF4" s="24083"/>
      <c r="AG4" s="24083"/>
      <c r="AH4" s="24083"/>
      <c r="AI4" s="24083"/>
      <c r="AJ4" s="24084"/>
      <c r="AK4" s="1184" t="s">
        <v>743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089"/>
      <c r="F5" s="24089"/>
      <c r="G5" s="24089"/>
      <c r="H5" s="24089"/>
      <c r="I5" s="24090" t="e">
        <f>S4&amp;".1"</f>
        <v>#N/A</v>
      </c>
      <c r="J5" s="1289"/>
      <c r="K5" s="1289"/>
      <c r="L5" s="1290"/>
      <c r="P5" s="24092">
        <v>1</v>
      </c>
      <c r="Q5" s="1407"/>
      <c r="R5" s="292"/>
      <c r="S5" s="1419" t="e">
        <f>$I5</f>
        <v>#N/A</v>
      </c>
      <c r="T5" s="221" t="s">
        <v>709</v>
      </c>
      <c r="U5" s="236"/>
      <c r="V5" s="24156"/>
      <c r="W5" s="24157"/>
      <c r="X5" s="24157"/>
      <c r="Y5" s="24157"/>
      <c r="Z5" s="24157"/>
      <c r="AA5" s="24157"/>
      <c r="AB5" s="24158"/>
      <c r="AC5" s="24159"/>
      <c r="AD5" s="24160"/>
      <c r="AE5" s="24160"/>
      <c r="AF5" s="24160"/>
      <c r="AG5" s="24160"/>
      <c r="AH5" s="24160"/>
      <c r="AI5" s="24160"/>
      <c r="AJ5" s="24161"/>
      <c r="AK5" s="1184" t="s">
        <v>710</v>
      </c>
      <c r="AM5" s="436"/>
      <c r="AN5" s="436" t="str">
        <f t="shared" si="0"/>
        <v>Наименование признака дифференциации</v>
      </c>
      <c r="AO5" s="436"/>
      <c r="AP5" s="436"/>
      <c r="AQ5" s="1081">
        <v>0</v>
      </c>
    </row>
    <row r="6" spans="1:43" ht="23.25" hidden="1" customHeight="1">
      <c r="A6" s="1289"/>
      <c r="B6" s="1289"/>
      <c r="C6" s="1289"/>
      <c r="D6" s="1289"/>
      <c r="E6" s="24089"/>
      <c r="F6" s="24089"/>
      <c r="G6" s="24089"/>
      <c r="H6" s="24089"/>
      <c r="I6" s="24091"/>
      <c r="J6" s="24090" t="e">
        <f>I5&amp;".1"</f>
        <v>#N/A</v>
      </c>
      <c r="K6" s="1289"/>
      <c r="L6" s="1290" t="s">
        <v>635</v>
      </c>
      <c r="P6" s="24092"/>
      <c r="Q6" s="24092">
        <v>1</v>
      </c>
      <c r="R6" s="293"/>
      <c r="S6" s="1419" t="e">
        <f>$J6</f>
        <v>#N/A</v>
      </c>
      <c r="T6" s="222" t="s">
        <v>636</v>
      </c>
      <c r="U6" s="236"/>
      <c r="V6" s="24076"/>
      <c r="W6" s="24077"/>
      <c r="X6" s="24077"/>
      <c r="Y6" s="24077"/>
      <c r="Z6" s="24077"/>
      <c r="AA6" s="24077"/>
      <c r="AB6" s="24078"/>
      <c r="AC6" s="24076"/>
      <c r="AD6" s="24077"/>
      <c r="AE6" s="24077"/>
      <c r="AF6" s="24077"/>
      <c r="AG6" s="24077"/>
      <c r="AH6" s="24077"/>
      <c r="AI6" s="24077"/>
      <c r="AJ6" s="24078"/>
      <c r="AK6" s="1233" t="s">
        <v>711</v>
      </c>
      <c r="AM6" s="436"/>
      <c r="AN6" s="436" t="str">
        <f t="shared" si="0"/>
        <v>Группа потребителей</v>
      </c>
      <c r="AO6" s="436"/>
      <c r="AP6" s="436"/>
      <c r="AQ6" s="1081">
        <v>0</v>
      </c>
    </row>
    <row r="7" spans="1:43" ht="23.25" hidden="1" customHeight="1">
      <c r="A7" s="1289"/>
      <c r="B7" s="1289"/>
      <c r="C7" s="1289"/>
      <c r="D7" s="1289"/>
      <c r="E7" s="24089"/>
      <c r="F7" s="24089"/>
      <c r="G7" s="24089"/>
      <c r="H7" s="24089"/>
      <c r="I7" s="24091"/>
      <c r="J7" s="24091"/>
      <c r="K7" s="24090" t="e">
        <f>J6&amp;".1"</f>
        <v>#N/A</v>
      </c>
      <c r="L7" s="1290"/>
      <c r="P7" s="24092"/>
      <c r="Q7" s="24092"/>
      <c r="R7" s="293">
        <v>1</v>
      </c>
      <c r="S7" s="1419" t="e">
        <f>$K7</f>
        <v>#N/A</v>
      </c>
      <c r="T7" s="1363"/>
      <c r="U7" s="236"/>
      <c r="V7" s="687"/>
      <c r="W7" s="687"/>
      <c r="X7" s="1183"/>
      <c r="Y7" s="24093"/>
      <c r="Z7" s="23957" t="s">
        <v>59</v>
      </c>
      <c r="AA7" s="24093"/>
      <c r="AB7" s="23957" t="s">
        <v>59</v>
      </c>
      <c r="AC7" s="687"/>
      <c r="AD7" s="687"/>
      <c r="AE7" s="1183"/>
      <c r="AF7" s="24093"/>
      <c r="AG7" s="23957" t="s">
        <v>59</v>
      </c>
      <c r="AH7" s="24095"/>
      <c r="AI7" s="23957" t="s">
        <v>59</v>
      </c>
      <c r="AJ7" s="1364"/>
      <c r="AK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089"/>
      <c r="F8" s="24089"/>
      <c r="G8" s="24089"/>
      <c r="H8" s="24089"/>
      <c r="I8" s="24091"/>
      <c r="J8" s="24091"/>
      <c r="K8" s="24090"/>
      <c r="L8" s="1290"/>
      <c r="P8" s="24092"/>
      <c r="Q8" s="24092"/>
      <c r="R8" s="293"/>
      <c r="S8" s="1416"/>
      <c r="T8" s="236"/>
      <c r="U8" s="236"/>
      <c r="V8" s="261"/>
      <c r="W8" s="261"/>
      <c r="X8" s="264" t="str">
        <f>Y7&amp;"-"&amp;AA7</f>
        <v>-</v>
      </c>
      <c r="Y8" s="24094"/>
      <c r="Z8" s="23957"/>
      <c r="AA8" s="24094"/>
      <c r="AB8" s="23957"/>
      <c r="AC8" s="261"/>
      <c r="AD8" s="261"/>
      <c r="AE8" s="264" t="str">
        <f>AF7&amp;"-"&amp;AH7</f>
        <v>-</v>
      </c>
      <c r="AF8" s="24094"/>
      <c r="AG8" s="23957"/>
      <c r="AH8" s="24096"/>
      <c r="AI8" s="23957"/>
      <c r="AJ8" s="1365"/>
      <c r="AK8" s="24162"/>
      <c r="AM8" s="436"/>
      <c r="AN8" s="436" t="str">
        <f t="shared" si="0"/>
        <v/>
      </c>
      <c r="AO8" s="436"/>
      <c r="AP8" s="436"/>
      <c r="AQ8" s="1081">
        <v>0</v>
      </c>
    </row>
    <row r="9" spans="1:43" ht="21" hidden="1" customHeight="1">
      <c r="A9" s="1289"/>
      <c r="B9" s="1289"/>
      <c r="C9" s="1289"/>
      <c r="D9" s="1289"/>
      <c r="E9" s="24089"/>
      <c r="F9" s="24089"/>
      <c r="G9" s="24089"/>
      <c r="H9" s="24089"/>
      <c r="I9" s="24091"/>
      <c r="J9" s="24090"/>
      <c r="K9" s="1289"/>
      <c r="L9" s="1290"/>
      <c r="P9" s="24092"/>
      <c r="Q9" s="24092"/>
      <c r="R9" s="292"/>
      <c r="S9" s="1204"/>
      <c r="T9" s="223" t="s">
        <v>712</v>
      </c>
      <c r="U9" s="303"/>
      <c r="V9" s="303"/>
      <c r="W9" s="303"/>
      <c r="X9" s="303"/>
      <c r="Y9" s="303"/>
      <c r="Z9" s="303"/>
      <c r="AA9" s="303"/>
      <c r="AB9" s="303"/>
      <c r="AC9" s="303"/>
      <c r="AD9" s="303"/>
      <c r="AE9" s="303"/>
      <c r="AF9" s="303"/>
      <c r="AG9" s="303"/>
      <c r="AH9" s="303"/>
      <c r="AI9" s="303"/>
      <c r="AJ9" s="303"/>
      <c r="AK9" s="1184" t="s">
        <v>713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089"/>
      <c r="F10" s="24089"/>
      <c r="G10" s="24089"/>
      <c r="H10" s="24089"/>
      <c r="I10" s="24090"/>
      <c r="J10" s="1289"/>
      <c r="K10" s="1289"/>
      <c r="L10" s="1290"/>
      <c r="P10" s="24092"/>
      <c r="Q10" s="1407"/>
      <c r="R10" s="292"/>
      <c r="S10" s="1204"/>
      <c r="T10" s="301" t="s">
        <v>641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089"/>
      <c r="F12" s="24088"/>
      <c r="G12" s="1240"/>
      <c r="H12" s="1240"/>
      <c r="I12" s="1240"/>
      <c r="J12" s="1240"/>
      <c r="K12" s="1240"/>
      <c r="L12" s="1420"/>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4086"/>
      <c r="AG15" s="24085" t="s">
        <v>59</v>
      </c>
      <c r="AH15" s="24086"/>
      <c r="AI15" s="24085" t="s">
        <v>59</v>
      </c>
      <c r="AQ15" s="1081">
        <v>0</v>
      </c>
    </row>
    <row r="16" spans="1:43" ht="14.25" hidden="1" customHeight="1">
      <c r="AC16" s="1286"/>
      <c r="AD16" s="1286"/>
      <c r="AE16" s="264" t="str">
        <f>AF15&amp;"-"&amp;AH15</f>
        <v>-</v>
      </c>
      <c r="AF16" s="24085"/>
      <c r="AG16" s="24085"/>
      <c r="AH16" s="24085"/>
      <c r="AI16" s="24085"/>
      <c r="AQ16" s="1081">
        <v>0</v>
      </c>
    </row>
    <row r="17" spans="1:43" ht="14.25" hidden="1" customHeight="1">
      <c r="AI17" s="263"/>
      <c r="AQ17" s="1081">
        <v>0</v>
      </c>
    </row>
    <row r="18" spans="1:43" s="1292" customFormat="1" ht="22.5" hidden="1" customHeight="1">
      <c r="L18" s="1404"/>
      <c r="M18" s="1288"/>
      <c r="N18" s="1288"/>
      <c r="O18" s="1293" t="s">
        <v>644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645</v>
      </c>
      <c r="P20" s="1288"/>
      <c r="Q20" s="1368"/>
      <c r="R20" s="1368"/>
      <c r="S20" s="665"/>
      <c r="T20" s="1086" t="s">
        <v>646</v>
      </c>
      <c r="Z20" s="123" t="s">
        <v>647</v>
      </c>
      <c r="AB20" s="123" t="s">
        <v>648</v>
      </c>
      <c r="AC20" s="1086" t="s">
        <v>646</v>
      </c>
      <c r="AG20" s="123" t="s">
        <v>649</v>
      </c>
      <c r="AI20" s="123" t="s">
        <v>648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6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1169"/>
      <c r="AQ24" s="1081">
        <v>14</v>
      </c>
    </row>
    <row r="25" spans="1:4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62"/>
      <c r="AC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D27" s="24081"/>
      <c r="AE27" s="24081"/>
      <c r="AF27" s="24081"/>
      <c r="AG27" s="24081"/>
      <c r="AH27" s="24081"/>
      <c r="AI27" s="262"/>
      <c r="AJ27" s="262"/>
      <c r="AK27" s="216"/>
      <c r="AL27" s="304"/>
      <c r="AM27" s="304"/>
      <c r="AN27" s="304"/>
      <c r="AO27" s="304"/>
      <c r="AP27" s="304"/>
      <c r="AQ27" s="354">
        <v>0</v>
      </c>
    </row>
    <row r="28" spans="1:4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62"/>
      <c r="AC28" s="24080" t="str">
        <f>IF(TITLE_DATE_PR_CHANGE="",IF(TITLE_DATE_PR="","",TITLE_DATE_PR),TITLE_DATE_PR_CHANGE)</f>
        <v>20.12.2024</v>
      </c>
      <c r="AD28" s="24080"/>
      <c r="AE28" s="24080"/>
      <c r="AF28" s="24080"/>
      <c r="AG28" s="24080"/>
      <c r="AH28" s="24080"/>
      <c r="AI28" s="262"/>
      <c r="AJ28" s="262"/>
      <c r="AK28" s="216"/>
      <c r="AL28" s="304"/>
      <c r="AM28" s="304"/>
      <c r="AN28" s="304"/>
      <c r="AO28" s="304"/>
      <c r="AP28" s="304"/>
      <c r="AQ28" s="354">
        <v>0</v>
      </c>
    </row>
    <row r="29" spans="1:4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62"/>
      <c r="AC29" s="24081" t="str">
        <f>IF(TITLE_NUMBER_PR_CHANGE="",IF(TITLE_NUMBER_PR="","",TITLE_NUMBER_PR),TITLE_NUMBER_PR_CHANGE)</f>
        <v>403, 404</v>
      </c>
      <c r="AD29" s="24081"/>
      <c r="AE29" s="24081"/>
      <c r="AF29" s="24081"/>
      <c r="AG29" s="24081"/>
      <c r="AH29" s="24081"/>
      <c r="AI29" s="262"/>
      <c r="AJ29" s="262"/>
      <c r="AK29" s="216"/>
      <c r="AL29" s="304"/>
      <c r="AM29" s="304"/>
      <c r="AN29" s="304"/>
      <c r="AO29" s="304"/>
      <c r="AP29" s="304"/>
      <c r="AQ29" s="354">
        <v>0</v>
      </c>
    </row>
    <row r="30" spans="1:4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62"/>
      <c r="AC30" s="24081" t="str">
        <f>IF(TITLE_IST_PUB_CHANGE="",IF(TITLE_IST_PUB="","",TITLE_IST_PUB),TITLE_IST_PUB_CHANGE)</f>
        <v>Смоленская газета</v>
      </c>
      <c r="AD30" s="24081"/>
      <c r="AE30" s="24081"/>
      <c r="AF30" s="24081"/>
      <c r="AG30" s="24081"/>
      <c r="AH30" s="2408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62"/>
      <c r="AC32" s="24080" t="str">
        <f>IF(TITLE_DATE_PR_CHANGE="",IF(TITLE_DATE_PR="","",TITLE_DATE_PR),TITLE_DATE_PR_CHANGE)</f>
        <v>20.12.2024</v>
      </c>
      <c r="AD32" s="24080"/>
      <c r="AE32" s="24080"/>
      <c r="AF32" s="24080"/>
      <c r="AG32" s="24080"/>
      <c r="AH32" s="24080"/>
      <c r="AI32" s="262"/>
      <c r="AJ32" s="262"/>
      <c r="AK32" s="216"/>
      <c r="AL32" s="304"/>
      <c r="AM32" s="304"/>
      <c r="AN32" s="304"/>
      <c r="AO32" s="304"/>
      <c r="AP32" s="304"/>
      <c r="AQ32" s="354">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62"/>
      <c r="AC33" s="24081" t="str">
        <f>IF(TITLE_NUMBER_PR_CHANGE="",IF(TITLE_NUMBER_PR="","",TITLE_NUMBER_PR),TITLE_NUMBER_PR_CHANGE)</f>
        <v>403, 404</v>
      </c>
      <c r="AD33" s="24081"/>
      <c r="AE33" s="24081"/>
      <c r="AF33" s="24081"/>
      <c r="AG33" s="24081"/>
      <c r="AH33" s="24081"/>
      <c r="AI33" s="262"/>
      <c r="AJ33" s="262"/>
      <c r="AK33" s="216"/>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654</v>
      </c>
      <c r="AC34" s="262"/>
      <c r="AD34" s="262"/>
      <c r="AE34" s="262"/>
      <c r="AF34" s="262"/>
      <c r="AG34" s="262"/>
      <c r="AH34" s="262"/>
      <c r="AI34" s="214" t="s">
        <v>654</v>
      </c>
      <c r="AL34" s="304"/>
      <c r="AM34" s="304"/>
      <c r="AN34" s="304"/>
      <c r="AO34" s="304"/>
      <c r="AP34" s="304"/>
      <c r="AQ34" s="354">
        <v>1</v>
      </c>
    </row>
    <row r="35" spans="1:4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Q35" s="1081">
        <v>14</v>
      </c>
    </row>
    <row r="36" spans="1:43"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t="s">
        <v>530</v>
      </c>
      <c r="AQ36" s="1081">
        <v>14</v>
      </c>
    </row>
    <row r="37" spans="1:43" ht="14.65" customHeight="1">
      <c r="Q37" s="312"/>
      <c r="R37" s="312"/>
      <c r="S37" s="24101" t="s">
        <v>79</v>
      </c>
      <c r="T37" s="24050" t="s">
        <v>655</v>
      </c>
      <c r="U37" s="237"/>
      <c r="V37" s="24102" t="s">
        <v>656</v>
      </c>
      <c r="W37" s="24103"/>
      <c r="X37" s="24103"/>
      <c r="Y37" s="24103"/>
      <c r="Z37" s="24103"/>
      <c r="AA37" s="24104"/>
      <c r="AB37" s="24105" t="s">
        <v>657</v>
      </c>
      <c r="AC37" s="24102" t="s">
        <v>656</v>
      </c>
      <c r="AD37" s="24103"/>
      <c r="AE37" s="24103"/>
      <c r="AF37" s="24103"/>
      <c r="AG37" s="24103"/>
      <c r="AH37" s="24104"/>
      <c r="AI37" s="24105" t="s">
        <v>658</v>
      </c>
      <c r="AJ37" s="24108" t="s">
        <v>659</v>
      </c>
      <c r="AK37" s="23947"/>
      <c r="AQ37" s="1081">
        <v>14</v>
      </c>
    </row>
    <row r="38" spans="1:43" ht="35.65" customHeight="1">
      <c r="Q38" s="312"/>
      <c r="R38" s="312"/>
      <c r="S38" s="24101"/>
      <c r="T38" s="24050"/>
      <c r="U38" s="960"/>
      <c r="V38" s="1409" t="s">
        <v>715</v>
      </c>
      <c r="W38" s="23928" t="s">
        <v>662</v>
      </c>
      <c r="X38" s="23927"/>
      <c r="Y38" s="23928" t="s">
        <v>663</v>
      </c>
      <c r="Z38" s="23933"/>
      <c r="AA38" s="23927"/>
      <c r="AB38" s="24106"/>
      <c r="AC38" s="1409" t="s">
        <v>715</v>
      </c>
      <c r="AD38" s="23928" t="s">
        <v>662</v>
      </c>
      <c r="AE38" s="23927"/>
      <c r="AF38" s="23928" t="s">
        <v>663</v>
      </c>
      <c r="AG38" s="23933"/>
      <c r="AH38" s="23927"/>
      <c r="AI38" s="24106"/>
      <c r="AJ38" s="24109"/>
      <c r="AK38" s="23947"/>
      <c r="AQ38" s="1081">
        <v>34</v>
      </c>
    </row>
    <row r="39" spans="1:43" ht="90.4" customHeight="1">
      <c r="A39" s="1296"/>
      <c r="B39" s="1296" t="s">
        <v>241</v>
      </c>
      <c r="C39" s="1296" t="s">
        <v>242</v>
      </c>
      <c r="D39" s="1296" t="s">
        <v>243</v>
      </c>
      <c r="E39" s="1290" t="s">
        <v>664</v>
      </c>
      <c r="F39" s="1290" t="s">
        <v>665</v>
      </c>
      <c r="G39" s="1290" t="s">
        <v>666</v>
      </c>
      <c r="H39" s="1290"/>
      <c r="I39" s="1290" t="s">
        <v>716</v>
      </c>
      <c r="J39" s="1290" t="s">
        <v>669</v>
      </c>
      <c r="K39" s="1290" t="s">
        <v>717</v>
      </c>
      <c r="L39" s="1290" t="s">
        <v>645</v>
      </c>
      <c r="Q39" s="312"/>
      <c r="R39" s="312"/>
      <c r="S39" s="24101"/>
      <c r="T39" s="24050"/>
      <c r="U39" s="238"/>
      <c r="V39" s="1409" t="s">
        <v>744</v>
      </c>
      <c r="W39" s="1148" t="s">
        <v>745</v>
      </c>
      <c r="X39" s="1148" t="s">
        <v>720</v>
      </c>
      <c r="Y39" s="1415" t="s">
        <v>673</v>
      </c>
      <c r="Z39" s="24055" t="s">
        <v>674</v>
      </c>
      <c r="AA39" s="24068"/>
      <c r="AB39" s="24107"/>
      <c r="AC39" s="1409" t="s">
        <v>744</v>
      </c>
      <c r="AD39" s="1148" t="s">
        <v>745</v>
      </c>
      <c r="AE39" s="1148" t="s">
        <v>720</v>
      </c>
      <c r="AF39" s="1415" t="s">
        <v>673</v>
      </c>
      <c r="AG39" s="24055" t="s">
        <v>674</v>
      </c>
      <c r="AH39" s="24068"/>
      <c r="AI39" s="24107"/>
      <c r="AJ39" s="24110"/>
      <c r="AK39" s="23947"/>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218</v>
      </c>
      <c r="T40" s="1181" t="s">
        <v>95</v>
      </c>
      <c r="U40" s="1171" t="str">
        <f ca="1">OFFSET(U40,0,-1)</f>
        <v>2</v>
      </c>
      <c r="V40" s="1408">
        <f ca="1">OFFSET(V40,0,-1)+1</f>
        <v>3</v>
      </c>
      <c r="W40" s="1408">
        <f ca="1">OFFSET(W40,0,-1)+1</f>
        <v>4</v>
      </c>
      <c r="X40" s="1408">
        <f ca="1">OFFSET(X40,0,-1)+1</f>
        <v>5</v>
      </c>
      <c r="Y40" s="1408">
        <f ca="1">OFFSET(Y40,0,-1)+1</f>
        <v>6</v>
      </c>
      <c r="Z40" s="24099">
        <f ca="1">OFFSET(Z40,0,-1)+1</f>
        <v>7</v>
      </c>
      <c r="AA40" s="24099"/>
      <c r="AB40" s="1408">
        <f ca="1">OFFSET(AB40,0,-2)+1</f>
        <v>8</v>
      </c>
      <c r="AC40" s="1408">
        <f ca="1">OFFSET(AC40,0,-1)+1</f>
        <v>9</v>
      </c>
      <c r="AD40" s="1408">
        <f ca="1">OFFSET(AD40,0,-1)+1</f>
        <v>10</v>
      </c>
      <c r="AE40" s="1408">
        <f ca="1">OFFSET(AE40,0,-1)+1</f>
        <v>11</v>
      </c>
      <c r="AF40" s="1408">
        <f ca="1">OFFSET(AF40,0,-1)+1</f>
        <v>12</v>
      </c>
      <c r="AG40" s="24099">
        <f ca="1">OFFSET(AG40,0,-1)+1</f>
        <v>13</v>
      </c>
      <c r="AH40" s="24099"/>
      <c r="AI40" s="1408">
        <f ca="1">OFFSET(AI40,0,-2)+1</f>
        <v>14</v>
      </c>
      <c r="AJ40" s="1171">
        <f ca="1">OFFSET(AJ40,0,-1)</f>
        <v>14</v>
      </c>
      <c r="AK40" s="1408">
        <f ca="1">OFFSET(AK40,0,-1)+1</f>
        <v>15</v>
      </c>
      <c r="AL40" s="447"/>
      <c r="AM40" s="447"/>
      <c r="AN40" s="447"/>
      <c r="AO40" s="447"/>
      <c r="AP40" s="447"/>
      <c r="AQ40" s="432">
        <v>0</v>
      </c>
    </row>
    <row r="41" spans="1:43" ht="24" customHeight="1">
      <c r="A41" s="1289" t="s">
        <v>495</v>
      </c>
      <c r="B41" s="1289"/>
      <c r="C41" s="1289"/>
      <c r="D41" s="1289"/>
      <c r="E41" s="24088">
        <v>1</v>
      </c>
      <c r="F41" s="1289"/>
      <c r="G41" s="1289"/>
      <c r="H41" s="1289"/>
      <c r="I41" s="1289"/>
      <c r="J41" s="1289"/>
      <c r="K41" s="1289"/>
      <c r="L41" s="1290"/>
      <c r="M41" s="1291"/>
      <c r="N41" s="1291"/>
      <c r="O41" s="1291"/>
      <c r="P41" s="297"/>
      <c r="Q41" s="296"/>
      <c r="R41" s="291"/>
      <c r="S41" s="1419">
        <f>INDEX(PT_DIFFERENTIATION_NUM_NTAR,MATCH(A41,PT_DIFFERENTIATION_NTAR_ID,0))</f>
        <v>0</v>
      </c>
      <c r="T41" s="234" t="s">
        <v>229</v>
      </c>
      <c r="U41" s="236"/>
      <c r="V41" s="24082"/>
      <c r="W41" s="24083"/>
      <c r="X41" s="24083"/>
      <c r="Y41" s="24083"/>
      <c r="Z41" s="24083"/>
      <c r="AA41" s="24083"/>
      <c r="AB41" s="24084"/>
      <c r="AC41" s="24082" t="str">
        <f>INDEX(PT_DIFFERENTIATION_NTAR,MATCH(A41,PT_DIFFERENTIATION_NTAR_ID,0))</f>
        <v/>
      </c>
      <c r="AD41" s="24083"/>
      <c r="AE41" s="24083"/>
      <c r="AF41" s="24083"/>
      <c r="AG41" s="24083"/>
      <c r="AH41" s="24083"/>
      <c r="AI41" s="24083"/>
      <c r="AJ41" s="240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495</v>
      </c>
      <c r="B42" s="1289" t="s">
        <v>496</v>
      </c>
      <c r="C42" s="1289"/>
      <c r="D42" s="1289"/>
      <c r="E42" s="24089"/>
      <c r="F42" s="24088">
        <v>1</v>
      </c>
      <c r="G42" s="1289"/>
      <c r="H42" s="1289"/>
      <c r="I42" s="1289"/>
      <c r="J42" s="1289"/>
      <c r="K42" s="1289"/>
      <c r="L42" s="1290"/>
      <c r="M42" s="1291"/>
      <c r="N42" s="1291"/>
      <c r="O42" s="1291"/>
      <c r="P42" s="1413"/>
      <c r="Q42" s="288"/>
      <c r="R42" s="289"/>
      <c r="S42" s="1419" t="str">
        <f>INDEX(PT_DIFFERENTIATION_NUM_TER,MATCH(B42,PT_DIFFERENTIATION_TER_ID,0))</f>
        <v>.</v>
      </c>
      <c r="T42" s="244" t="s">
        <v>626</v>
      </c>
      <c r="U42" s="236"/>
      <c r="V42" s="24082"/>
      <c r="W42" s="24083"/>
      <c r="X42" s="24083"/>
      <c r="Y42" s="24083"/>
      <c r="Z42" s="24083"/>
      <c r="AA42" s="24083"/>
      <c r="AB42" s="24084"/>
      <c r="AC42" s="24082" t="str">
        <f>INDEX(PT_DIFFERENTIATION_TER,MATCH(B42,PT_DIFFERENTIATION_TER_ID,0))</f>
        <v/>
      </c>
      <c r="AD42" s="24083"/>
      <c r="AE42" s="24083"/>
      <c r="AF42" s="24083"/>
      <c r="AG42" s="24083"/>
      <c r="AH42" s="24083"/>
      <c r="AI42" s="24083"/>
      <c r="AJ42" s="24084"/>
      <c r="AK42" s="1184" t="s">
        <v>627</v>
      </c>
      <c r="AM42" s="436"/>
      <c r="AN42" s="436" t="str">
        <f t="shared" si="1"/>
        <v>Территория действия тарифа</v>
      </c>
      <c r="AO42" s="436"/>
      <c r="AP42" s="436"/>
      <c r="AQ42" s="1081">
        <v>23</v>
      </c>
    </row>
    <row r="43" spans="1:43" ht="24" customHeight="1">
      <c r="A43" s="1289" t="s">
        <v>495</v>
      </c>
      <c r="B43" s="1289" t="s">
        <v>496</v>
      </c>
      <c r="C43" s="1289" t="s">
        <v>497</v>
      </c>
      <c r="D43" s="1289"/>
      <c r="E43" s="24089"/>
      <c r="F43" s="24089"/>
      <c r="G43" s="24088">
        <v>1</v>
      </c>
      <c r="H43" s="1289"/>
      <c r="I43" s="1289"/>
      <c r="J43" s="1289"/>
      <c r="K43" s="1289"/>
      <c r="L43" s="1290"/>
      <c r="M43" s="1291"/>
      <c r="N43" s="1291"/>
      <c r="O43" s="1291"/>
      <c r="P43" s="290"/>
      <c r="Q43" s="288"/>
      <c r="R43" s="289"/>
      <c r="S43" s="1419" t="str">
        <f>INDEX(PT_DIFFERENTIATION_NUM_CS,MATCH(C43,PT_DIFFERENTIATION_CS_ID,0))</f>
        <v>..</v>
      </c>
      <c r="T43" s="245" t="s">
        <v>742</v>
      </c>
      <c r="U43" s="236"/>
      <c r="V43" s="24082"/>
      <c r="W43" s="24083"/>
      <c r="X43" s="24083"/>
      <c r="Y43" s="24083"/>
      <c r="Z43" s="24083"/>
      <c r="AA43" s="24083"/>
      <c r="AB43" s="24084"/>
      <c r="AC43" s="24082" t="str">
        <f>INDEX(PT_DIFFERENTIATION_CS,MATCH(C43,PT_DIFFERENTIATION_CS_ID,0))</f>
        <v/>
      </c>
      <c r="AD43" s="24083"/>
      <c r="AE43" s="24083"/>
      <c r="AF43" s="24083"/>
      <c r="AG43" s="24083"/>
      <c r="AH43" s="24083"/>
      <c r="AI43" s="24083"/>
      <c r="AJ43" s="24084"/>
      <c r="AK43" s="1184" t="s">
        <v>743</v>
      </c>
      <c r="AM43" s="436"/>
      <c r="AN43" s="436" t="str">
        <f t="shared" si="1"/>
        <v>Наименование централизованной системы водоотведения</v>
      </c>
      <c r="AO43" s="436"/>
      <c r="AP43" s="436"/>
      <c r="AQ43" s="1081">
        <v>23</v>
      </c>
    </row>
    <row r="44" spans="1:43" ht="24" customHeight="1">
      <c r="A44" s="1289" t="s">
        <v>495</v>
      </c>
      <c r="B44" s="1289" t="s">
        <v>496</v>
      </c>
      <c r="C44" s="1289" t="s">
        <v>497</v>
      </c>
      <c r="D44" s="1289" t="s">
        <v>746</v>
      </c>
      <c r="E44" s="24089"/>
      <c r="F44" s="24089"/>
      <c r="G44" s="24089"/>
      <c r="H44" s="24089"/>
      <c r="I44" s="24090" t="str">
        <f>S43&amp;".1"</f>
        <v>...1</v>
      </c>
      <c r="J44" s="1289"/>
      <c r="K44" s="1289"/>
      <c r="L44" s="1290"/>
      <c r="P44" s="24092">
        <v>1</v>
      </c>
      <c r="Q44" s="1407"/>
      <c r="R44" s="292"/>
      <c r="S44" s="1419" t="str">
        <f>$I44</f>
        <v>...1</v>
      </c>
      <c r="T44" s="221" t="s">
        <v>709</v>
      </c>
      <c r="U44" s="236"/>
      <c r="V44" s="24156"/>
      <c r="W44" s="24157"/>
      <c r="X44" s="24157"/>
      <c r="Y44" s="24157"/>
      <c r="Z44" s="24157"/>
      <c r="AA44" s="24157"/>
      <c r="AB44" s="24158"/>
      <c r="AC44" s="24159"/>
      <c r="AD44" s="24160"/>
      <c r="AE44" s="24160"/>
      <c r="AF44" s="24160"/>
      <c r="AG44" s="24160"/>
      <c r="AH44" s="24160"/>
      <c r="AI44" s="24160"/>
      <c r="AJ44" s="24161"/>
      <c r="AK44" s="1184" t="s">
        <v>710</v>
      </c>
      <c r="AM44" s="436"/>
      <c r="AN44" s="436" t="str">
        <f t="shared" si="1"/>
        <v>Наименование признака дифференциации</v>
      </c>
      <c r="AO44" s="436"/>
      <c r="AP44" s="436"/>
      <c r="AQ44" s="1081">
        <v>23</v>
      </c>
    </row>
    <row r="45" spans="1:43" ht="24" customHeight="1">
      <c r="A45" s="1289" t="s">
        <v>495</v>
      </c>
      <c r="B45" s="1289" t="s">
        <v>496</v>
      </c>
      <c r="C45" s="1289" t="s">
        <v>497</v>
      </c>
      <c r="D45" s="1289" t="s">
        <v>746</v>
      </c>
      <c r="E45" s="24089"/>
      <c r="F45" s="24089"/>
      <c r="G45" s="24089"/>
      <c r="H45" s="24089"/>
      <c r="I45" s="24091"/>
      <c r="J45" s="24090" t="str">
        <f>I44&amp;".1"</f>
        <v>...1.1</v>
      </c>
      <c r="K45" s="1289"/>
      <c r="L45" s="1290" t="s">
        <v>635</v>
      </c>
      <c r="P45" s="24092"/>
      <c r="Q45" s="24092">
        <v>1</v>
      </c>
      <c r="R45" s="293"/>
      <c r="S45" s="1419" t="str">
        <f>$J45</f>
        <v>...1.1</v>
      </c>
      <c r="T45" s="222" t="s">
        <v>636</v>
      </c>
      <c r="U45" s="236"/>
      <c r="V45" s="24076"/>
      <c r="W45" s="24077"/>
      <c r="X45" s="24077"/>
      <c r="Y45" s="24077"/>
      <c r="Z45" s="24077"/>
      <c r="AA45" s="24077"/>
      <c r="AB45" s="24078"/>
      <c r="AC45" s="24076"/>
      <c r="AD45" s="24077"/>
      <c r="AE45" s="24077"/>
      <c r="AF45" s="24077"/>
      <c r="AG45" s="24077"/>
      <c r="AH45" s="24077"/>
      <c r="AI45" s="24077"/>
      <c r="AJ45" s="24078"/>
      <c r="AK45" s="1233" t="s">
        <v>711</v>
      </c>
      <c r="AM45" s="436"/>
      <c r="AN45" s="436" t="str">
        <f t="shared" si="1"/>
        <v>Группа потребителей</v>
      </c>
      <c r="AO45" s="436"/>
      <c r="AP45" s="436"/>
      <c r="AQ45" s="1081">
        <v>23</v>
      </c>
    </row>
    <row r="46" spans="1:43" ht="24" customHeight="1">
      <c r="A46" s="1289" t="s">
        <v>495</v>
      </c>
      <c r="B46" s="1289" t="s">
        <v>496</v>
      </c>
      <c r="C46" s="1289" t="s">
        <v>497</v>
      </c>
      <c r="D46" s="1289" t="s">
        <v>746</v>
      </c>
      <c r="E46" s="24089"/>
      <c r="F46" s="24089"/>
      <c r="G46" s="24089"/>
      <c r="H46" s="24089"/>
      <c r="I46" s="24091"/>
      <c r="J46" s="24091"/>
      <c r="K46" s="24090" t="str">
        <f>J45&amp;".1"</f>
        <v>...1.1.1</v>
      </c>
      <c r="L46" s="1290"/>
      <c r="P46" s="24092"/>
      <c r="Q46" s="24092"/>
      <c r="R46" s="293">
        <v>1</v>
      </c>
      <c r="S46" s="1419" t="str">
        <f>$K46</f>
        <v>...1.1.1</v>
      </c>
      <c r="T46" s="1363"/>
      <c r="U46" s="236"/>
      <c r="V46" s="1286"/>
      <c r="W46" s="1286"/>
      <c r="X46" s="1287"/>
      <c r="Y46" s="24086"/>
      <c r="Z46" s="24085" t="s">
        <v>59</v>
      </c>
      <c r="AA46" s="24086"/>
      <c r="AB46" s="24085" t="s">
        <v>59</v>
      </c>
      <c r="AC46" s="687"/>
      <c r="AD46" s="687"/>
      <c r="AE46" s="1183"/>
      <c r="AF46" s="24093"/>
      <c r="AG46" s="23957" t="s">
        <v>59</v>
      </c>
      <c r="AH46" s="24095"/>
      <c r="AI46" s="23957" t="s">
        <v>6</v>
      </c>
      <c r="AJ46" s="1364"/>
      <c r="AK46"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495</v>
      </c>
      <c r="B47" s="1289" t="s">
        <v>496</v>
      </c>
      <c r="C47" s="1289" t="s">
        <v>497</v>
      </c>
      <c r="D47" s="1289" t="s">
        <v>746</v>
      </c>
      <c r="E47" s="24089"/>
      <c r="F47" s="24089"/>
      <c r="G47" s="24089"/>
      <c r="H47" s="24089"/>
      <c r="I47" s="24091"/>
      <c r="J47" s="24091"/>
      <c r="K47" s="24090"/>
      <c r="L47" s="1290"/>
      <c r="P47" s="24092"/>
      <c r="Q47" s="24092"/>
      <c r="R47" s="293"/>
      <c r="S47" s="1416"/>
      <c r="T47" s="236"/>
      <c r="U47" s="236"/>
      <c r="V47" s="1286"/>
      <c r="W47" s="1286"/>
      <c r="X47" s="264" t="str">
        <f>Y46&amp;"-"&amp;AA46</f>
        <v>-</v>
      </c>
      <c r="Y47" s="24085"/>
      <c r="Z47" s="24085"/>
      <c r="AA47" s="24085"/>
      <c r="AB47" s="24085"/>
      <c r="AC47" s="261"/>
      <c r="AD47" s="261"/>
      <c r="AE47" s="264" t="str">
        <f>AF46&amp;"-"&amp;AH46</f>
        <v>-</v>
      </c>
      <c r="AF47" s="24094"/>
      <c r="AG47" s="23957"/>
      <c r="AH47" s="24096"/>
      <c r="AI47" s="23957"/>
      <c r="AJ47" s="1365"/>
      <c r="AK47" s="24162"/>
      <c r="AM47" s="436"/>
      <c r="AN47" s="436" t="str">
        <f t="shared" si="1"/>
        <v/>
      </c>
      <c r="AO47" s="436"/>
      <c r="AP47" s="436"/>
      <c r="AQ47" s="1081">
        <v>0</v>
      </c>
    </row>
    <row r="48" spans="1:43" ht="21" customHeight="1">
      <c r="A48" s="1289" t="s">
        <v>495</v>
      </c>
      <c r="B48" s="1289" t="s">
        <v>496</v>
      </c>
      <c r="C48" s="1289" t="s">
        <v>497</v>
      </c>
      <c r="D48" s="1289" t="s">
        <v>746</v>
      </c>
      <c r="E48" s="24089"/>
      <c r="F48" s="24089"/>
      <c r="G48" s="24089"/>
      <c r="H48" s="24089"/>
      <c r="I48" s="24091"/>
      <c r="J48" s="24090"/>
      <c r="K48" s="1289"/>
      <c r="L48" s="1290"/>
      <c r="P48" s="24092"/>
      <c r="Q48" s="24092"/>
      <c r="R48" s="292"/>
      <c r="S48" s="1204"/>
      <c r="T48" s="223" t="s">
        <v>712</v>
      </c>
      <c r="U48" s="303"/>
      <c r="V48" s="303"/>
      <c r="W48" s="303"/>
      <c r="X48" s="303"/>
      <c r="Y48" s="303"/>
      <c r="Z48" s="303"/>
      <c r="AA48" s="303"/>
      <c r="AB48" s="303"/>
      <c r="AC48" s="303"/>
      <c r="AD48" s="303"/>
      <c r="AE48" s="303"/>
      <c r="AF48" s="303"/>
      <c r="AG48" s="303"/>
      <c r="AH48" s="303"/>
      <c r="AI48" s="303"/>
      <c r="AJ48" s="303"/>
      <c r="AK48" s="1184" t="s">
        <v>713</v>
      </c>
      <c r="AM48" s="436"/>
      <c r="AN48" s="436" t="str">
        <f t="shared" si="1"/>
        <v>Добавить значение признака дифференциации</v>
      </c>
      <c r="AO48" s="436"/>
      <c r="AP48" s="436"/>
      <c r="AQ48" s="1081">
        <v>20</v>
      </c>
    </row>
    <row r="49" spans="1:43" ht="21.95" customHeight="1">
      <c r="A49" s="1289" t="s">
        <v>495</v>
      </c>
      <c r="B49" s="1289" t="s">
        <v>496</v>
      </c>
      <c r="C49" s="1289" t="s">
        <v>497</v>
      </c>
      <c r="D49" s="1289" t="s">
        <v>746</v>
      </c>
      <c r="E49" s="24089"/>
      <c r="F49" s="24089"/>
      <c r="G49" s="24089"/>
      <c r="H49" s="24089"/>
      <c r="I49" s="24090"/>
      <c r="J49" s="1289"/>
      <c r="K49" s="1289"/>
      <c r="L49" s="1290"/>
      <c r="P49" s="24092"/>
      <c r="Q49" s="1407"/>
      <c r="R49" s="292"/>
      <c r="S49" s="1204"/>
      <c r="T49" s="301" t="s">
        <v>641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495</v>
      </c>
      <c r="B50" s="1289" t="s">
        <v>496</v>
      </c>
      <c r="C50" s="1289" t="s">
        <v>497</v>
      </c>
      <c r="D50" s="1289" t="s">
        <v>746</v>
      </c>
      <c r="E50" s="24089"/>
      <c r="F50" s="24089"/>
      <c r="G50" s="24089"/>
      <c r="H50" s="24088"/>
      <c r="I50" s="1289"/>
      <c r="J50" s="1289"/>
      <c r="K50" s="1289"/>
      <c r="L50" s="1290"/>
      <c r="M50" s="1291"/>
      <c r="N50" s="1291"/>
      <c r="O50" s="473"/>
      <c r="P50" s="296"/>
      <c r="Q50" s="311"/>
      <c r="R50" s="291"/>
      <c r="S50" s="1204"/>
      <c r="T50" s="308" t="s">
        <v>714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495</v>
      </c>
      <c r="B51" s="1269" t="s">
        <v>496</v>
      </c>
      <c r="C51" s="1240"/>
      <c r="D51" s="1240"/>
      <c r="E51" s="24089"/>
      <c r="F51" s="24088"/>
      <c r="G51" s="1240"/>
      <c r="H51" s="1240"/>
      <c r="I51" s="1240"/>
      <c r="J51" s="1240"/>
      <c r="K51" s="1240"/>
      <c r="L51" s="1420"/>
      <c r="M51" s="1247"/>
      <c r="N51" s="1247"/>
      <c r="P51" s="1242"/>
      <c r="Q51" s="1243"/>
      <c r="R51" s="1242"/>
      <c r="S51" s="1248"/>
      <c r="T51" s="1251" t="s">
        <v>370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495</v>
      </c>
      <c r="B52" s="1269"/>
      <c r="C52" s="1269"/>
      <c r="D52" s="1269"/>
      <c r="E52" s="24088"/>
      <c r="F52" s="1269"/>
      <c r="G52" s="1269"/>
      <c r="H52" s="1269"/>
      <c r="I52" s="1269"/>
      <c r="J52" s="1269"/>
      <c r="K52" s="1269"/>
      <c r="L52" s="1272"/>
      <c r="M52" s="1247"/>
      <c r="N52" s="1247"/>
      <c r="O52" s="454"/>
      <c r="P52" s="316"/>
      <c r="Q52" s="1270"/>
      <c r="R52" s="316"/>
      <c r="S52" s="1248"/>
      <c r="T52" s="1251" t="s">
        <v>481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087"/>
      <c r="U55" s="24087"/>
      <c r="V55" s="24087"/>
      <c r="W55" s="24087"/>
      <c r="X55" s="24087"/>
      <c r="Y55" s="24087"/>
      <c r="Z55" s="24087"/>
      <c r="AA55" s="24087"/>
      <c r="AB55" s="24087"/>
      <c r="AC55" s="24087"/>
      <c r="AD55" s="24087"/>
      <c r="AE55" s="24087"/>
      <c r="AF55" s="24087"/>
      <c r="AG55" s="24087"/>
      <c r="AH55" s="24087"/>
      <c r="AI55" s="24087"/>
      <c r="AJ55" s="24087"/>
      <c r="AK55" s="24087"/>
      <c r="AQ55" s="1081">
        <v>14</v>
      </c>
    </row>
    <row r="56" spans="1:43" ht="14.65" customHeight="1">
      <c r="O56" s="473"/>
      <c r="AQ56" s="1081">
        <v>14</v>
      </c>
    </row>
    <row r="57" spans="1:43" ht="14.65" customHeight="1">
      <c r="O57" s="473"/>
      <c r="S57" s="1179"/>
      <c r="T57" s="24087"/>
      <c r="U57" s="24087"/>
      <c r="V57" s="24087"/>
      <c r="W57" s="24087"/>
      <c r="X57" s="24087"/>
      <c r="Y57" s="24087"/>
      <c r="Z57" s="24087"/>
      <c r="AA57" s="24087"/>
      <c r="AB57" s="24087"/>
      <c r="AC57" s="24087"/>
      <c r="AD57" s="24087"/>
      <c r="AE57" s="24087"/>
      <c r="AF57" s="24087"/>
      <c r="AG57" s="24087"/>
      <c r="AH57" s="24087"/>
      <c r="AI57" s="24087"/>
      <c r="AJ57" s="24087"/>
      <c r="AK57" s="24087"/>
      <c r="AQ57" s="1081">
        <v>14</v>
      </c>
    </row>
    <row r="58" spans="1:43" ht="22.5" hidden="1" customHeight="1">
      <c r="A58" s="1086" t="s">
        <v>73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3"/>
      <c r="Y1" s="263"/>
      <c r="AE1" s="263"/>
      <c r="AF1" s="263"/>
      <c r="AQ1" s="1081" t="s">
        <v>1</v>
      </c>
    </row>
    <row r="2" spans="1:43" ht="23.25" hidden="1" customHeight="1">
      <c r="A2" s="1289"/>
      <c r="B2" s="1289"/>
      <c r="C2" s="1289"/>
      <c r="D2" s="1289"/>
      <c r="E2" s="24088">
        <v>1</v>
      </c>
      <c r="F2" s="1289"/>
      <c r="G2" s="1289"/>
      <c r="H2" s="1289"/>
      <c r="I2" s="1289"/>
      <c r="J2" s="1289"/>
      <c r="K2" s="1289"/>
      <c r="L2" s="1290"/>
      <c r="M2" s="1291"/>
      <c r="N2" s="1291"/>
      <c r="O2" s="1291"/>
      <c r="P2" s="297"/>
      <c r="Q2" s="296"/>
      <c r="R2" s="291"/>
      <c r="S2" s="1419" t="e">
        <f>INDEX(PT_DIFFERENTIATION_NUM_NTAR,MATCH(A2,PT_DIFFERENTIATION_NTAR_ID,0))</f>
        <v>#N/A</v>
      </c>
      <c r="T2" s="234" t="s">
        <v>229</v>
      </c>
      <c r="U2" s="236"/>
      <c r="V2" s="24082"/>
      <c r="W2" s="24083"/>
      <c r="X2" s="24083"/>
      <c r="Y2" s="24083"/>
      <c r="Z2" s="24083"/>
      <c r="AA2" s="24083"/>
      <c r="AB2" s="24084"/>
      <c r="AC2" s="24082" t="e">
        <f>INDEX(PT_DIFFERENTIATION_NTAR,MATCH(A2,PT_DIFFERENTIATION_NTAR_ID,0))</f>
        <v>#N/A</v>
      </c>
      <c r="AD2" s="24083"/>
      <c r="AE2" s="24083"/>
      <c r="AF2" s="24083"/>
      <c r="AG2" s="24083"/>
      <c r="AH2" s="24083"/>
      <c r="AI2" s="24083"/>
      <c r="AJ2" s="2408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4089"/>
      <c r="F3" s="24088">
        <v>1</v>
      </c>
      <c r="G3" s="1289"/>
      <c r="H3" s="1289"/>
      <c r="I3" s="1289"/>
      <c r="J3" s="1289"/>
      <c r="K3" s="1289"/>
      <c r="L3" s="1290"/>
      <c r="M3" s="1291"/>
      <c r="N3" s="1291"/>
      <c r="O3" s="1291"/>
      <c r="P3" s="1413"/>
      <c r="Q3" s="288"/>
      <c r="R3" s="289"/>
      <c r="S3" s="1419" t="e">
        <f>INDEX(PT_DIFFERENTIATION_NUM_TER,MATCH(B3,PT_DIFFERENTIATION_TER_ID,0))</f>
        <v>#N/A</v>
      </c>
      <c r="T3" s="244" t="s">
        <v>626</v>
      </c>
      <c r="U3" s="236"/>
      <c r="V3" s="24082"/>
      <c r="W3" s="24083"/>
      <c r="X3" s="24083"/>
      <c r="Y3" s="24083"/>
      <c r="Z3" s="24083"/>
      <c r="AA3" s="24083"/>
      <c r="AB3" s="24084"/>
      <c r="AC3" s="24082" t="e">
        <f>INDEX(PT_DIFFERENTIATION_TER,MATCH(B3,PT_DIFFERENTIATION_TER_ID,0))</f>
        <v>#N/A</v>
      </c>
      <c r="AD3" s="24083"/>
      <c r="AE3" s="24083"/>
      <c r="AF3" s="24083"/>
      <c r="AG3" s="24083"/>
      <c r="AH3" s="24083"/>
      <c r="AI3" s="24083"/>
      <c r="AJ3" s="24084"/>
      <c r="AK3" s="1184" t="s">
        <v>627</v>
      </c>
      <c r="AM3" s="436"/>
      <c r="AN3" s="436" t="str">
        <f t="shared" si="0"/>
        <v>Территория действия тарифа</v>
      </c>
      <c r="AO3" s="436"/>
      <c r="AP3" s="436"/>
      <c r="AQ3" s="1081">
        <v>0</v>
      </c>
    </row>
    <row r="4" spans="1:43" ht="23.25" hidden="1" customHeight="1">
      <c r="A4" s="1289"/>
      <c r="B4" s="1289"/>
      <c r="C4" s="1289"/>
      <c r="D4" s="1289"/>
      <c r="E4" s="24089"/>
      <c r="F4" s="24089"/>
      <c r="G4" s="24088">
        <v>1</v>
      </c>
      <c r="H4" s="1289"/>
      <c r="I4" s="1289"/>
      <c r="J4" s="1289"/>
      <c r="K4" s="1289"/>
      <c r="L4" s="1290"/>
      <c r="M4" s="1291"/>
      <c r="N4" s="1291"/>
      <c r="O4" s="1291"/>
      <c r="P4" s="290"/>
      <c r="Q4" s="288"/>
      <c r="R4" s="289"/>
      <c r="S4" s="1419" t="e">
        <f>INDEX(PT_DIFFERENTIATION_NUM_CS,MATCH(C4,PT_DIFFERENTIATION_CS_ID,0))</f>
        <v>#N/A</v>
      </c>
      <c r="T4" s="245" t="s">
        <v>742</v>
      </c>
      <c r="U4" s="236"/>
      <c r="V4" s="24082"/>
      <c r="W4" s="24083"/>
      <c r="X4" s="24083"/>
      <c r="Y4" s="24083"/>
      <c r="Z4" s="24083"/>
      <c r="AA4" s="24083"/>
      <c r="AB4" s="24084"/>
      <c r="AC4" s="24082" t="e">
        <f>INDEX(PT_DIFFERENTIATION_CS,MATCH(C4,PT_DIFFERENTIATION_CS_ID,0))</f>
        <v>#N/A</v>
      </c>
      <c r="AD4" s="24083"/>
      <c r="AE4" s="24083"/>
      <c r="AF4" s="24083"/>
      <c r="AG4" s="24083"/>
      <c r="AH4" s="24083"/>
      <c r="AI4" s="24083"/>
      <c r="AJ4" s="24084"/>
      <c r="AK4" s="1184" t="s">
        <v>743</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4089"/>
      <c r="F5" s="24089"/>
      <c r="G5" s="24089"/>
      <c r="H5" s="24089"/>
      <c r="I5" s="24090" t="e">
        <f>S4&amp;".1"</f>
        <v>#N/A</v>
      </c>
      <c r="J5" s="1289"/>
      <c r="K5" s="1289"/>
      <c r="L5" s="1290"/>
      <c r="P5" s="24092">
        <v>1</v>
      </c>
      <c r="Q5" s="1407"/>
      <c r="R5" s="292"/>
      <c r="S5" s="1419" t="e">
        <f>$I5</f>
        <v>#N/A</v>
      </c>
      <c r="T5" s="221" t="s">
        <v>709</v>
      </c>
      <c r="U5" s="236"/>
      <c r="V5" s="24156"/>
      <c r="W5" s="24157"/>
      <c r="X5" s="24157"/>
      <c r="Y5" s="24157"/>
      <c r="Z5" s="24157"/>
      <c r="AA5" s="24157"/>
      <c r="AB5" s="24158"/>
      <c r="AC5" s="24159"/>
      <c r="AD5" s="24160"/>
      <c r="AE5" s="24160"/>
      <c r="AF5" s="24160"/>
      <c r="AG5" s="24160"/>
      <c r="AH5" s="24160"/>
      <c r="AI5" s="24160"/>
      <c r="AJ5" s="24161"/>
      <c r="AK5" s="1184" t="s">
        <v>710</v>
      </c>
      <c r="AM5" s="436"/>
      <c r="AN5" s="436" t="str">
        <f t="shared" si="0"/>
        <v>Наименование признака дифференциации</v>
      </c>
      <c r="AO5" s="436"/>
      <c r="AP5" s="436"/>
      <c r="AQ5" s="1081">
        <v>0</v>
      </c>
    </row>
    <row r="6" spans="1:43" ht="23.25" hidden="1" customHeight="1">
      <c r="A6" s="1289"/>
      <c r="B6" s="1289"/>
      <c r="C6" s="1289"/>
      <c r="D6" s="1289"/>
      <c r="E6" s="24089"/>
      <c r="F6" s="24089"/>
      <c r="G6" s="24089"/>
      <c r="H6" s="24089"/>
      <c r="I6" s="24091"/>
      <c r="J6" s="24090" t="e">
        <f>I5&amp;".1"</f>
        <v>#N/A</v>
      </c>
      <c r="K6" s="1289"/>
      <c r="L6" s="1290" t="s">
        <v>635</v>
      </c>
      <c r="P6" s="24092"/>
      <c r="Q6" s="24092">
        <v>1</v>
      </c>
      <c r="R6" s="293"/>
      <c r="S6" s="1419" t="e">
        <f>$J6</f>
        <v>#N/A</v>
      </c>
      <c r="T6" s="222" t="s">
        <v>636</v>
      </c>
      <c r="U6" s="236"/>
      <c r="V6" s="24076"/>
      <c r="W6" s="24077"/>
      <c r="X6" s="24077"/>
      <c r="Y6" s="24077"/>
      <c r="Z6" s="24077"/>
      <c r="AA6" s="24077"/>
      <c r="AB6" s="24078"/>
      <c r="AC6" s="24076"/>
      <c r="AD6" s="24077"/>
      <c r="AE6" s="24077"/>
      <c r="AF6" s="24077"/>
      <c r="AG6" s="24077"/>
      <c r="AH6" s="24077"/>
      <c r="AI6" s="24077"/>
      <c r="AJ6" s="24078"/>
      <c r="AK6" s="1233" t="s">
        <v>711</v>
      </c>
      <c r="AM6" s="436"/>
      <c r="AN6" s="436" t="str">
        <f t="shared" si="0"/>
        <v>Группа потребителей</v>
      </c>
      <c r="AO6" s="436"/>
      <c r="AP6" s="436"/>
      <c r="AQ6" s="1081">
        <v>0</v>
      </c>
    </row>
    <row r="7" spans="1:43" ht="23.25" hidden="1" customHeight="1">
      <c r="A7" s="1289"/>
      <c r="B7" s="1289"/>
      <c r="C7" s="1289"/>
      <c r="D7" s="1289"/>
      <c r="E7" s="24089"/>
      <c r="F7" s="24089"/>
      <c r="G7" s="24089"/>
      <c r="H7" s="24089"/>
      <c r="I7" s="24091"/>
      <c r="J7" s="24091"/>
      <c r="K7" s="24090" t="e">
        <f>J6&amp;".1"</f>
        <v>#N/A</v>
      </c>
      <c r="L7" s="1290"/>
      <c r="P7" s="24092"/>
      <c r="Q7" s="24092"/>
      <c r="R7" s="293">
        <v>1</v>
      </c>
      <c r="S7" s="1419" t="e">
        <f>$K7</f>
        <v>#N/A</v>
      </c>
      <c r="T7" s="1363"/>
      <c r="U7" s="236"/>
      <c r="V7" s="687"/>
      <c r="W7" s="687"/>
      <c r="X7" s="1183"/>
      <c r="Y7" s="24093"/>
      <c r="Z7" s="23957" t="s">
        <v>59</v>
      </c>
      <c r="AA7" s="24093"/>
      <c r="AB7" s="23957" t="s">
        <v>59</v>
      </c>
      <c r="AC7" s="687"/>
      <c r="AD7" s="687"/>
      <c r="AE7" s="1183"/>
      <c r="AF7" s="24093"/>
      <c r="AG7" s="23957" t="s">
        <v>59</v>
      </c>
      <c r="AH7" s="24095"/>
      <c r="AI7" s="23957" t="s">
        <v>59</v>
      </c>
      <c r="AJ7" s="1364"/>
      <c r="AK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4089"/>
      <c r="F8" s="24089"/>
      <c r="G8" s="24089"/>
      <c r="H8" s="24089"/>
      <c r="I8" s="24091"/>
      <c r="J8" s="24091"/>
      <c r="K8" s="24090"/>
      <c r="L8" s="1290"/>
      <c r="P8" s="24092"/>
      <c r="Q8" s="24092"/>
      <c r="R8" s="293"/>
      <c r="S8" s="1416"/>
      <c r="T8" s="236"/>
      <c r="U8" s="236"/>
      <c r="V8" s="261"/>
      <c r="W8" s="261"/>
      <c r="X8" s="264" t="str">
        <f>Y7&amp;"-"&amp;AA7</f>
        <v>-</v>
      </c>
      <c r="Y8" s="24094"/>
      <c r="Z8" s="23957"/>
      <c r="AA8" s="24094"/>
      <c r="AB8" s="23957"/>
      <c r="AC8" s="261"/>
      <c r="AD8" s="261"/>
      <c r="AE8" s="264" t="str">
        <f>AF7&amp;"-"&amp;AH7</f>
        <v>-</v>
      </c>
      <c r="AF8" s="24094"/>
      <c r="AG8" s="23957"/>
      <c r="AH8" s="24096"/>
      <c r="AI8" s="23957"/>
      <c r="AJ8" s="1365"/>
      <c r="AK8" s="24162"/>
      <c r="AM8" s="436"/>
      <c r="AN8" s="436" t="str">
        <f t="shared" si="0"/>
        <v/>
      </c>
      <c r="AO8" s="436"/>
      <c r="AP8" s="436"/>
      <c r="AQ8" s="1081">
        <v>0</v>
      </c>
    </row>
    <row r="9" spans="1:43" ht="21" hidden="1" customHeight="1">
      <c r="A9" s="1289"/>
      <c r="B9" s="1289"/>
      <c r="C9" s="1289"/>
      <c r="D9" s="1289"/>
      <c r="E9" s="24089"/>
      <c r="F9" s="24089"/>
      <c r="G9" s="24089"/>
      <c r="H9" s="24089"/>
      <c r="I9" s="24091"/>
      <c r="J9" s="24090"/>
      <c r="K9" s="1289"/>
      <c r="L9" s="1290"/>
      <c r="P9" s="24092"/>
      <c r="Q9" s="24092"/>
      <c r="R9" s="292"/>
      <c r="S9" s="1204"/>
      <c r="T9" s="223" t="s">
        <v>712</v>
      </c>
      <c r="U9" s="303"/>
      <c r="V9" s="303"/>
      <c r="W9" s="303"/>
      <c r="X9" s="303"/>
      <c r="Y9" s="303"/>
      <c r="Z9" s="303"/>
      <c r="AA9" s="303"/>
      <c r="AB9" s="303"/>
      <c r="AC9" s="303"/>
      <c r="AD9" s="303"/>
      <c r="AE9" s="303"/>
      <c r="AF9" s="303"/>
      <c r="AG9" s="303"/>
      <c r="AH9" s="303"/>
      <c r="AI9" s="303"/>
      <c r="AJ9" s="303"/>
      <c r="AK9" s="1184" t="s">
        <v>713</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4089"/>
      <c r="F10" s="24089"/>
      <c r="G10" s="24089"/>
      <c r="H10" s="24089"/>
      <c r="I10" s="24090"/>
      <c r="J10" s="1289"/>
      <c r="K10" s="1289"/>
      <c r="L10" s="1290"/>
      <c r="P10" s="24092"/>
      <c r="Q10" s="1407"/>
      <c r="R10" s="292"/>
      <c r="S10" s="1204"/>
      <c r="T10" s="301" t="s">
        <v>641</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4089"/>
      <c r="F12" s="24088"/>
      <c r="G12" s="1240"/>
      <c r="H12" s="1240"/>
      <c r="I12" s="1240"/>
      <c r="J12" s="1240"/>
      <c r="K12" s="1240"/>
      <c r="L12" s="1420"/>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3"/>
      <c r="AI14" s="263"/>
      <c r="AQ14" s="1081">
        <v>0</v>
      </c>
    </row>
    <row r="15" spans="1:43" ht="14.25" hidden="1" customHeight="1">
      <c r="AC15" s="1286"/>
      <c r="AD15" s="1286"/>
      <c r="AE15" s="1287"/>
      <c r="AF15" s="24086"/>
      <c r="AG15" s="24085" t="s">
        <v>59</v>
      </c>
      <c r="AH15" s="24086"/>
      <c r="AI15" s="24085" t="s">
        <v>59</v>
      </c>
      <c r="AQ15" s="1081">
        <v>0</v>
      </c>
    </row>
    <row r="16" spans="1:43" ht="14.25" hidden="1" customHeight="1">
      <c r="AC16" s="1286"/>
      <c r="AD16" s="1286"/>
      <c r="AE16" s="264" t="str">
        <f>AF15&amp;"-"&amp;AH15</f>
        <v>-</v>
      </c>
      <c r="AF16" s="24085"/>
      <c r="AG16" s="24085"/>
      <c r="AH16" s="24085"/>
      <c r="AI16" s="24085"/>
      <c r="AQ16" s="1081">
        <v>0</v>
      </c>
    </row>
    <row r="17" spans="1:43" ht="14.25" hidden="1" customHeight="1">
      <c r="AI17" s="263"/>
      <c r="AQ17" s="1081">
        <v>0</v>
      </c>
    </row>
    <row r="18" spans="1:43" s="1292" customFormat="1" ht="22.5" hidden="1" customHeight="1">
      <c r="L18" s="1404"/>
      <c r="M18" s="1288"/>
      <c r="N18" s="1288"/>
      <c r="O18" s="1293" t="s">
        <v>644</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645</v>
      </c>
      <c r="P20" s="1288"/>
      <c r="Q20" s="1368"/>
      <c r="R20" s="1368"/>
      <c r="S20" s="665"/>
      <c r="T20" s="1086" t="s">
        <v>646</v>
      </c>
      <c r="Z20" s="123" t="s">
        <v>647</v>
      </c>
      <c r="AB20" s="123" t="s">
        <v>648</v>
      </c>
      <c r="AC20" s="1086" t="s">
        <v>646</v>
      </c>
      <c r="AG20" s="123" t="s">
        <v>649</v>
      </c>
      <c r="AI20" s="123" t="s">
        <v>648</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4069"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1169"/>
      <c r="AQ24" s="1081">
        <v>14</v>
      </c>
    </row>
    <row r="25" spans="1:4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1169"/>
      <c r="AQ25" s="1081">
        <v>14</v>
      </c>
    </row>
    <row r="26" spans="1:43" ht="14.25" customHeight="1">
      <c r="Q26" s="312"/>
      <c r="R26" s="312"/>
      <c r="S26" s="1201"/>
      <c r="T26" s="299"/>
      <c r="U26" s="299"/>
      <c r="V26" s="258"/>
      <c r="W26" s="258"/>
      <c r="X26" s="258"/>
      <c r="Y26" s="258"/>
      <c r="Z26" s="258"/>
      <c r="AA26" s="258"/>
      <c r="AB26" s="258"/>
      <c r="AC26" s="258"/>
      <c r="AD26" s="258"/>
      <c r="AE26" s="258"/>
      <c r="AF26" s="258"/>
      <c r="AG26" s="258"/>
      <c r="AH26" s="258"/>
      <c r="AI26" s="258"/>
      <c r="AJ26" s="445"/>
      <c r="AQ26" s="1081">
        <v>0</v>
      </c>
    </row>
    <row r="27" spans="1:4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62"/>
      <c r="AC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D27" s="24081"/>
      <c r="AE27" s="24081"/>
      <c r="AF27" s="24081"/>
      <c r="AG27" s="24081"/>
      <c r="AH27" s="24081"/>
      <c r="AI27" s="262"/>
      <c r="AJ27" s="262"/>
      <c r="AK27" s="216"/>
      <c r="AL27" s="304"/>
      <c r="AM27" s="304"/>
      <c r="AN27" s="304"/>
      <c r="AO27" s="304"/>
      <c r="AP27" s="304"/>
      <c r="AQ27" s="354">
        <v>0</v>
      </c>
    </row>
    <row r="28" spans="1:4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62"/>
      <c r="AC28" s="24080" t="str">
        <f>IF(TITLE_DATE_PR_CHANGE="",IF(TITLE_DATE_PR="","",TITLE_DATE_PR),TITLE_DATE_PR_CHANGE)</f>
        <v>20.12.2024</v>
      </c>
      <c r="AD28" s="24080"/>
      <c r="AE28" s="24080"/>
      <c r="AF28" s="24080"/>
      <c r="AG28" s="24080"/>
      <c r="AH28" s="24080"/>
      <c r="AI28" s="262"/>
      <c r="AJ28" s="262"/>
      <c r="AK28" s="216"/>
      <c r="AL28" s="304"/>
      <c r="AM28" s="304"/>
      <c r="AN28" s="304"/>
      <c r="AO28" s="304"/>
      <c r="AP28" s="304"/>
      <c r="AQ28" s="354">
        <v>0</v>
      </c>
    </row>
    <row r="29" spans="1:4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62"/>
      <c r="AC29" s="24081" t="str">
        <f>IF(TITLE_NUMBER_PR_CHANGE="",IF(TITLE_NUMBER_PR="","",TITLE_NUMBER_PR),TITLE_NUMBER_PR_CHANGE)</f>
        <v>403, 404</v>
      </c>
      <c r="AD29" s="24081"/>
      <c r="AE29" s="24081"/>
      <c r="AF29" s="24081"/>
      <c r="AG29" s="24081"/>
      <c r="AH29" s="24081"/>
      <c r="AI29" s="262"/>
      <c r="AJ29" s="262"/>
      <c r="AK29" s="216"/>
      <c r="AL29" s="304"/>
      <c r="AM29" s="304"/>
      <c r="AN29" s="304"/>
      <c r="AO29" s="304"/>
      <c r="AP29" s="304"/>
      <c r="AQ29" s="354">
        <v>0</v>
      </c>
    </row>
    <row r="30" spans="1:4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62"/>
      <c r="AC30" s="24081" t="str">
        <f>IF(TITLE_IST_PUB_CHANGE="",IF(TITLE_IST_PUB="","",TITLE_IST_PUB),TITLE_IST_PUB_CHANGE)</f>
        <v>Смоленская газета</v>
      </c>
      <c r="AD30" s="24081"/>
      <c r="AE30" s="24081"/>
      <c r="AF30" s="24081"/>
      <c r="AG30" s="24081"/>
      <c r="AH30" s="24081"/>
      <c r="AI30" s="262"/>
      <c r="AJ30" s="262"/>
      <c r="AK30" s="216"/>
      <c r="AL30" s="304"/>
      <c r="AM30" s="304"/>
      <c r="AN30" s="304"/>
      <c r="AO30" s="304"/>
      <c r="AP30" s="304"/>
      <c r="AQ30" s="354">
        <v>0</v>
      </c>
    </row>
    <row r="31" spans="1:43" ht="14.25" hidden="1" customHeight="1">
      <c r="Q31" s="312"/>
      <c r="R31" s="312"/>
      <c r="S31" s="1201"/>
      <c r="T31" s="299"/>
      <c r="U31" s="299"/>
      <c r="V31" s="258"/>
      <c r="W31" s="258"/>
      <c r="X31" s="258"/>
      <c r="Y31" s="258"/>
      <c r="Z31" s="258"/>
      <c r="AA31" s="258"/>
      <c r="AB31" s="258"/>
      <c r="AC31" s="258"/>
      <c r="AD31" s="258"/>
      <c r="AE31" s="258"/>
      <c r="AF31" s="258"/>
      <c r="AG31" s="258"/>
      <c r="AH31" s="258"/>
      <c r="AI31" s="258"/>
      <c r="AJ31" s="445"/>
      <c r="AQ31" s="1081">
        <v>0</v>
      </c>
    </row>
    <row r="32" spans="1:4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62"/>
      <c r="AC32" s="24080" t="str">
        <f>IF(TITLE_DATE_PR_CHANGE="",IF(TITLE_DATE_PR="","",TITLE_DATE_PR),TITLE_DATE_PR_CHANGE)</f>
        <v>20.12.2024</v>
      </c>
      <c r="AD32" s="24080"/>
      <c r="AE32" s="24080"/>
      <c r="AF32" s="24080"/>
      <c r="AG32" s="24080"/>
      <c r="AH32" s="24080"/>
      <c r="AI32" s="262"/>
      <c r="AJ32" s="262"/>
      <c r="AK32" s="216"/>
      <c r="AL32" s="304"/>
      <c r="AM32" s="304"/>
      <c r="AN32" s="304"/>
      <c r="AO32" s="304"/>
      <c r="AP32" s="304"/>
      <c r="AQ32" s="354">
        <v>0</v>
      </c>
    </row>
    <row r="33" spans="1:4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62"/>
      <c r="AC33" s="24081" t="str">
        <f>IF(TITLE_NUMBER_PR_CHANGE="",IF(TITLE_NUMBER_PR="","",TITLE_NUMBER_PR),TITLE_NUMBER_PR_CHANGE)</f>
        <v>403, 404</v>
      </c>
      <c r="AD33" s="24081"/>
      <c r="AE33" s="24081"/>
      <c r="AF33" s="24081"/>
      <c r="AG33" s="24081"/>
      <c r="AH33" s="24081"/>
      <c r="AI33" s="262"/>
      <c r="AJ33" s="262"/>
      <c r="AK33" s="216"/>
      <c r="AL33" s="304"/>
      <c r="AM33" s="304"/>
      <c r="AN33" s="304"/>
      <c r="AO33" s="304"/>
      <c r="AP33" s="304"/>
      <c r="AQ33" s="354">
        <v>0</v>
      </c>
    </row>
    <row r="34" spans="1:4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262"/>
      <c r="X34" s="262"/>
      <c r="Y34" s="262"/>
      <c r="Z34" s="262"/>
      <c r="AA34" s="262"/>
      <c r="AB34" s="214" t="s">
        <v>654</v>
      </c>
      <c r="AC34" s="262"/>
      <c r="AD34" s="262"/>
      <c r="AE34" s="262"/>
      <c r="AF34" s="262"/>
      <c r="AG34" s="262"/>
      <c r="AH34" s="262"/>
      <c r="AI34" s="214" t="s">
        <v>654</v>
      </c>
      <c r="AL34" s="304"/>
      <c r="AM34" s="304"/>
      <c r="AN34" s="304"/>
      <c r="AO34" s="304"/>
      <c r="AP34" s="304"/>
      <c r="AQ34" s="354">
        <v>1</v>
      </c>
    </row>
    <row r="35" spans="1:4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Q35" s="1081">
        <v>14</v>
      </c>
    </row>
    <row r="36" spans="1:43"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t="s">
        <v>530</v>
      </c>
      <c r="AQ36" s="1081">
        <v>14</v>
      </c>
    </row>
    <row r="37" spans="1:43" ht="14.65" customHeight="1">
      <c r="Q37" s="312"/>
      <c r="R37" s="312"/>
      <c r="S37" s="24101" t="s">
        <v>79</v>
      </c>
      <c r="T37" s="24050" t="s">
        <v>655</v>
      </c>
      <c r="U37" s="237"/>
      <c r="V37" s="24102" t="s">
        <v>656</v>
      </c>
      <c r="W37" s="24103"/>
      <c r="X37" s="24103"/>
      <c r="Y37" s="24103"/>
      <c r="Z37" s="24103"/>
      <c r="AA37" s="24104"/>
      <c r="AB37" s="24105" t="s">
        <v>657</v>
      </c>
      <c r="AC37" s="24102" t="s">
        <v>656</v>
      </c>
      <c r="AD37" s="24103"/>
      <c r="AE37" s="24103"/>
      <c r="AF37" s="24103"/>
      <c r="AG37" s="24103"/>
      <c r="AH37" s="24104"/>
      <c r="AI37" s="24105" t="s">
        <v>658</v>
      </c>
      <c r="AJ37" s="24108" t="s">
        <v>659</v>
      </c>
      <c r="AK37" s="23947"/>
      <c r="AQ37" s="1081">
        <v>14</v>
      </c>
    </row>
    <row r="38" spans="1:43" ht="35.65" customHeight="1">
      <c r="Q38" s="312"/>
      <c r="R38" s="312"/>
      <c r="S38" s="24101"/>
      <c r="T38" s="24050"/>
      <c r="U38" s="960"/>
      <c r="V38" s="1409" t="s">
        <v>715</v>
      </c>
      <c r="W38" s="23928" t="s">
        <v>662</v>
      </c>
      <c r="X38" s="23927"/>
      <c r="Y38" s="23928" t="s">
        <v>663</v>
      </c>
      <c r="Z38" s="23933"/>
      <c r="AA38" s="23927"/>
      <c r="AB38" s="24106"/>
      <c r="AC38" s="1409" t="s">
        <v>715</v>
      </c>
      <c r="AD38" s="23928" t="s">
        <v>662</v>
      </c>
      <c r="AE38" s="23927"/>
      <c r="AF38" s="23928" t="s">
        <v>663</v>
      </c>
      <c r="AG38" s="23933"/>
      <c r="AH38" s="23927"/>
      <c r="AI38" s="24106"/>
      <c r="AJ38" s="24109"/>
      <c r="AK38" s="23947"/>
      <c r="AQ38" s="1081">
        <v>34</v>
      </c>
    </row>
    <row r="39" spans="1:43" ht="90.4" customHeight="1">
      <c r="A39" s="1296"/>
      <c r="B39" s="1296" t="s">
        <v>241</v>
      </c>
      <c r="C39" s="1296" t="s">
        <v>242</v>
      </c>
      <c r="D39" s="1296" t="s">
        <v>243</v>
      </c>
      <c r="E39" s="1290" t="s">
        <v>664</v>
      </c>
      <c r="F39" s="1290" t="s">
        <v>665</v>
      </c>
      <c r="G39" s="1290" t="s">
        <v>666</v>
      </c>
      <c r="H39" s="1290"/>
      <c r="I39" s="1290" t="s">
        <v>716</v>
      </c>
      <c r="J39" s="1290" t="s">
        <v>669</v>
      </c>
      <c r="K39" s="1290" t="s">
        <v>717</v>
      </c>
      <c r="L39" s="1290" t="s">
        <v>645</v>
      </c>
      <c r="Q39" s="312"/>
      <c r="R39" s="312"/>
      <c r="S39" s="24101"/>
      <c r="T39" s="24050"/>
      <c r="U39" s="238"/>
      <c r="V39" s="1409" t="s">
        <v>744</v>
      </c>
      <c r="W39" s="1148" t="s">
        <v>745</v>
      </c>
      <c r="X39" s="1148" t="s">
        <v>720</v>
      </c>
      <c r="Y39" s="1415" t="s">
        <v>673</v>
      </c>
      <c r="Z39" s="24055" t="s">
        <v>674</v>
      </c>
      <c r="AA39" s="24068"/>
      <c r="AB39" s="24107"/>
      <c r="AC39" s="1409" t="s">
        <v>744</v>
      </c>
      <c r="AD39" s="1148" t="s">
        <v>745</v>
      </c>
      <c r="AE39" s="1148" t="s">
        <v>720</v>
      </c>
      <c r="AF39" s="1415" t="s">
        <v>673</v>
      </c>
      <c r="AG39" s="24055" t="s">
        <v>674</v>
      </c>
      <c r="AH39" s="24068"/>
      <c r="AI39" s="24107"/>
      <c r="AJ39" s="24110"/>
      <c r="AK39" s="23947"/>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218</v>
      </c>
      <c r="T40" s="1181" t="s">
        <v>95</v>
      </c>
      <c r="U40" s="1171" t="str">
        <f ca="1">OFFSET(U40,0,-1)</f>
        <v>2</v>
      </c>
      <c r="V40" s="1408">
        <f ca="1">OFFSET(V40,0,-1)+1</f>
        <v>3</v>
      </c>
      <c r="W40" s="1408">
        <f ca="1">OFFSET(W40,0,-1)+1</f>
        <v>4</v>
      </c>
      <c r="X40" s="1408">
        <f ca="1">OFFSET(X40,0,-1)+1</f>
        <v>5</v>
      </c>
      <c r="Y40" s="1408">
        <f ca="1">OFFSET(Y40,0,-1)+1</f>
        <v>6</v>
      </c>
      <c r="Z40" s="24099">
        <f ca="1">OFFSET(Z40,0,-1)+1</f>
        <v>7</v>
      </c>
      <c r="AA40" s="24099"/>
      <c r="AB40" s="1408">
        <f ca="1">OFFSET(AB40,0,-2)+1</f>
        <v>8</v>
      </c>
      <c r="AC40" s="1408">
        <f ca="1">OFFSET(AC40,0,-1)+1</f>
        <v>9</v>
      </c>
      <c r="AD40" s="1408">
        <f ca="1">OFFSET(AD40,0,-1)+1</f>
        <v>10</v>
      </c>
      <c r="AE40" s="1408">
        <f ca="1">OFFSET(AE40,0,-1)+1</f>
        <v>11</v>
      </c>
      <c r="AF40" s="1408">
        <f ca="1">OFFSET(AF40,0,-1)+1</f>
        <v>12</v>
      </c>
      <c r="AG40" s="24099">
        <f ca="1">OFFSET(AG40,0,-1)+1</f>
        <v>13</v>
      </c>
      <c r="AH40" s="24099"/>
      <c r="AI40" s="1408">
        <f ca="1">OFFSET(AI40,0,-2)+1</f>
        <v>14</v>
      </c>
      <c r="AJ40" s="1171">
        <f ca="1">OFFSET(AJ40,0,-1)</f>
        <v>14</v>
      </c>
      <c r="AK40" s="1408">
        <f ca="1">OFFSET(AK40,0,-1)+1</f>
        <v>15</v>
      </c>
      <c r="AL40" s="447"/>
      <c r="AM40" s="447"/>
      <c r="AN40" s="447"/>
      <c r="AO40" s="447"/>
      <c r="AP40" s="447"/>
      <c r="AQ40" s="432">
        <v>0</v>
      </c>
    </row>
    <row r="41" spans="1:43" ht="24" customHeight="1">
      <c r="A41" s="1289" t="s">
        <v>500</v>
      </c>
      <c r="B41" s="1289"/>
      <c r="C41" s="1289"/>
      <c r="D41" s="1289"/>
      <c r="E41" s="24088">
        <v>1</v>
      </c>
      <c r="F41" s="1289"/>
      <c r="G41" s="1289"/>
      <c r="H41" s="1289"/>
      <c r="I41" s="1289"/>
      <c r="J41" s="1289"/>
      <c r="K41" s="1289"/>
      <c r="L41" s="1290"/>
      <c r="M41" s="1291"/>
      <c r="N41" s="1291"/>
      <c r="O41" s="1291"/>
      <c r="P41" s="297"/>
      <c r="Q41" s="296"/>
      <c r="R41" s="291"/>
      <c r="S41" s="1419">
        <f>INDEX(PT_DIFFERENTIATION_NUM_NTAR,MATCH(A41,PT_DIFFERENTIATION_NTAR_ID,0))</f>
        <v>0</v>
      </c>
      <c r="T41" s="234" t="s">
        <v>229</v>
      </c>
      <c r="U41" s="236"/>
      <c r="V41" s="24082"/>
      <c r="W41" s="24083"/>
      <c r="X41" s="24083"/>
      <c r="Y41" s="24083"/>
      <c r="Z41" s="24083"/>
      <c r="AA41" s="24083"/>
      <c r="AB41" s="24084"/>
      <c r="AC41" s="24082" t="str">
        <f>INDEX(PT_DIFFERENTIATION_NTAR,MATCH(A41,PT_DIFFERENTIATION_NTAR_ID,0))</f>
        <v/>
      </c>
      <c r="AD41" s="24083"/>
      <c r="AE41" s="24083"/>
      <c r="AF41" s="24083"/>
      <c r="AG41" s="24083"/>
      <c r="AH41" s="24083"/>
      <c r="AI41" s="24083"/>
      <c r="AJ41" s="2408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500</v>
      </c>
      <c r="B42" s="1289" t="s">
        <v>501</v>
      </c>
      <c r="C42" s="1289"/>
      <c r="D42" s="1289"/>
      <c r="E42" s="24089"/>
      <c r="F42" s="24088">
        <v>1</v>
      </c>
      <c r="G42" s="1289"/>
      <c r="H42" s="1289"/>
      <c r="I42" s="1289"/>
      <c r="J42" s="1289"/>
      <c r="K42" s="1289"/>
      <c r="L42" s="1290"/>
      <c r="M42" s="1291"/>
      <c r="N42" s="1291"/>
      <c r="O42" s="1291"/>
      <c r="P42" s="1413"/>
      <c r="Q42" s="288"/>
      <c r="R42" s="289"/>
      <c r="S42" s="1419" t="str">
        <f>INDEX(PT_DIFFERENTIATION_NUM_TER,MATCH(B42,PT_DIFFERENTIATION_TER_ID,0))</f>
        <v>.</v>
      </c>
      <c r="T42" s="244" t="s">
        <v>626</v>
      </c>
      <c r="U42" s="236"/>
      <c r="V42" s="24082"/>
      <c r="W42" s="24083"/>
      <c r="X42" s="24083"/>
      <c r="Y42" s="24083"/>
      <c r="Z42" s="24083"/>
      <c r="AA42" s="24083"/>
      <c r="AB42" s="24084"/>
      <c r="AC42" s="24082" t="str">
        <f>INDEX(PT_DIFFERENTIATION_TER,MATCH(B42,PT_DIFFERENTIATION_TER_ID,0))</f>
        <v/>
      </c>
      <c r="AD42" s="24083"/>
      <c r="AE42" s="24083"/>
      <c r="AF42" s="24083"/>
      <c r="AG42" s="24083"/>
      <c r="AH42" s="24083"/>
      <c r="AI42" s="24083"/>
      <c r="AJ42" s="24084"/>
      <c r="AK42" s="1184" t="s">
        <v>627</v>
      </c>
      <c r="AM42" s="436"/>
      <c r="AN42" s="436" t="str">
        <f t="shared" si="1"/>
        <v>Территория действия тарифа</v>
      </c>
      <c r="AO42" s="436"/>
      <c r="AP42" s="436"/>
      <c r="AQ42" s="1081">
        <v>23</v>
      </c>
    </row>
    <row r="43" spans="1:43" ht="24" customHeight="1">
      <c r="A43" s="1289" t="s">
        <v>500</v>
      </c>
      <c r="B43" s="1289" t="s">
        <v>501</v>
      </c>
      <c r="C43" s="1289" t="s">
        <v>502</v>
      </c>
      <c r="D43" s="1289"/>
      <c r="E43" s="24089"/>
      <c r="F43" s="24089"/>
      <c r="G43" s="24088">
        <v>1</v>
      </c>
      <c r="H43" s="1289"/>
      <c r="I43" s="1289"/>
      <c r="J43" s="1289"/>
      <c r="K43" s="1289"/>
      <c r="L43" s="1290"/>
      <c r="M43" s="1291"/>
      <c r="N43" s="1291"/>
      <c r="O43" s="1291"/>
      <c r="P43" s="290"/>
      <c r="Q43" s="288"/>
      <c r="R43" s="289"/>
      <c r="S43" s="1419" t="str">
        <f>INDEX(PT_DIFFERENTIATION_NUM_CS,MATCH(C43,PT_DIFFERENTIATION_CS_ID,0))</f>
        <v>..</v>
      </c>
      <c r="T43" s="245" t="s">
        <v>742</v>
      </c>
      <c r="U43" s="236"/>
      <c r="V43" s="24082"/>
      <c r="W43" s="24083"/>
      <c r="X43" s="24083"/>
      <c r="Y43" s="24083"/>
      <c r="Z43" s="24083"/>
      <c r="AA43" s="24083"/>
      <c r="AB43" s="24084"/>
      <c r="AC43" s="24082" t="str">
        <f>INDEX(PT_DIFFERENTIATION_CS,MATCH(C43,PT_DIFFERENTIATION_CS_ID,0))</f>
        <v/>
      </c>
      <c r="AD43" s="24083"/>
      <c r="AE43" s="24083"/>
      <c r="AF43" s="24083"/>
      <c r="AG43" s="24083"/>
      <c r="AH43" s="24083"/>
      <c r="AI43" s="24083"/>
      <c r="AJ43" s="24084"/>
      <c r="AK43" s="1184" t="s">
        <v>743</v>
      </c>
      <c r="AM43" s="436"/>
      <c r="AN43" s="436" t="str">
        <f t="shared" si="1"/>
        <v>Наименование централизованной системы водоотведения</v>
      </c>
      <c r="AO43" s="436"/>
      <c r="AP43" s="436"/>
      <c r="AQ43" s="1081">
        <v>23</v>
      </c>
    </row>
    <row r="44" spans="1:43" ht="24" customHeight="1">
      <c r="A44" s="1289" t="s">
        <v>500</v>
      </c>
      <c r="B44" s="1289" t="s">
        <v>501</v>
      </c>
      <c r="C44" s="1289" t="s">
        <v>502</v>
      </c>
      <c r="D44" s="1289" t="s">
        <v>747</v>
      </c>
      <c r="E44" s="24089"/>
      <c r="F44" s="24089"/>
      <c r="G44" s="24089"/>
      <c r="H44" s="24089"/>
      <c r="I44" s="24090" t="str">
        <f>S43&amp;".1"</f>
        <v>...1</v>
      </c>
      <c r="J44" s="1289"/>
      <c r="K44" s="1289"/>
      <c r="L44" s="1290"/>
      <c r="P44" s="24092">
        <v>1</v>
      </c>
      <c r="Q44" s="1407"/>
      <c r="R44" s="292"/>
      <c r="S44" s="1419" t="str">
        <f>$I44</f>
        <v>...1</v>
      </c>
      <c r="T44" s="221" t="s">
        <v>709</v>
      </c>
      <c r="U44" s="236"/>
      <c r="V44" s="24156"/>
      <c r="W44" s="24157"/>
      <c r="X44" s="24157"/>
      <c r="Y44" s="24157"/>
      <c r="Z44" s="24157"/>
      <c r="AA44" s="24157"/>
      <c r="AB44" s="24158"/>
      <c r="AC44" s="24159"/>
      <c r="AD44" s="24160"/>
      <c r="AE44" s="24160"/>
      <c r="AF44" s="24160"/>
      <c r="AG44" s="24160"/>
      <c r="AH44" s="24160"/>
      <c r="AI44" s="24160"/>
      <c r="AJ44" s="24161"/>
      <c r="AK44" s="1184" t="s">
        <v>710</v>
      </c>
      <c r="AM44" s="436"/>
      <c r="AN44" s="436" t="str">
        <f t="shared" si="1"/>
        <v>Наименование признака дифференциации</v>
      </c>
      <c r="AO44" s="436"/>
      <c r="AP44" s="436"/>
      <c r="AQ44" s="1081">
        <v>23</v>
      </c>
    </row>
    <row r="45" spans="1:43" ht="24" customHeight="1">
      <c r="A45" s="1289" t="s">
        <v>500</v>
      </c>
      <c r="B45" s="1289" t="s">
        <v>501</v>
      </c>
      <c r="C45" s="1289" t="s">
        <v>502</v>
      </c>
      <c r="D45" s="1289" t="s">
        <v>747</v>
      </c>
      <c r="E45" s="24089"/>
      <c r="F45" s="24089"/>
      <c r="G45" s="24089"/>
      <c r="H45" s="24089"/>
      <c r="I45" s="24091"/>
      <c r="J45" s="24090" t="str">
        <f>I44&amp;".1"</f>
        <v>...1.1</v>
      </c>
      <c r="K45" s="1289"/>
      <c r="L45" s="1290" t="s">
        <v>635</v>
      </c>
      <c r="P45" s="24092"/>
      <c r="Q45" s="24092">
        <v>1</v>
      </c>
      <c r="R45" s="293"/>
      <c r="S45" s="1419" t="str">
        <f>$J45</f>
        <v>...1.1</v>
      </c>
      <c r="T45" s="222" t="s">
        <v>636</v>
      </c>
      <c r="U45" s="236"/>
      <c r="V45" s="24076"/>
      <c r="W45" s="24077"/>
      <c r="X45" s="24077"/>
      <c r="Y45" s="24077"/>
      <c r="Z45" s="24077"/>
      <c r="AA45" s="24077"/>
      <c r="AB45" s="24078"/>
      <c r="AC45" s="24076"/>
      <c r="AD45" s="24077"/>
      <c r="AE45" s="24077"/>
      <c r="AF45" s="24077"/>
      <c r="AG45" s="24077"/>
      <c r="AH45" s="24077"/>
      <c r="AI45" s="24077"/>
      <c r="AJ45" s="24078"/>
      <c r="AK45" s="1233" t="s">
        <v>711</v>
      </c>
      <c r="AM45" s="436"/>
      <c r="AN45" s="436" t="str">
        <f t="shared" si="1"/>
        <v>Группа потребителей</v>
      </c>
      <c r="AO45" s="436"/>
      <c r="AP45" s="436"/>
      <c r="AQ45" s="1081">
        <v>23</v>
      </c>
    </row>
    <row r="46" spans="1:43" ht="24" customHeight="1">
      <c r="A46" s="1289" t="s">
        <v>500</v>
      </c>
      <c r="B46" s="1289" t="s">
        <v>501</v>
      </c>
      <c r="C46" s="1289" t="s">
        <v>502</v>
      </c>
      <c r="D46" s="1289" t="s">
        <v>747</v>
      </c>
      <c r="E46" s="24089"/>
      <c r="F46" s="24089"/>
      <c r="G46" s="24089"/>
      <c r="H46" s="24089"/>
      <c r="I46" s="24091"/>
      <c r="J46" s="24091"/>
      <c r="K46" s="24090" t="str">
        <f>J45&amp;".1"</f>
        <v>...1.1.1</v>
      </c>
      <c r="L46" s="1290"/>
      <c r="P46" s="24092"/>
      <c r="Q46" s="24092"/>
      <c r="R46" s="293">
        <v>1</v>
      </c>
      <c r="S46" s="1419" t="str">
        <f>$K46</f>
        <v>...1.1.1</v>
      </c>
      <c r="T46" s="1363"/>
      <c r="U46" s="236"/>
      <c r="V46" s="1286"/>
      <c r="W46" s="1286"/>
      <c r="X46" s="1287"/>
      <c r="Y46" s="24086"/>
      <c r="Z46" s="24085" t="s">
        <v>59</v>
      </c>
      <c r="AA46" s="24086"/>
      <c r="AB46" s="24085" t="s">
        <v>59</v>
      </c>
      <c r="AC46" s="687"/>
      <c r="AD46" s="687"/>
      <c r="AE46" s="1183"/>
      <c r="AF46" s="24093"/>
      <c r="AG46" s="23957" t="s">
        <v>59</v>
      </c>
      <c r="AH46" s="24095"/>
      <c r="AI46" s="23957" t="s">
        <v>6</v>
      </c>
      <c r="AJ46" s="1364"/>
      <c r="AK46"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500</v>
      </c>
      <c r="B47" s="1289" t="s">
        <v>501</v>
      </c>
      <c r="C47" s="1289" t="s">
        <v>502</v>
      </c>
      <c r="D47" s="1289" t="s">
        <v>747</v>
      </c>
      <c r="E47" s="24089"/>
      <c r="F47" s="24089"/>
      <c r="G47" s="24089"/>
      <c r="H47" s="24089"/>
      <c r="I47" s="24091"/>
      <c r="J47" s="24091"/>
      <c r="K47" s="24090"/>
      <c r="L47" s="1290"/>
      <c r="P47" s="24092"/>
      <c r="Q47" s="24092"/>
      <c r="R47" s="293"/>
      <c r="S47" s="1416"/>
      <c r="T47" s="236"/>
      <c r="U47" s="236"/>
      <c r="V47" s="1286"/>
      <c r="W47" s="1286"/>
      <c r="X47" s="264" t="str">
        <f>Y46&amp;"-"&amp;AA46</f>
        <v>-</v>
      </c>
      <c r="Y47" s="24085"/>
      <c r="Z47" s="24085"/>
      <c r="AA47" s="24085"/>
      <c r="AB47" s="24085"/>
      <c r="AC47" s="261"/>
      <c r="AD47" s="261"/>
      <c r="AE47" s="264" t="str">
        <f>AF46&amp;"-"&amp;AH46</f>
        <v>-</v>
      </c>
      <c r="AF47" s="24094"/>
      <c r="AG47" s="23957"/>
      <c r="AH47" s="24096"/>
      <c r="AI47" s="23957"/>
      <c r="AJ47" s="1365"/>
      <c r="AK47" s="24162"/>
      <c r="AM47" s="436"/>
      <c r="AN47" s="436" t="str">
        <f t="shared" si="1"/>
        <v/>
      </c>
      <c r="AO47" s="436"/>
      <c r="AP47" s="436"/>
      <c r="AQ47" s="1081">
        <v>0</v>
      </c>
    </row>
    <row r="48" spans="1:43" ht="21" customHeight="1">
      <c r="A48" s="1289" t="s">
        <v>500</v>
      </c>
      <c r="B48" s="1289" t="s">
        <v>501</v>
      </c>
      <c r="C48" s="1289" t="s">
        <v>502</v>
      </c>
      <c r="D48" s="1289" t="s">
        <v>747</v>
      </c>
      <c r="E48" s="24089"/>
      <c r="F48" s="24089"/>
      <c r="G48" s="24089"/>
      <c r="H48" s="24089"/>
      <c r="I48" s="24091"/>
      <c r="J48" s="24090"/>
      <c r="K48" s="1289"/>
      <c r="L48" s="1290"/>
      <c r="P48" s="24092"/>
      <c r="Q48" s="24092"/>
      <c r="R48" s="292"/>
      <c r="S48" s="1204"/>
      <c r="T48" s="223" t="s">
        <v>712</v>
      </c>
      <c r="U48" s="303"/>
      <c r="V48" s="303"/>
      <c r="W48" s="303"/>
      <c r="X48" s="303"/>
      <c r="Y48" s="303"/>
      <c r="Z48" s="303"/>
      <c r="AA48" s="303"/>
      <c r="AB48" s="303"/>
      <c r="AC48" s="303"/>
      <c r="AD48" s="303"/>
      <c r="AE48" s="303"/>
      <c r="AF48" s="303"/>
      <c r="AG48" s="303"/>
      <c r="AH48" s="303"/>
      <c r="AI48" s="303"/>
      <c r="AJ48" s="303"/>
      <c r="AK48" s="1184" t="s">
        <v>713</v>
      </c>
      <c r="AM48" s="436"/>
      <c r="AN48" s="436" t="str">
        <f t="shared" si="1"/>
        <v>Добавить значение признака дифференциации</v>
      </c>
      <c r="AO48" s="436"/>
      <c r="AP48" s="436"/>
      <c r="AQ48" s="1081">
        <v>20</v>
      </c>
    </row>
    <row r="49" spans="1:43" ht="21.95" customHeight="1">
      <c r="A49" s="1289" t="s">
        <v>500</v>
      </c>
      <c r="B49" s="1289" t="s">
        <v>501</v>
      </c>
      <c r="C49" s="1289" t="s">
        <v>502</v>
      </c>
      <c r="D49" s="1289" t="s">
        <v>747</v>
      </c>
      <c r="E49" s="24089"/>
      <c r="F49" s="24089"/>
      <c r="G49" s="24089"/>
      <c r="H49" s="24089"/>
      <c r="I49" s="24090"/>
      <c r="J49" s="1289"/>
      <c r="K49" s="1289"/>
      <c r="L49" s="1290"/>
      <c r="P49" s="24092"/>
      <c r="Q49" s="1407"/>
      <c r="R49" s="292"/>
      <c r="S49" s="1204"/>
      <c r="T49" s="301" t="s">
        <v>641</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500</v>
      </c>
      <c r="B50" s="1289" t="s">
        <v>501</v>
      </c>
      <c r="C50" s="1289" t="s">
        <v>502</v>
      </c>
      <c r="D50" s="1289" t="s">
        <v>747</v>
      </c>
      <c r="E50" s="24089"/>
      <c r="F50" s="24089"/>
      <c r="G50" s="24089"/>
      <c r="H50" s="24088"/>
      <c r="I50" s="1289"/>
      <c r="J50" s="1289"/>
      <c r="K50" s="1289"/>
      <c r="L50" s="1290"/>
      <c r="M50" s="1291"/>
      <c r="N50" s="1291"/>
      <c r="O50" s="473"/>
      <c r="P50" s="296"/>
      <c r="Q50" s="311"/>
      <c r="R50" s="291"/>
      <c r="S50" s="1204"/>
      <c r="T50" s="308" t="s">
        <v>714</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81">
        <v>21</v>
      </c>
    </row>
    <row r="51" spans="1:43" s="1568" customFormat="1" ht="0" hidden="1" customHeight="1">
      <c r="A51" s="1269" t="s">
        <v>500</v>
      </c>
      <c r="B51" s="1269" t="s">
        <v>501</v>
      </c>
      <c r="C51" s="1240"/>
      <c r="D51" s="1240"/>
      <c r="E51" s="24089"/>
      <c r="F51" s="24088"/>
      <c r="G51" s="1240"/>
      <c r="H51" s="1240"/>
      <c r="I51" s="1240"/>
      <c r="J51" s="1240"/>
      <c r="K51" s="1240"/>
      <c r="L51" s="1420"/>
      <c r="M51" s="1247"/>
      <c r="N51" s="1247"/>
      <c r="P51" s="1242"/>
      <c r="Q51" s="1243"/>
      <c r="R51" s="1242"/>
      <c r="S51" s="1248"/>
      <c r="T51" s="1251" t="s">
        <v>370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500</v>
      </c>
      <c r="B52" s="1269"/>
      <c r="C52" s="1269"/>
      <c r="D52" s="1269"/>
      <c r="E52" s="24088"/>
      <c r="F52" s="1269"/>
      <c r="G52" s="1269"/>
      <c r="H52" s="1269"/>
      <c r="I52" s="1269"/>
      <c r="J52" s="1269"/>
      <c r="K52" s="1269"/>
      <c r="L52" s="1272"/>
      <c r="M52" s="1247"/>
      <c r="N52" s="1247"/>
      <c r="O52" s="454"/>
      <c r="P52" s="316"/>
      <c r="Q52" s="1270"/>
      <c r="R52" s="316"/>
      <c r="S52" s="1248"/>
      <c r="T52" s="1251" t="s">
        <v>481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482</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4087"/>
      <c r="U55" s="24087"/>
      <c r="V55" s="24087"/>
      <c r="W55" s="24087"/>
      <c r="X55" s="24087"/>
      <c r="Y55" s="24087"/>
      <c r="Z55" s="24087"/>
      <c r="AA55" s="24087"/>
      <c r="AB55" s="24087"/>
      <c r="AC55" s="24087"/>
      <c r="AD55" s="24087"/>
      <c r="AE55" s="24087"/>
      <c r="AF55" s="24087"/>
      <c r="AG55" s="24087"/>
      <c r="AH55" s="24087"/>
      <c r="AI55" s="24087"/>
      <c r="AJ55" s="24087"/>
      <c r="AK55" s="24087"/>
      <c r="AQ55" s="1081">
        <v>14</v>
      </c>
    </row>
    <row r="56" spans="1:43" ht="14.65" customHeight="1">
      <c r="O56" s="473"/>
      <c r="AQ56" s="1081">
        <v>14</v>
      </c>
    </row>
    <row r="57" spans="1:43" ht="14.65" customHeight="1">
      <c r="O57" s="473"/>
      <c r="S57" s="1179"/>
      <c r="T57" s="24087"/>
      <c r="U57" s="24087"/>
      <c r="V57" s="24087"/>
      <c r="W57" s="24087"/>
      <c r="X57" s="24087"/>
      <c r="Y57" s="24087"/>
      <c r="Z57" s="24087"/>
      <c r="AA57" s="24087"/>
      <c r="AB57" s="24087"/>
      <c r="AC57" s="24087"/>
      <c r="AD57" s="24087"/>
      <c r="AE57" s="24087"/>
      <c r="AF57" s="24087"/>
      <c r="AG57" s="24087"/>
      <c r="AH57" s="24087"/>
      <c r="AI57" s="24087"/>
      <c r="AJ57" s="24087"/>
      <c r="AK57" s="24087"/>
      <c r="AQ57" s="1081">
        <v>14</v>
      </c>
    </row>
    <row r="58" spans="1:43" ht="22.5" hidden="1" customHeight="1">
      <c r="A58" s="1086" t="s">
        <v>73</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0">
        <v>3</v>
      </c>
      <c r="R58" s="280">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0" customWidth="1"/>
    <col min="19" max="19" width="12" style="198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v>
      </c>
    </row>
    <row r="2" spans="1:61" ht="21" hidden="1" customHeight="1">
      <c r="A2" s="1289"/>
      <c r="B2" s="1289"/>
      <c r="C2" s="1289"/>
      <c r="D2" s="1289"/>
      <c r="E2" s="24088">
        <v>1</v>
      </c>
      <c r="F2" s="1289"/>
      <c r="G2" s="1289"/>
      <c r="H2" s="1289"/>
      <c r="I2" s="1289"/>
      <c r="J2" s="1289"/>
      <c r="K2" s="1289"/>
      <c r="L2" s="1290"/>
      <c r="M2" s="1291"/>
      <c r="N2" s="1291"/>
      <c r="O2" s="1291"/>
      <c r="P2" s="1335"/>
      <c r="Q2" s="803"/>
      <c r="R2" s="291"/>
      <c r="S2" s="1419" t="e">
        <f>INDEX(PT_DIFFERENTIATION_NUM_NTAR,MATCH(A2,PT_DIFFERENTIATION_NTAR_ID,0))</f>
        <v>#N/A</v>
      </c>
      <c r="T2" s="234" t="s">
        <v>229</v>
      </c>
      <c r="U2" s="236"/>
      <c r="V2" s="24083"/>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3"/>
      <c r="AM2" s="24083"/>
      <c r="AN2" s="24083"/>
      <c r="AO2" s="24083"/>
      <c r="AP2" s="24083"/>
      <c r="AQ2" s="24083"/>
      <c r="AR2" s="24083"/>
      <c r="AS2" s="24083"/>
      <c r="AT2" s="24083"/>
      <c r="AU2" s="24083"/>
      <c r="AV2" s="24083"/>
      <c r="AW2" s="24083"/>
      <c r="AX2" s="24083"/>
      <c r="AY2" s="24083"/>
      <c r="AZ2" s="24083"/>
      <c r="BA2" s="24083"/>
      <c r="BB2" s="2408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089"/>
      <c r="F3" s="24088">
        <v>1</v>
      </c>
      <c r="G3" s="1289"/>
      <c r="H3" s="1289"/>
      <c r="I3" s="1289"/>
      <c r="J3" s="1289"/>
      <c r="K3" s="1289"/>
      <c r="L3" s="1290"/>
      <c r="M3" s="1291"/>
      <c r="N3" s="1291"/>
      <c r="O3" s="1291"/>
      <c r="P3" s="1336"/>
      <c r="Q3" s="1337"/>
      <c r="R3" s="289"/>
      <c r="S3" s="1419" t="e">
        <f>INDEX(PT_DIFFERENTIATION_NUM_TER,MATCH(B3,PT_DIFFERENTIATION_TER_ID,0))</f>
        <v>#N/A</v>
      </c>
      <c r="T3" s="244" t="s">
        <v>626</v>
      </c>
      <c r="U3" s="236"/>
      <c r="V3" s="24083"/>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3"/>
      <c r="AM3" s="24083"/>
      <c r="AN3" s="24083"/>
      <c r="AO3" s="24083"/>
      <c r="AP3" s="24083"/>
      <c r="AQ3" s="24083"/>
      <c r="AR3" s="24083"/>
      <c r="AS3" s="24083"/>
      <c r="AT3" s="24083"/>
      <c r="AU3" s="24083"/>
      <c r="AV3" s="24083"/>
      <c r="AW3" s="24083"/>
      <c r="AX3" s="24083"/>
      <c r="AY3" s="24083"/>
      <c r="AZ3" s="24083"/>
      <c r="BA3" s="24083"/>
      <c r="BB3" s="24084"/>
      <c r="BC3" s="1184" t="s">
        <v>627</v>
      </c>
      <c r="BE3" s="436"/>
      <c r="BF3" s="436" t="str">
        <f t="shared" si="0"/>
        <v>Территория действия тарифа</v>
      </c>
      <c r="BG3" s="436"/>
      <c r="BH3" s="436"/>
      <c r="BI3" s="1081">
        <v>0</v>
      </c>
    </row>
    <row r="4" spans="1:61" ht="33.75" hidden="1" customHeight="1">
      <c r="A4" s="1289"/>
      <c r="B4" s="1289"/>
      <c r="C4" s="1289"/>
      <c r="D4" s="1289"/>
      <c r="E4" s="24089"/>
      <c r="F4" s="24089"/>
      <c r="G4" s="24088">
        <v>1</v>
      </c>
      <c r="H4" s="1289"/>
      <c r="I4" s="1289"/>
      <c r="J4" s="1289"/>
      <c r="K4" s="1289"/>
      <c r="L4" s="1290"/>
      <c r="M4" s="1291"/>
      <c r="N4" s="1291"/>
      <c r="O4" s="1291"/>
      <c r="P4" s="1338"/>
      <c r="Q4" s="1337"/>
      <c r="R4" s="289"/>
      <c r="S4" s="1419" t="e">
        <f>INDEX(PT_DIFFERENTIATION_NUM_CS,MATCH(C4,PT_DIFFERENTIATION_CS_ID,0))</f>
        <v>#N/A</v>
      </c>
      <c r="T4" s="245" t="s">
        <v>742</v>
      </c>
      <c r="U4" s="236"/>
      <c r="V4" s="24083"/>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3"/>
      <c r="AM4" s="24083"/>
      <c r="AN4" s="24083"/>
      <c r="AO4" s="24083"/>
      <c r="AP4" s="24083"/>
      <c r="AQ4" s="24083"/>
      <c r="AR4" s="24083"/>
      <c r="AS4" s="24083"/>
      <c r="AT4" s="24083"/>
      <c r="AU4" s="24083"/>
      <c r="AV4" s="24083"/>
      <c r="AW4" s="24083"/>
      <c r="AX4" s="24083"/>
      <c r="AY4" s="24083"/>
      <c r="AZ4" s="24083"/>
      <c r="BA4" s="24083"/>
      <c r="BB4" s="24084"/>
      <c r="BC4" s="1184" t="s">
        <v>743</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4089"/>
      <c r="F5" s="24089"/>
      <c r="G5" s="24089"/>
      <c r="H5" s="24088">
        <v>1</v>
      </c>
      <c r="I5" s="1269"/>
      <c r="J5" s="1269"/>
      <c r="K5" s="1269"/>
      <c r="L5" s="1272"/>
      <c r="M5" s="1241"/>
      <c r="N5" s="1241"/>
      <c r="O5" s="1241"/>
      <c r="P5" s="1423"/>
      <c r="Q5" s="1424"/>
      <c r="R5" s="293"/>
      <c r="S5" s="971"/>
      <c r="T5" s="1425"/>
      <c r="U5" s="1310"/>
      <c r="V5" s="24120"/>
      <c r="W5" s="24120"/>
      <c r="X5" s="24120"/>
      <c r="Y5" s="24120"/>
      <c r="Z5" s="24120"/>
      <c r="AA5" s="24120"/>
      <c r="AB5" s="24120"/>
      <c r="AC5" s="24121"/>
      <c r="AD5" s="24119"/>
      <c r="AE5" s="24120"/>
      <c r="AF5" s="24120"/>
      <c r="AG5" s="24120"/>
      <c r="AH5" s="24120"/>
      <c r="AI5" s="24120"/>
      <c r="AJ5" s="24120"/>
      <c r="AK5" s="24120"/>
      <c r="AL5" s="24120"/>
      <c r="AM5" s="24120"/>
      <c r="AN5" s="24120"/>
      <c r="AO5" s="24120"/>
      <c r="AP5" s="24120"/>
      <c r="AQ5" s="24120"/>
      <c r="AR5" s="24120"/>
      <c r="AS5" s="24120"/>
      <c r="AT5" s="24120"/>
      <c r="AU5" s="24120"/>
      <c r="AV5" s="24120"/>
      <c r="AW5" s="24120"/>
      <c r="AX5" s="24120"/>
      <c r="AY5" s="24120"/>
      <c r="AZ5" s="24120"/>
      <c r="BA5" s="24120"/>
      <c r="BB5" s="24121"/>
      <c r="BC5" s="1311" t="s">
        <v>631</v>
      </c>
      <c r="BE5" s="436"/>
      <c r="BF5" s="436" t="str">
        <f t="shared" si="0"/>
        <v/>
      </c>
      <c r="BG5" s="436"/>
      <c r="BH5" s="436"/>
      <c r="BI5" s="447">
        <v>0</v>
      </c>
    </row>
    <row r="6" spans="1:61" s="1568" customFormat="1" ht="14.25" hidden="1" customHeight="1">
      <c r="A6" s="1269"/>
      <c r="B6" s="1269"/>
      <c r="C6" s="1269"/>
      <c r="D6" s="1269"/>
      <c r="E6" s="24089"/>
      <c r="F6" s="24089"/>
      <c r="G6" s="24089"/>
      <c r="H6" s="24089"/>
      <c r="I6" s="24090" t="str">
        <f>S5&amp;".1"</f>
        <v>.1</v>
      </c>
      <c r="J6" s="1269"/>
      <c r="K6" s="1269"/>
      <c r="L6" s="1272" t="s">
        <v>632</v>
      </c>
      <c r="M6" s="446"/>
      <c r="N6" s="446"/>
      <c r="O6" s="446"/>
      <c r="P6" s="24092">
        <v>1</v>
      </c>
      <c r="Q6" s="1407"/>
      <c r="R6" s="292"/>
      <c r="S6" s="971"/>
      <c r="T6" s="1309"/>
      <c r="U6" s="1310"/>
      <c r="V6" s="24120"/>
      <c r="W6" s="24120"/>
      <c r="X6" s="24120"/>
      <c r="Y6" s="24120"/>
      <c r="Z6" s="24120"/>
      <c r="AA6" s="24120"/>
      <c r="AB6" s="24120"/>
      <c r="AC6" s="24121"/>
      <c r="AD6" s="24119"/>
      <c r="AE6" s="24120"/>
      <c r="AF6" s="24120"/>
      <c r="AG6" s="24120"/>
      <c r="AH6" s="24120"/>
      <c r="AI6" s="24120"/>
      <c r="AJ6" s="24120"/>
      <c r="AK6" s="24120"/>
      <c r="AL6" s="24120"/>
      <c r="AM6" s="24120"/>
      <c r="AN6" s="24120"/>
      <c r="AO6" s="24120"/>
      <c r="AP6" s="24120"/>
      <c r="AQ6" s="24120"/>
      <c r="AR6" s="24120"/>
      <c r="AS6" s="24120"/>
      <c r="AT6" s="24120"/>
      <c r="AU6" s="24120"/>
      <c r="AV6" s="24120"/>
      <c r="AW6" s="24120"/>
      <c r="AX6" s="24120"/>
      <c r="AY6" s="24120"/>
      <c r="AZ6" s="24120"/>
      <c r="BA6" s="24120"/>
      <c r="BB6" s="24121"/>
      <c r="BC6" s="1311"/>
      <c r="BE6" s="436"/>
      <c r="BF6" s="436" t="str">
        <f t="shared" si="0"/>
        <v/>
      </c>
      <c r="BG6" s="436"/>
      <c r="BH6" s="436"/>
      <c r="BI6" s="447">
        <v>0</v>
      </c>
    </row>
    <row r="7" spans="1:61" s="1568" customFormat="1" ht="14.25" hidden="1" customHeight="1">
      <c r="A7" s="1269"/>
      <c r="B7" s="1269"/>
      <c r="C7" s="1269"/>
      <c r="D7" s="1269"/>
      <c r="E7" s="24089"/>
      <c r="F7" s="24089"/>
      <c r="G7" s="24089"/>
      <c r="H7" s="24089"/>
      <c r="I7" s="24091"/>
      <c r="J7" s="24090" t="str">
        <f>S5&amp;".1"</f>
        <v>.1</v>
      </c>
      <c r="K7" s="1269"/>
      <c r="L7" s="1272"/>
      <c r="M7" s="446"/>
      <c r="N7" s="446"/>
      <c r="O7" s="446"/>
      <c r="P7" s="24092"/>
      <c r="Q7" s="24092">
        <v>1</v>
      </c>
      <c r="R7" s="293"/>
      <c r="S7" s="971"/>
      <c r="T7" s="1325"/>
      <c r="U7" s="1310"/>
      <c r="V7" s="24120"/>
      <c r="W7" s="24120"/>
      <c r="X7" s="24120"/>
      <c r="Y7" s="24120"/>
      <c r="Z7" s="24120"/>
      <c r="AA7" s="24120"/>
      <c r="AB7" s="24120"/>
      <c r="AC7" s="24121"/>
      <c r="AD7" s="24119"/>
      <c r="AE7" s="24120"/>
      <c r="AF7" s="24120"/>
      <c r="AG7" s="24120"/>
      <c r="AH7" s="24120"/>
      <c r="AI7" s="24120"/>
      <c r="AJ7" s="24120"/>
      <c r="AK7" s="24120"/>
      <c r="AL7" s="24120"/>
      <c r="AM7" s="24120"/>
      <c r="AN7" s="24120"/>
      <c r="AO7" s="24120"/>
      <c r="AP7" s="24120"/>
      <c r="AQ7" s="24120"/>
      <c r="AR7" s="24120"/>
      <c r="AS7" s="24120"/>
      <c r="AT7" s="24120"/>
      <c r="AU7" s="24120"/>
      <c r="AV7" s="24120"/>
      <c r="AW7" s="24120"/>
      <c r="AX7" s="24120"/>
      <c r="AY7" s="24120"/>
      <c r="AZ7" s="24120"/>
      <c r="BA7" s="24120"/>
      <c r="BB7" s="24121"/>
      <c r="BC7" s="1311"/>
      <c r="BE7" s="436"/>
      <c r="BF7" s="436" t="str">
        <f t="shared" si="0"/>
        <v/>
      </c>
      <c r="BG7" s="436"/>
      <c r="BH7" s="436"/>
      <c r="BI7" s="447">
        <v>0</v>
      </c>
    </row>
    <row r="8" spans="1:61" ht="11.25" hidden="1" customHeight="1">
      <c r="A8" s="1289"/>
      <c r="B8" s="1289"/>
      <c r="C8" s="1289"/>
      <c r="D8" s="1289"/>
      <c r="E8" s="24089"/>
      <c r="F8" s="24089"/>
      <c r="G8" s="24089"/>
      <c r="H8" s="24089"/>
      <c r="I8" s="24091"/>
      <c r="J8" s="24091"/>
      <c r="K8" s="24090" t="e">
        <f>S4&amp;".1"</f>
        <v>#N/A</v>
      </c>
      <c r="L8" s="1290"/>
      <c r="P8" s="24092"/>
      <c r="Q8" s="24092"/>
      <c r="R8" s="24148">
        <v>1</v>
      </c>
      <c r="S8" s="24145" t="e">
        <f>$K8</f>
        <v>#N/A</v>
      </c>
      <c r="T8" s="24165"/>
      <c r="U8" s="236"/>
      <c r="V8" s="687"/>
      <c r="W8" s="1183"/>
      <c r="X8" s="687"/>
      <c r="Y8" s="1183"/>
      <c r="Z8" s="1632"/>
      <c r="AA8" s="1395" t="s">
        <v>59</v>
      </c>
      <c r="AB8" s="1632"/>
      <c r="AC8" s="1395" t="s">
        <v>59</v>
      </c>
      <c r="AD8" s="24018" t="s">
        <v>59</v>
      </c>
      <c r="AE8" s="24141"/>
      <c r="AF8" s="24046">
        <v>1</v>
      </c>
      <c r="AG8" s="24164"/>
      <c r="AH8" s="23957" t="s">
        <v>59</v>
      </c>
      <c r="AI8" s="24141"/>
      <c r="AJ8" s="24046">
        <v>1</v>
      </c>
      <c r="AK8" s="24155" t="s">
        <v>17</v>
      </c>
      <c r="AL8" s="23957" t="s">
        <v>59</v>
      </c>
      <c r="AM8" s="24023"/>
      <c r="AN8" s="24046">
        <v>1</v>
      </c>
      <c r="AO8" s="24168"/>
      <c r="AP8" s="24169" t="s">
        <v>59</v>
      </c>
      <c r="AQ8" s="247"/>
      <c r="AR8" s="1412">
        <v>1</v>
      </c>
      <c r="AS8" s="1418" t="s">
        <v>17</v>
      </c>
      <c r="AT8" s="687"/>
      <c r="AU8" s="1183"/>
      <c r="AV8" s="687"/>
      <c r="AW8" s="1183"/>
      <c r="AX8" s="1632"/>
      <c r="AY8" s="1395" t="s">
        <v>59</v>
      </c>
      <c r="AZ8" s="1632"/>
      <c r="BA8" s="1395" t="s">
        <v>59</v>
      </c>
      <c r="BB8" s="1274"/>
      <c r="BC8" s="24111" t="s">
        <v>727</v>
      </c>
      <c r="BE8" s="436"/>
      <c r="BF8" s="436" t="str">
        <f t="shared" si="0"/>
        <v/>
      </c>
      <c r="BG8" s="436"/>
      <c r="BH8" s="436"/>
      <c r="BI8" s="1081">
        <v>0</v>
      </c>
    </row>
    <row r="9" spans="1:61" ht="11.25" hidden="1" customHeight="1">
      <c r="A9" s="1289"/>
      <c r="B9" s="1289"/>
      <c r="C9" s="1289"/>
      <c r="D9" s="1289"/>
      <c r="E9" s="24089"/>
      <c r="F9" s="24089"/>
      <c r="G9" s="24089"/>
      <c r="H9" s="24089"/>
      <c r="I9" s="24091"/>
      <c r="J9" s="24091"/>
      <c r="K9" s="24090"/>
      <c r="L9" s="1290"/>
      <c r="P9" s="24092"/>
      <c r="Q9" s="24092"/>
      <c r="R9" s="24148"/>
      <c r="S9" s="24146"/>
      <c r="T9" s="24166"/>
      <c r="U9" s="236"/>
      <c r="V9" s="1319"/>
      <c r="W9" s="1422"/>
      <c r="X9" s="1319"/>
      <c r="Y9" s="1422"/>
      <c r="Z9" s="1319"/>
      <c r="AA9" s="1319"/>
      <c r="AB9" s="1319"/>
      <c r="AC9" s="1319"/>
      <c r="AD9" s="24019"/>
      <c r="AE9" s="24141"/>
      <c r="AF9" s="24046"/>
      <c r="AG9" s="24164"/>
      <c r="AH9" s="23957"/>
      <c r="AI9" s="24141"/>
      <c r="AJ9" s="24046"/>
      <c r="AK9" s="24155"/>
      <c r="AL9" s="23957"/>
      <c r="AM9" s="24028"/>
      <c r="AN9" s="24046"/>
      <c r="AO9" s="24168"/>
      <c r="AP9" s="24170"/>
      <c r="AQ9" s="252"/>
      <c r="AR9" s="352"/>
      <c r="AS9" s="352" t="s">
        <v>728</v>
      </c>
      <c r="AT9" s="1319"/>
      <c r="AU9" s="1422"/>
      <c r="AV9" s="1319"/>
      <c r="AW9" s="1422"/>
      <c r="AX9" s="1319"/>
      <c r="AY9" s="1319"/>
      <c r="AZ9" s="1319"/>
      <c r="BA9" s="1319"/>
      <c r="BB9" s="1323"/>
      <c r="BC9" s="24112"/>
      <c r="BE9" s="436"/>
      <c r="BF9" s="436"/>
      <c r="BG9" s="436"/>
      <c r="BH9" s="436"/>
      <c r="BI9" s="1081">
        <v>0</v>
      </c>
    </row>
    <row r="10" spans="1:61" ht="11.25" hidden="1" customHeight="1">
      <c r="A10" s="1289"/>
      <c r="B10" s="1289"/>
      <c r="C10" s="1289"/>
      <c r="D10" s="1289"/>
      <c r="E10" s="24089"/>
      <c r="F10" s="24089"/>
      <c r="G10" s="24089"/>
      <c r="H10" s="24089"/>
      <c r="I10" s="24091"/>
      <c r="J10" s="24091"/>
      <c r="K10" s="24090"/>
      <c r="L10" s="1290"/>
      <c r="P10" s="24092"/>
      <c r="Q10" s="24092"/>
      <c r="R10" s="24148"/>
      <c r="S10" s="24146"/>
      <c r="T10" s="24166"/>
      <c r="U10" s="236"/>
      <c r="V10" s="1319"/>
      <c r="W10" s="1422"/>
      <c r="X10" s="1319"/>
      <c r="Y10" s="1422"/>
      <c r="Z10" s="1319"/>
      <c r="AA10" s="1319"/>
      <c r="AB10" s="1319"/>
      <c r="AC10" s="1319"/>
      <c r="AD10" s="24019"/>
      <c r="AE10" s="24141"/>
      <c r="AF10" s="24046"/>
      <c r="AG10" s="24164"/>
      <c r="AH10" s="23957"/>
      <c r="AI10" s="24141"/>
      <c r="AJ10" s="24046"/>
      <c r="AK10" s="24155"/>
      <c r="AL10" s="23957"/>
      <c r="AM10" s="252"/>
      <c r="AN10" s="1426"/>
      <c r="AO10" s="1426" t="s">
        <v>748</v>
      </c>
      <c r="AP10" s="352"/>
      <c r="AQ10" s="352"/>
      <c r="AR10" s="352"/>
      <c r="AS10" s="1319"/>
      <c r="AT10" s="1319"/>
      <c r="AU10" s="1422"/>
      <c r="AV10" s="1319"/>
      <c r="AW10" s="1422"/>
      <c r="AX10" s="1319"/>
      <c r="AY10" s="1319"/>
      <c r="AZ10" s="1319"/>
      <c r="BA10" s="1319"/>
      <c r="BB10" s="1323"/>
      <c r="BC10" s="24112"/>
      <c r="BE10" s="436"/>
      <c r="BF10" s="436"/>
      <c r="BG10" s="436"/>
      <c r="BH10" s="436"/>
      <c r="BI10" s="1081">
        <v>0</v>
      </c>
    </row>
    <row r="11" spans="1:61" ht="11.25" hidden="1" customHeight="1">
      <c r="A11" s="1289"/>
      <c r="B11" s="1289"/>
      <c r="C11" s="1289"/>
      <c r="D11" s="1289"/>
      <c r="E11" s="24089"/>
      <c r="F11" s="24089"/>
      <c r="G11" s="24089"/>
      <c r="H11" s="24089"/>
      <c r="I11" s="24091"/>
      <c r="J11" s="24091"/>
      <c r="K11" s="24090"/>
      <c r="L11" s="1290"/>
      <c r="P11" s="24092"/>
      <c r="Q11" s="24092"/>
      <c r="R11" s="24148"/>
      <c r="S11" s="24146"/>
      <c r="T11" s="24166"/>
      <c r="U11" s="236"/>
      <c r="V11" s="1319"/>
      <c r="W11" s="1422"/>
      <c r="X11" s="1319"/>
      <c r="Y11" s="1422"/>
      <c r="Z11" s="1319"/>
      <c r="AA11" s="1319"/>
      <c r="AB11" s="1319"/>
      <c r="AC11" s="1319"/>
      <c r="AD11" s="24019"/>
      <c r="AE11" s="24141"/>
      <c r="AF11" s="24046"/>
      <c r="AG11" s="24164"/>
      <c r="AH11" s="23957"/>
      <c r="AI11" s="230"/>
      <c r="AJ11" s="351"/>
      <c r="AK11" s="249" t="s">
        <v>749</v>
      </c>
      <c r="AL11" s="1319"/>
      <c r="AM11" s="1319"/>
      <c r="AN11" s="1319"/>
      <c r="AO11" s="1319"/>
      <c r="AP11" s="1319"/>
      <c r="AQ11" s="1319"/>
      <c r="AR11" s="1319"/>
      <c r="AS11" s="1319"/>
      <c r="AT11" s="1319"/>
      <c r="AU11" s="1422"/>
      <c r="AV11" s="1319"/>
      <c r="AW11" s="1422"/>
      <c r="AX11" s="1319"/>
      <c r="AY11" s="1319"/>
      <c r="AZ11" s="1319"/>
      <c r="BA11" s="1319"/>
      <c r="BB11" s="1323"/>
      <c r="BC11" s="24112"/>
      <c r="BE11" s="436"/>
      <c r="BF11" s="436"/>
      <c r="BG11" s="436"/>
      <c r="BH11" s="436"/>
      <c r="BI11" s="1081">
        <v>0</v>
      </c>
    </row>
    <row r="12" spans="1:61" ht="11.25" hidden="1" customHeight="1">
      <c r="A12" s="1289"/>
      <c r="B12" s="1289"/>
      <c r="C12" s="1289"/>
      <c r="D12" s="1289"/>
      <c r="E12" s="24089"/>
      <c r="F12" s="24089"/>
      <c r="G12" s="24089"/>
      <c r="H12" s="24089"/>
      <c r="I12" s="24091"/>
      <c r="J12" s="24091"/>
      <c r="K12" s="24090"/>
      <c r="L12" s="1290"/>
      <c r="P12" s="24092"/>
      <c r="Q12" s="24092"/>
      <c r="R12" s="24148"/>
      <c r="S12" s="24147"/>
      <c r="T12" s="24167"/>
      <c r="U12" s="236"/>
      <c r="V12" s="1319"/>
      <c r="W12" s="1320" t="str">
        <f>Z8&amp;"-"&amp;AB8</f>
        <v>-</v>
      </c>
      <c r="X12" s="1319"/>
      <c r="Y12" s="1320" t="str">
        <f>AB8&amp;"-"&amp;AD8</f>
        <v>-да</v>
      </c>
      <c r="Z12" s="1319"/>
      <c r="AA12" s="1319"/>
      <c r="AB12" s="1319"/>
      <c r="AC12" s="1319"/>
      <c r="AD12" s="23962"/>
      <c r="AE12" s="248"/>
      <c r="AF12" s="250"/>
      <c r="AG12" s="352" t="s">
        <v>731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112"/>
      <c r="BE12" s="436"/>
      <c r="BF12" s="436" t="str">
        <f t="shared" ref="BF12:BF18" si="1">IF(T12="","",T12)</f>
        <v/>
      </c>
      <c r="BG12" s="436"/>
      <c r="BH12" s="436"/>
      <c r="BI12" s="1081">
        <v>0</v>
      </c>
    </row>
    <row r="13" spans="1:61" ht="11.25" hidden="1" customHeight="1">
      <c r="A13" s="1289"/>
      <c r="B13" s="1289"/>
      <c r="C13" s="1289"/>
      <c r="D13" s="1289"/>
      <c r="E13" s="24089"/>
      <c r="F13" s="24089"/>
      <c r="G13" s="24089"/>
      <c r="H13" s="24089"/>
      <c r="I13" s="24091"/>
      <c r="J13" s="24090"/>
      <c r="K13" s="1289"/>
      <c r="L13" s="1290"/>
      <c r="P13" s="24092"/>
      <c r="Q13" s="24092"/>
      <c r="R13" s="292"/>
      <c r="S13" s="1204"/>
      <c r="T13" s="223" t="s">
        <v>694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113"/>
      <c r="BE13" s="436"/>
      <c r="BF13" s="436" t="str">
        <f t="shared" si="1"/>
        <v>Добавить строку</v>
      </c>
      <c r="BG13" s="436"/>
      <c r="BH13" s="436"/>
      <c r="BI13" s="1081">
        <v>0</v>
      </c>
    </row>
    <row r="14" spans="1:61" s="1568" customFormat="1" ht="14.25" hidden="1" customHeight="1">
      <c r="A14" s="1269"/>
      <c r="B14" s="1269"/>
      <c r="C14" s="1269"/>
      <c r="D14" s="1269"/>
      <c r="E14" s="24089"/>
      <c r="F14" s="24089"/>
      <c r="G14" s="24089"/>
      <c r="H14" s="24089"/>
      <c r="I14" s="24090"/>
      <c r="J14" s="1269"/>
      <c r="K14" s="1269"/>
      <c r="L14" s="1272"/>
      <c r="M14" s="446"/>
      <c r="N14" s="446"/>
      <c r="O14" s="446"/>
      <c r="P14" s="2409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089"/>
      <c r="F15" s="24089"/>
      <c r="G15" s="24089"/>
      <c r="H15" s="240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089"/>
      <c r="F16" s="24089"/>
      <c r="G16" s="2408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089"/>
      <c r="F17" s="24088"/>
      <c r="G17" s="1240"/>
      <c r="H17" s="1240"/>
      <c r="I17" s="1240"/>
      <c r="J17" s="1240"/>
      <c r="K17" s="1240"/>
      <c r="L17" s="1420"/>
      <c r="M17" s="1247"/>
      <c r="N17" s="1247"/>
      <c r="P17" s="1242"/>
      <c r="Q17" s="1243"/>
      <c r="R17" s="1242"/>
      <c r="S17" s="1248"/>
      <c r="T17" s="1251" t="s">
        <v>370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088"/>
      <c r="F18" s="1269"/>
      <c r="G18" s="1269"/>
      <c r="H18" s="1269"/>
      <c r="I18" s="1269"/>
      <c r="J18" s="1269"/>
      <c r="K18" s="1269"/>
      <c r="L18" s="1272"/>
      <c r="M18" s="1247"/>
      <c r="N18" s="1247"/>
      <c r="O18" s="454"/>
      <c r="P18" s="316"/>
      <c r="Q18" s="1270"/>
      <c r="R18" s="316"/>
      <c r="S18" s="1248"/>
      <c r="T18" s="1251" t="s">
        <v>481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6</v>
      </c>
      <c r="AE20" s="1427"/>
      <c r="AF20" s="484">
        <v>1</v>
      </c>
      <c r="AG20" s="1428"/>
      <c r="AH20" s="1250" t="s">
        <v>6</v>
      </c>
      <c r="AI20" s="1427"/>
      <c r="AJ20" s="484">
        <v>1</v>
      </c>
      <c r="AK20" s="1428"/>
      <c r="AL20" s="1250" t="s">
        <v>6</v>
      </c>
      <c r="AM20" s="1429"/>
      <c r="AN20" s="484">
        <v>1</v>
      </c>
      <c r="AO20" s="1430"/>
      <c r="AP20" s="1250" t="s">
        <v>6</v>
      </c>
      <c r="AQ20" s="1429"/>
      <c r="AR20" s="484">
        <v>1</v>
      </c>
      <c r="AS20" s="1430"/>
      <c r="AT20" s="261"/>
      <c r="AU20" s="320"/>
      <c r="AV20" s="261"/>
      <c r="AW20" s="320"/>
      <c r="AX20" s="1634"/>
      <c r="AY20" s="1411" t="s">
        <v>59</v>
      </c>
      <c r="AZ20" s="1634"/>
      <c r="BA20" s="1411" t="s">
        <v>59</v>
      </c>
      <c r="BI20" s="1081">
        <v>0</v>
      </c>
    </row>
    <row r="21" spans="1:61" ht="14.25" hidden="1" customHeight="1">
      <c r="BD21" s="432"/>
      <c r="BE21" s="432"/>
      <c r="BF21" s="432"/>
      <c r="BG21" s="432"/>
      <c r="BH21" s="432"/>
      <c r="BI21" s="1081">
        <v>0</v>
      </c>
    </row>
    <row r="22" spans="1:61" ht="14.25" hidden="1" customHeight="1">
      <c r="O22" s="1293" t="s">
        <v>644</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645</v>
      </c>
      <c r="P24" s="1434"/>
      <c r="Q24" s="1436"/>
      <c r="R24" s="1436"/>
      <c r="AA24" s="1433" t="s">
        <v>647</v>
      </c>
      <c r="AC24" s="1433" t="s">
        <v>648</v>
      </c>
      <c r="AD24" s="1433" t="s">
        <v>695</v>
      </c>
      <c r="AH24" s="1433" t="s">
        <v>695</v>
      </c>
      <c r="AK24" s="1433" t="s">
        <v>732</v>
      </c>
      <c r="AL24" s="1433" t="s">
        <v>695</v>
      </c>
      <c r="AP24" s="1433" t="s">
        <v>695</v>
      </c>
      <c r="AY24" s="1433" t="s">
        <v>647</v>
      </c>
      <c r="BA24" s="1433" t="s">
        <v>648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4069"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4069"/>
      <c r="U28" s="24069"/>
      <c r="V28" s="24069"/>
      <c r="W28" s="24069"/>
      <c r="X28" s="24069"/>
      <c r="Y28" s="24069"/>
      <c r="Z28" s="24069"/>
      <c r="AA28" s="24069"/>
      <c r="AB28" s="24069"/>
      <c r="AC28" s="24069"/>
      <c r="AD28" s="24069"/>
      <c r="AE28" s="24069"/>
      <c r="AF28" s="24069"/>
      <c r="AG28" s="24069"/>
      <c r="AH28" s="24069"/>
      <c r="AI28" s="24069"/>
      <c r="AJ28" s="24069"/>
      <c r="AK28" s="24069"/>
      <c r="AL28" s="24069"/>
      <c r="AM28" s="24069"/>
      <c r="AN28" s="24069"/>
      <c r="AO28" s="24069"/>
      <c r="AP28" s="24069"/>
      <c r="AQ28" s="24069"/>
      <c r="AR28" s="24069"/>
      <c r="AS28" s="24069"/>
      <c r="AT28" s="24069"/>
      <c r="AU28" s="24069"/>
      <c r="AV28" s="24069"/>
      <c r="AW28" s="24069"/>
      <c r="AX28" s="24069"/>
      <c r="AY28" s="24069"/>
      <c r="AZ28" s="24069"/>
      <c r="BA28" s="1169"/>
      <c r="BI28" s="1081">
        <v>14</v>
      </c>
    </row>
    <row r="29" spans="1:61" ht="14.65" customHeight="1">
      <c r="Q29" s="227"/>
      <c r="R29" s="312"/>
      <c r="S29" s="24042" t="str">
        <f>IF(org=0,"Не определено",org)</f>
        <v>ООО "Смоленскрегионтеплоэнерго"</v>
      </c>
      <c r="T29" s="24042"/>
      <c r="U29" s="24042"/>
      <c r="V29" s="24042"/>
      <c r="W29" s="24042"/>
      <c r="X29" s="24042"/>
      <c r="Y29" s="24042"/>
      <c r="Z29" s="24042"/>
      <c r="AA29" s="24042"/>
      <c r="AB29" s="24042"/>
      <c r="AC29" s="24042"/>
      <c r="AD29" s="24042"/>
      <c r="AE29" s="24042"/>
      <c r="AF29" s="24042"/>
      <c r="AG29" s="24042"/>
      <c r="AH29" s="24042"/>
      <c r="AI29" s="24042"/>
      <c r="AJ29" s="24042"/>
      <c r="AK29" s="24042"/>
      <c r="AL29" s="24042"/>
      <c r="AM29" s="24042"/>
      <c r="AN29" s="24042"/>
      <c r="AO29" s="24042"/>
      <c r="AP29" s="24042"/>
      <c r="AQ29" s="24042"/>
      <c r="AR29" s="24042"/>
      <c r="AS29" s="24042"/>
      <c r="AT29" s="24042"/>
      <c r="AU29" s="24042"/>
      <c r="AV29" s="24042"/>
      <c r="AW29" s="24042"/>
      <c r="AX29" s="24042"/>
      <c r="AY29" s="24042"/>
      <c r="AZ29" s="2404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50" customFormat="1" ht="25.5" customHeight="1">
      <c r="A31" s="1294"/>
      <c r="B31" s="1294"/>
      <c r="C31" s="1294"/>
      <c r="D31" s="1294"/>
      <c r="E31" s="1294"/>
      <c r="F31" s="1294"/>
      <c r="G31" s="1294"/>
      <c r="H31" s="1294"/>
      <c r="I31" s="1294"/>
      <c r="J31" s="1294"/>
      <c r="K31" s="1294"/>
      <c r="L31" s="1295"/>
      <c r="M31" s="1294"/>
      <c r="N31" s="1294"/>
      <c r="O31" s="1294"/>
      <c r="P31" s="1294"/>
      <c r="Q31" s="1294"/>
      <c r="S31" s="24079" t="s">
        <v>31</v>
      </c>
      <c r="T31" s="24079"/>
      <c r="U31" s="1298"/>
      <c r="V31"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31" s="24081"/>
      <c r="X31" s="24081"/>
      <c r="Y31" s="24081"/>
      <c r="Z31" s="24081"/>
      <c r="AA31" s="24081"/>
      <c r="AB31" s="24081"/>
      <c r="AC31" s="262"/>
      <c r="AD31"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31" s="24081"/>
      <c r="AF31" s="24081"/>
      <c r="AG31" s="24081"/>
      <c r="AH31" s="24081"/>
      <c r="AI31" s="24081"/>
      <c r="AJ31" s="24081"/>
      <c r="AK31" s="24081"/>
      <c r="AL31" s="24081"/>
      <c r="AM31" s="24081"/>
      <c r="AN31" s="24081"/>
      <c r="AO31" s="24081"/>
      <c r="AP31" s="24081"/>
      <c r="AQ31" s="24081"/>
      <c r="AR31" s="24081"/>
      <c r="AS31" s="24081"/>
      <c r="AT31" s="24081"/>
      <c r="AU31" s="24081"/>
      <c r="AV31" s="24081"/>
      <c r="AW31" s="24081"/>
      <c r="AX31" s="24081"/>
      <c r="AY31" s="24081"/>
      <c r="AZ31" s="24081"/>
      <c r="BA31" s="262"/>
      <c r="BB31" s="262"/>
      <c r="BC31" s="216"/>
      <c r="BD31" s="304"/>
      <c r="BE31" s="304"/>
      <c r="BF31" s="304"/>
      <c r="BG31" s="304"/>
      <c r="BH31" s="304"/>
      <c r="BI31" s="354">
        <v>0</v>
      </c>
    </row>
    <row r="32" spans="1:61" s="1750" customFormat="1" ht="18.75" customHeight="1">
      <c r="A32" s="1294"/>
      <c r="B32" s="1294"/>
      <c r="C32" s="1294"/>
      <c r="D32" s="1294"/>
      <c r="E32" s="1294"/>
      <c r="F32" s="1294"/>
      <c r="G32" s="1294"/>
      <c r="H32" s="1294"/>
      <c r="I32" s="1294"/>
      <c r="J32" s="1294"/>
      <c r="K32" s="1294"/>
      <c r="L32" s="1295"/>
      <c r="M32" s="1294"/>
      <c r="N32" s="1294"/>
      <c r="O32" s="1294"/>
      <c r="P32" s="1294"/>
      <c r="Q32" s="1294"/>
      <c r="S32" s="24079" t="s">
        <v>650</v>
      </c>
      <c r="T32" s="24079"/>
      <c r="U32" s="1298"/>
      <c r="V32" s="24080" t="str">
        <f>IF(TITLE_DATE_PR_CHANGE="",IF(TITLE_DATE_PR="","",TITLE_DATE_PR),TITLE_DATE_PR_CHANGE)</f>
        <v>20.12.2024</v>
      </c>
      <c r="W32" s="24080"/>
      <c r="X32" s="24080"/>
      <c r="Y32" s="24080"/>
      <c r="Z32" s="24080"/>
      <c r="AA32" s="24080"/>
      <c r="AB32" s="24080"/>
      <c r="AC32" s="262"/>
      <c r="AD32" s="24080" t="str">
        <f>IF(TITLE_DATE_PR_CHANGE="",IF(TITLE_DATE_PR="","",TITLE_DATE_PR),TITLE_DATE_PR_CHANGE)</f>
        <v>20.12.2024</v>
      </c>
      <c r="AE32" s="24080"/>
      <c r="AF32" s="24080"/>
      <c r="AG32" s="24080"/>
      <c r="AH32" s="24080"/>
      <c r="AI32" s="24080"/>
      <c r="AJ32" s="24080"/>
      <c r="AK32" s="24080"/>
      <c r="AL32" s="24080"/>
      <c r="AM32" s="24080"/>
      <c r="AN32" s="24080"/>
      <c r="AO32" s="24080"/>
      <c r="AP32" s="24080"/>
      <c r="AQ32" s="24080"/>
      <c r="AR32" s="24080"/>
      <c r="AS32" s="24080"/>
      <c r="AT32" s="24080"/>
      <c r="AU32" s="24080"/>
      <c r="AV32" s="24080"/>
      <c r="AW32" s="24080"/>
      <c r="AX32" s="24080"/>
      <c r="AY32" s="24080"/>
      <c r="AZ32" s="24080"/>
      <c r="BA32" s="262"/>
      <c r="BB32" s="262"/>
      <c r="BC32" s="216"/>
      <c r="BD32" s="304"/>
      <c r="BE32" s="304"/>
      <c r="BF32" s="304"/>
      <c r="BG32" s="304"/>
      <c r="BH32" s="304"/>
      <c r="BI32" s="354">
        <v>0</v>
      </c>
    </row>
    <row r="33" spans="1:61" s="1750" customFormat="1" ht="18.75" customHeight="1">
      <c r="A33" s="1294"/>
      <c r="B33" s="1294"/>
      <c r="C33" s="1294"/>
      <c r="D33" s="1294"/>
      <c r="E33" s="1294"/>
      <c r="F33" s="1294"/>
      <c r="G33" s="1294"/>
      <c r="H33" s="1294"/>
      <c r="I33" s="1294"/>
      <c r="J33" s="1294"/>
      <c r="K33" s="1294"/>
      <c r="L33" s="1295"/>
      <c r="M33" s="1294"/>
      <c r="N33" s="1294"/>
      <c r="O33" s="1294"/>
      <c r="P33" s="1294"/>
      <c r="Q33" s="1294"/>
      <c r="S33" s="24079" t="s">
        <v>651</v>
      </c>
      <c r="T33" s="24079"/>
      <c r="U33" s="1298"/>
      <c r="V33" s="24081" t="str">
        <f>IF(TITLE_NUMBER_PR_CHANGE="",IF(TITLE_NUMBER_PR="","",TITLE_NUMBER_PR),TITLE_NUMBER_PR_CHANGE)</f>
        <v>403, 404</v>
      </c>
      <c r="W33" s="24081"/>
      <c r="X33" s="24081"/>
      <c r="Y33" s="24081"/>
      <c r="Z33" s="24081"/>
      <c r="AA33" s="24081"/>
      <c r="AB33" s="24081"/>
      <c r="AC33" s="262"/>
      <c r="AD33" s="24081" t="str">
        <f>IF(TITLE_NUMBER_PR_CHANGE="",IF(TITLE_NUMBER_PR="","",TITLE_NUMBER_PR),TITLE_NUMBER_PR_CHANGE)</f>
        <v>403, 404</v>
      </c>
      <c r="AE33" s="24081"/>
      <c r="AF33" s="24081"/>
      <c r="AG33" s="24081"/>
      <c r="AH33" s="24081"/>
      <c r="AI33" s="24081"/>
      <c r="AJ33" s="24081"/>
      <c r="AK33" s="24081"/>
      <c r="AL33" s="24081"/>
      <c r="AM33" s="24081"/>
      <c r="AN33" s="24081"/>
      <c r="AO33" s="24081"/>
      <c r="AP33" s="24081"/>
      <c r="AQ33" s="24081"/>
      <c r="AR33" s="24081"/>
      <c r="AS33" s="24081"/>
      <c r="AT33" s="24081"/>
      <c r="AU33" s="24081"/>
      <c r="AV33" s="24081"/>
      <c r="AW33" s="24081"/>
      <c r="AX33" s="24081"/>
      <c r="AY33" s="24081"/>
      <c r="AZ33" s="24081"/>
      <c r="BA33" s="262"/>
      <c r="BB33" s="262"/>
      <c r="BC33" s="216"/>
      <c r="BD33" s="304"/>
      <c r="BE33" s="304"/>
      <c r="BF33" s="304"/>
      <c r="BG33" s="304"/>
      <c r="BH33" s="304"/>
      <c r="BI33" s="354">
        <v>0</v>
      </c>
    </row>
    <row r="34" spans="1:61" s="1750" customFormat="1" ht="18.75" customHeight="1">
      <c r="A34" s="1294"/>
      <c r="B34" s="1294"/>
      <c r="C34" s="1294"/>
      <c r="D34" s="1294"/>
      <c r="E34" s="1294"/>
      <c r="F34" s="1294"/>
      <c r="G34" s="1294"/>
      <c r="H34" s="1294"/>
      <c r="I34" s="1294"/>
      <c r="J34" s="1294"/>
      <c r="K34" s="1294"/>
      <c r="L34" s="1295"/>
      <c r="M34" s="1294"/>
      <c r="N34" s="1294"/>
      <c r="O34" s="1294"/>
      <c r="P34" s="1294"/>
      <c r="Q34" s="1294"/>
      <c r="S34" s="24079" t="s">
        <v>33</v>
      </c>
      <c r="T34" s="24079"/>
      <c r="U34" s="1298"/>
      <c r="V34" s="24081" t="str">
        <f>IF(TITLE_IST_PUB_CHANGE="",IF(TITLE_IST_PUB="","",TITLE_IST_PUB),TITLE_IST_PUB_CHANGE)</f>
        <v>Смоленская газета</v>
      </c>
      <c r="W34" s="24081"/>
      <c r="X34" s="24081"/>
      <c r="Y34" s="24081"/>
      <c r="Z34" s="24081"/>
      <c r="AA34" s="24081"/>
      <c r="AB34" s="24081"/>
      <c r="AC34" s="262"/>
      <c r="AD34" s="24081" t="str">
        <f>IF(TITLE_IST_PUB_CHANGE="",IF(TITLE_IST_PUB="","",TITLE_IST_PUB),TITLE_IST_PUB_CHANGE)</f>
        <v>Смоленская газета</v>
      </c>
      <c r="AE34" s="24081"/>
      <c r="AF34" s="24081"/>
      <c r="AG34" s="24081"/>
      <c r="AH34" s="24081"/>
      <c r="AI34" s="24081"/>
      <c r="AJ34" s="24081"/>
      <c r="AK34" s="24081"/>
      <c r="AL34" s="24081"/>
      <c r="AM34" s="24081"/>
      <c r="AN34" s="24081"/>
      <c r="AO34" s="24081"/>
      <c r="AP34" s="24081"/>
      <c r="AQ34" s="24081"/>
      <c r="AR34" s="24081"/>
      <c r="AS34" s="24081"/>
      <c r="AT34" s="24081"/>
      <c r="AU34" s="24081"/>
      <c r="AV34" s="24081"/>
      <c r="AW34" s="24081"/>
      <c r="AX34" s="24081"/>
      <c r="AY34" s="24081"/>
      <c r="AZ34" s="24081"/>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4079" t="s">
        <v>650</v>
      </c>
      <c r="T36" s="24079"/>
      <c r="U36" s="1298"/>
      <c r="V36" s="24080" t="str">
        <f>IF(TITLE_DATE_PR_CHANGE="",IF(TITLE_DATE_PR="","",TITLE_DATE_PR),TITLE_DATE_PR_CHANGE)</f>
        <v>20.12.2024</v>
      </c>
      <c r="W36" s="24080"/>
      <c r="X36" s="24080"/>
      <c r="Y36" s="24080"/>
      <c r="Z36" s="24080"/>
      <c r="AA36" s="24080"/>
      <c r="AB36" s="24080"/>
      <c r="AC36" s="262"/>
      <c r="AD36" s="24080" t="str">
        <f>IF(TITLE_DATE_PR_CHANGE="",IF(TITLE_DATE_PR="","",TITLE_DATE_PR),TITLE_DATE_PR_CHANGE)</f>
        <v>20.12.2024</v>
      </c>
      <c r="AE36" s="24080"/>
      <c r="AF36" s="24080"/>
      <c r="AG36" s="24080"/>
      <c r="AH36" s="24080"/>
      <c r="AI36" s="24080"/>
      <c r="AJ36" s="24080"/>
      <c r="AK36" s="24080"/>
      <c r="AL36" s="24080"/>
      <c r="AM36" s="24080"/>
      <c r="AN36" s="24080"/>
      <c r="AO36" s="24080"/>
      <c r="AP36" s="24080"/>
      <c r="AQ36" s="24080"/>
      <c r="AR36" s="24080"/>
      <c r="AS36" s="24080"/>
      <c r="AT36" s="24080"/>
      <c r="AU36" s="24080"/>
      <c r="AV36" s="24080"/>
      <c r="AW36" s="24080"/>
      <c r="AX36" s="24080"/>
      <c r="AY36" s="24080"/>
      <c r="AZ36" s="24080"/>
      <c r="BA36" s="262"/>
      <c r="BB36" s="262"/>
      <c r="BC36" s="216"/>
      <c r="BD36" s="304"/>
      <c r="BE36" s="304"/>
      <c r="BF36" s="304"/>
      <c r="BG36" s="304"/>
      <c r="BH36" s="304"/>
      <c r="BI36" s="354">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4079" t="s">
        <v>651</v>
      </c>
      <c r="T37" s="24079"/>
      <c r="U37" s="1298"/>
      <c r="V37" s="24081" t="str">
        <f>IF(TITLE_NUMBER_PR_CHANGE="",IF(TITLE_NUMBER_PR="","",TITLE_NUMBER_PR),TITLE_NUMBER_PR_CHANGE)</f>
        <v>403, 404</v>
      </c>
      <c r="W37" s="24081"/>
      <c r="X37" s="24081"/>
      <c r="Y37" s="24081"/>
      <c r="Z37" s="24081"/>
      <c r="AA37" s="24081"/>
      <c r="AB37" s="24081"/>
      <c r="AC37" s="262"/>
      <c r="AD37" s="24081" t="str">
        <f>IF(TITLE_NUMBER_PR_CHANGE="",IF(TITLE_NUMBER_PR="","",TITLE_NUMBER_PR),TITLE_NUMBER_PR_CHANGE)</f>
        <v>403, 404</v>
      </c>
      <c r="AE37" s="24081"/>
      <c r="AF37" s="24081"/>
      <c r="AG37" s="24081"/>
      <c r="AH37" s="24081"/>
      <c r="AI37" s="24081"/>
      <c r="AJ37" s="24081"/>
      <c r="AK37" s="24081"/>
      <c r="AL37" s="24081"/>
      <c r="AM37" s="24081"/>
      <c r="AN37" s="24081"/>
      <c r="AO37" s="24081"/>
      <c r="AP37" s="24081"/>
      <c r="AQ37" s="24081"/>
      <c r="AR37" s="24081"/>
      <c r="AS37" s="24081"/>
      <c r="AT37" s="24081"/>
      <c r="AU37" s="24081"/>
      <c r="AV37" s="24081"/>
      <c r="AW37" s="24081"/>
      <c r="AX37" s="24081"/>
      <c r="AY37" s="24081"/>
      <c r="AZ37" s="24081"/>
      <c r="BA37" s="262"/>
      <c r="BB37" s="262"/>
      <c r="BC37" s="216"/>
      <c r="BD37" s="304"/>
      <c r="BE37" s="304"/>
      <c r="BF37" s="304"/>
      <c r="BG37" s="304"/>
      <c r="BH37" s="304"/>
      <c r="BI37" s="354">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654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654</v>
      </c>
      <c r="BD38" s="304"/>
      <c r="BE38" s="304"/>
      <c r="BF38" s="304"/>
      <c r="BG38" s="304"/>
      <c r="BH38" s="304"/>
      <c r="BI38" s="354">
        <v>0</v>
      </c>
    </row>
    <row r="39" spans="1:61" ht="14.65" customHeight="1">
      <c r="Q39" s="227"/>
      <c r="R39" s="312"/>
      <c r="S39" s="1201"/>
      <c r="T39" s="299"/>
      <c r="U39" s="1170"/>
      <c r="V39" s="24100"/>
      <c r="W39" s="24100"/>
      <c r="X39" s="24100"/>
      <c r="Y39" s="24100"/>
      <c r="Z39" s="24100"/>
      <c r="AA39" s="24100"/>
      <c r="AB39" s="24100"/>
      <c r="AC39" s="24100"/>
      <c r="AD39" s="24100"/>
      <c r="AE39" s="24100"/>
      <c r="AF39" s="24100"/>
      <c r="AG39" s="24100"/>
      <c r="AH39" s="24100"/>
      <c r="AI39" s="24100"/>
      <c r="AJ39" s="24100"/>
      <c r="AK39" s="24100"/>
      <c r="AL39" s="24100"/>
      <c r="AM39" s="24100"/>
      <c r="AN39" s="24100"/>
      <c r="AO39" s="24100"/>
      <c r="AP39" s="24100"/>
      <c r="AQ39" s="24100"/>
      <c r="AR39" s="24100"/>
      <c r="AS39" s="24100"/>
      <c r="AT39" s="24100"/>
      <c r="AU39" s="24100"/>
      <c r="AV39" s="24100"/>
      <c r="AW39" s="24100"/>
      <c r="AX39" s="24100"/>
      <c r="AY39" s="24100"/>
      <c r="AZ39" s="24100"/>
      <c r="BA39" s="24100"/>
      <c r="BI39" s="1081">
        <v>14</v>
      </c>
    </row>
    <row r="40" spans="1:61" ht="14.65" customHeight="1">
      <c r="Q40" s="227"/>
      <c r="R40" s="312"/>
      <c r="S40" s="23947" t="s">
        <v>529</v>
      </c>
      <c r="T40" s="23947"/>
      <c r="U40" s="23947"/>
      <c r="V40" s="23947"/>
      <c r="W40" s="23947"/>
      <c r="X40" s="23947"/>
      <c r="Y40" s="23947"/>
      <c r="Z40" s="23947"/>
      <c r="AA40" s="23947"/>
      <c r="AB40" s="23947"/>
      <c r="AC40" s="23947"/>
      <c r="AD40" s="23947"/>
      <c r="AE40" s="23947"/>
      <c r="AF40" s="23947"/>
      <c r="AG40" s="23947"/>
      <c r="AH40" s="23947"/>
      <c r="AI40" s="23947"/>
      <c r="AJ40" s="23947"/>
      <c r="AK40" s="23947"/>
      <c r="AL40" s="23947"/>
      <c r="AM40" s="23947"/>
      <c r="AN40" s="23947"/>
      <c r="AO40" s="23947"/>
      <c r="AP40" s="23947"/>
      <c r="AQ40" s="23947"/>
      <c r="AR40" s="23947"/>
      <c r="AS40" s="23947"/>
      <c r="AT40" s="23947"/>
      <c r="AU40" s="23947"/>
      <c r="AV40" s="23947"/>
      <c r="AW40" s="23947"/>
      <c r="AX40" s="23947"/>
      <c r="AY40" s="23947"/>
      <c r="AZ40" s="23947"/>
      <c r="BA40" s="23947"/>
      <c r="BB40" s="23947"/>
      <c r="BC40" s="23947" t="s">
        <v>530</v>
      </c>
      <c r="BI40" s="1081">
        <v>14</v>
      </c>
    </row>
    <row r="41" spans="1:61" ht="14.65" customHeight="1">
      <c r="Q41" s="227"/>
      <c r="R41" s="312"/>
      <c r="S41" s="24101" t="s">
        <v>79</v>
      </c>
      <c r="T41" s="24050" t="s">
        <v>733</v>
      </c>
      <c r="U41" s="237"/>
      <c r="V41" s="24102" t="s">
        <v>656</v>
      </c>
      <c r="W41" s="24103"/>
      <c r="X41" s="24103"/>
      <c r="Y41" s="24103"/>
      <c r="Z41" s="24103"/>
      <c r="AA41" s="24103"/>
      <c r="AB41" s="24104"/>
      <c r="AC41" s="24105" t="s">
        <v>657</v>
      </c>
      <c r="AD41" s="24134" t="s">
        <v>750</v>
      </c>
      <c r="AE41" s="24118"/>
      <c r="AF41" s="24118"/>
      <c r="AG41" s="24135"/>
      <c r="AH41" s="24134" t="s">
        <v>751</v>
      </c>
      <c r="AI41" s="24118"/>
      <c r="AJ41" s="24118"/>
      <c r="AK41" s="24135"/>
      <c r="AL41" s="24134" t="s">
        <v>752</v>
      </c>
      <c r="AM41" s="24118"/>
      <c r="AN41" s="24118"/>
      <c r="AO41" s="24135"/>
      <c r="AP41" s="24134" t="s">
        <v>737</v>
      </c>
      <c r="AQ41" s="24118"/>
      <c r="AR41" s="24118"/>
      <c r="AS41" s="24135"/>
      <c r="AT41" s="24102" t="s">
        <v>656</v>
      </c>
      <c r="AU41" s="24103"/>
      <c r="AV41" s="24103"/>
      <c r="AW41" s="24103"/>
      <c r="AX41" s="24103"/>
      <c r="AY41" s="24103"/>
      <c r="AZ41" s="24104"/>
      <c r="BA41" s="24105" t="s">
        <v>657</v>
      </c>
      <c r="BB41" s="24108" t="s">
        <v>659</v>
      </c>
      <c r="BC41" s="23947"/>
      <c r="BI41" s="1081">
        <v>14</v>
      </c>
    </row>
    <row r="42" spans="1:61" ht="35.65" customHeight="1">
      <c r="Q42" s="227"/>
      <c r="R42" s="312"/>
      <c r="S42" s="24101"/>
      <c r="T42" s="24050"/>
      <c r="U42" s="960"/>
      <c r="V42" s="24023" t="s">
        <v>738</v>
      </c>
      <c r="W42" s="24024"/>
      <c r="X42" s="24023" t="s">
        <v>739</v>
      </c>
      <c r="Y42" s="24024"/>
      <c r="Z42" s="24023" t="s">
        <v>740</v>
      </c>
      <c r="AA42" s="24130"/>
      <c r="AB42" s="24024"/>
      <c r="AC42" s="24106"/>
      <c r="AD42" s="24136"/>
      <c r="AE42" s="24137"/>
      <c r="AF42" s="24137"/>
      <c r="AG42" s="24149"/>
      <c r="AH42" s="24136"/>
      <c r="AI42" s="24137"/>
      <c r="AJ42" s="24137"/>
      <c r="AK42" s="24149"/>
      <c r="AL42" s="24136"/>
      <c r="AM42" s="24137"/>
      <c r="AN42" s="24137"/>
      <c r="AO42" s="24149"/>
      <c r="AP42" s="24136"/>
      <c r="AQ42" s="24137"/>
      <c r="AR42" s="24137"/>
      <c r="AS42" s="24149"/>
      <c r="AT42" s="24023" t="s">
        <v>753</v>
      </c>
      <c r="AU42" s="24024"/>
      <c r="AV42" s="24023" t="s">
        <v>754</v>
      </c>
      <c r="AW42" s="24024"/>
      <c r="AX42" s="24023" t="s">
        <v>740</v>
      </c>
      <c r="AY42" s="24130"/>
      <c r="AZ42" s="24024"/>
      <c r="BA42" s="24106"/>
      <c r="BB42" s="24109"/>
      <c r="BC42" s="23947"/>
      <c r="BI42" s="1081">
        <v>34</v>
      </c>
    </row>
    <row r="43" spans="1:61" ht="14.65" customHeight="1">
      <c r="Q43" s="227"/>
      <c r="R43" s="312"/>
      <c r="S43" s="24101"/>
      <c r="T43" s="24050"/>
      <c r="U43" s="960"/>
      <c r="V43" s="24028"/>
      <c r="W43" s="24029"/>
      <c r="X43" s="24028"/>
      <c r="Y43" s="24029"/>
      <c r="Z43" s="24028"/>
      <c r="AA43" s="24131"/>
      <c r="AB43" s="24029"/>
      <c r="AC43" s="24106"/>
      <c r="AD43" s="24136"/>
      <c r="AE43" s="24137"/>
      <c r="AF43" s="24137"/>
      <c r="AG43" s="24149"/>
      <c r="AH43" s="24136"/>
      <c r="AI43" s="24137"/>
      <c r="AJ43" s="24137"/>
      <c r="AK43" s="24149"/>
      <c r="AL43" s="24136"/>
      <c r="AM43" s="24137"/>
      <c r="AN43" s="24137"/>
      <c r="AO43" s="24149"/>
      <c r="AP43" s="24136"/>
      <c r="AQ43" s="24137"/>
      <c r="AR43" s="24137"/>
      <c r="AS43" s="24149"/>
      <c r="AT43" s="24028"/>
      <c r="AU43" s="24029"/>
      <c r="AV43" s="24028"/>
      <c r="AW43" s="24029"/>
      <c r="AX43" s="24028"/>
      <c r="AY43" s="24131"/>
      <c r="AZ43" s="24029"/>
      <c r="BA43" s="24106"/>
      <c r="BB43" s="24109"/>
      <c r="BC43" s="23947"/>
      <c r="BI43" s="1081">
        <v>14</v>
      </c>
    </row>
    <row r="44" spans="1:61" ht="14.65" customHeight="1">
      <c r="A44" s="1296"/>
      <c r="B44" s="1296" t="s">
        <v>241</v>
      </c>
      <c r="C44" s="1296" t="s">
        <v>242</v>
      </c>
      <c r="D44" s="1296" t="s">
        <v>243</v>
      </c>
      <c r="E44" s="1290" t="s">
        <v>664</v>
      </c>
      <c r="F44" s="1290" t="s">
        <v>665</v>
      </c>
      <c r="G44" s="1290" t="s">
        <v>666</v>
      </c>
      <c r="H44" s="1290" t="s">
        <v>667</v>
      </c>
      <c r="I44" s="1290" t="s">
        <v>668</v>
      </c>
      <c r="J44" s="1290" t="s">
        <v>669</v>
      </c>
      <c r="K44" s="1290" t="s">
        <v>670</v>
      </c>
      <c r="L44" s="1290" t="s">
        <v>645</v>
      </c>
      <c r="Q44" s="227"/>
      <c r="R44" s="312"/>
      <c r="S44" s="24101"/>
      <c r="T44" s="24050"/>
      <c r="U44" s="238"/>
      <c r="V44" s="1405" t="s">
        <v>704</v>
      </c>
      <c r="W44" s="1405" t="s">
        <v>705</v>
      </c>
      <c r="X44" s="1405" t="s">
        <v>704</v>
      </c>
      <c r="Y44" s="1405" t="s">
        <v>705</v>
      </c>
      <c r="Z44" s="1415" t="s">
        <v>673</v>
      </c>
      <c r="AA44" s="24055" t="s">
        <v>674</v>
      </c>
      <c r="AB44" s="24068"/>
      <c r="AC44" s="24107"/>
      <c r="AD44" s="24138"/>
      <c r="AE44" s="24139"/>
      <c r="AF44" s="24139"/>
      <c r="AG44" s="24140"/>
      <c r="AH44" s="24138"/>
      <c r="AI44" s="24139"/>
      <c r="AJ44" s="24139"/>
      <c r="AK44" s="24140"/>
      <c r="AL44" s="24138"/>
      <c r="AM44" s="24139"/>
      <c r="AN44" s="24139"/>
      <c r="AO44" s="24140"/>
      <c r="AP44" s="24138"/>
      <c r="AQ44" s="24139"/>
      <c r="AR44" s="24139"/>
      <c r="AS44" s="24140"/>
      <c r="AT44" s="1405" t="s">
        <v>704</v>
      </c>
      <c r="AU44" s="1405" t="s">
        <v>705</v>
      </c>
      <c r="AV44" s="1405" t="s">
        <v>704</v>
      </c>
      <c r="AW44" s="1405" t="s">
        <v>705</v>
      </c>
      <c r="AX44" s="1415" t="s">
        <v>673</v>
      </c>
      <c r="AY44" s="24055" t="s">
        <v>674</v>
      </c>
      <c r="AZ44" s="24068"/>
      <c r="BA44" s="24107"/>
      <c r="BB44" s="24110"/>
      <c r="BC44" s="23947"/>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218</v>
      </c>
      <c r="T45" s="1181" t="s">
        <v>95</v>
      </c>
      <c r="U45" s="1171" t="str">
        <f ca="1">OFFSET(U45,0,-1)</f>
        <v>2</v>
      </c>
      <c r="V45" s="1408">
        <f t="shared" ref="V45:AA45" ca="1" si="2">OFFSET(V45,0,-1)+1</f>
        <v>3</v>
      </c>
      <c r="W45" s="1408">
        <f t="shared" ca="1" si="2"/>
        <v>4</v>
      </c>
      <c r="X45" s="1408">
        <f t="shared" ca="1" si="2"/>
        <v>5</v>
      </c>
      <c r="Y45" s="1408">
        <f t="shared" ca="1" si="2"/>
        <v>6</v>
      </c>
      <c r="Z45" s="1408">
        <f t="shared" ca="1" si="2"/>
        <v>7</v>
      </c>
      <c r="AA45" s="24099">
        <f t="shared" ca="1" si="2"/>
        <v>8</v>
      </c>
      <c r="AB45" s="2409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099">
        <f ca="1">OFFSET(AY45,0,-1)+1</f>
        <v>3</v>
      </c>
      <c r="AZ45" s="24099"/>
      <c r="BA45" s="1408">
        <f ca="1">OFFSET(BA45,0,-2)+1</f>
        <v>4</v>
      </c>
      <c r="BB45" s="1171">
        <f ca="1">OFFSET(BB45,0,-1)</f>
        <v>4</v>
      </c>
      <c r="BC45" s="1408">
        <f ca="1">OFFSET(BC45,0,-1)+1</f>
        <v>5</v>
      </c>
      <c r="BD45" s="447"/>
      <c r="BE45" s="447"/>
      <c r="BF45" s="447"/>
      <c r="BG45" s="447"/>
      <c r="BH45" s="447"/>
      <c r="BI45" s="432">
        <v>0</v>
      </c>
    </row>
    <row r="46" spans="1:61" ht="21.95" customHeight="1">
      <c r="A46" s="1289" t="s">
        <v>505</v>
      </c>
      <c r="B46" s="1289"/>
      <c r="C46" s="1289"/>
      <c r="D46" s="1289"/>
      <c r="E46" s="24088">
        <v>1</v>
      </c>
      <c r="F46" s="1289"/>
      <c r="G46" s="1289"/>
      <c r="H46" s="1289"/>
      <c r="I46" s="1289"/>
      <c r="J46" s="1289"/>
      <c r="K46" s="1289"/>
      <c r="L46" s="1290"/>
      <c r="M46" s="1291"/>
      <c r="N46" s="1291"/>
      <c r="O46" s="1291"/>
      <c r="P46" s="1335"/>
      <c r="Q46" s="803"/>
      <c r="R46" s="291"/>
      <c r="S46" s="1419">
        <f>INDEX(PT_DIFFERENTIATION_NUM_NTAR,MATCH(A46,PT_DIFFERENTIATION_NTAR_ID,0))</f>
        <v>0</v>
      </c>
      <c r="T46" s="234" t="s">
        <v>229</v>
      </c>
      <c r="U46" s="236"/>
      <c r="V46" s="24083"/>
      <c r="W46" s="24083"/>
      <c r="X46" s="24083"/>
      <c r="Y46" s="24083"/>
      <c r="Z46" s="24083"/>
      <c r="AA46" s="24083"/>
      <c r="AB46" s="24083"/>
      <c r="AC46" s="24084"/>
      <c r="AD46" s="24082" t="str">
        <f>INDEX(PT_DIFFERENTIATION_NTAR,MATCH(A46,PT_DIFFERENTIATION_NTAR_ID,0))</f>
        <v/>
      </c>
      <c r="AE46" s="24083"/>
      <c r="AF46" s="24083"/>
      <c r="AG46" s="24083"/>
      <c r="AH46" s="24083"/>
      <c r="AI46" s="24083"/>
      <c r="AJ46" s="24083"/>
      <c r="AK46" s="24083"/>
      <c r="AL46" s="24083"/>
      <c r="AM46" s="24083"/>
      <c r="AN46" s="24083"/>
      <c r="AO46" s="24083"/>
      <c r="AP46" s="24083"/>
      <c r="AQ46" s="24083"/>
      <c r="AR46" s="24083"/>
      <c r="AS46" s="24083"/>
      <c r="AT46" s="24083"/>
      <c r="AU46" s="24083"/>
      <c r="AV46" s="24083"/>
      <c r="AW46" s="24083"/>
      <c r="AX46" s="24083"/>
      <c r="AY46" s="24083"/>
      <c r="AZ46" s="24083"/>
      <c r="BA46" s="24083"/>
      <c r="BB46" s="2408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505</v>
      </c>
      <c r="B47" s="1289" t="s">
        <v>506</v>
      </c>
      <c r="C47" s="1289"/>
      <c r="D47" s="1289"/>
      <c r="E47" s="24089"/>
      <c r="F47" s="24088">
        <v>1</v>
      </c>
      <c r="G47" s="1289"/>
      <c r="H47" s="1289"/>
      <c r="I47" s="1289"/>
      <c r="J47" s="1289"/>
      <c r="K47" s="1289"/>
      <c r="L47" s="1290"/>
      <c r="M47" s="1291"/>
      <c r="N47" s="1291"/>
      <c r="O47" s="1291"/>
      <c r="P47" s="1336"/>
      <c r="Q47" s="1337"/>
      <c r="R47" s="289"/>
      <c r="S47" s="1419" t="str">
        <f>INDEX(PT_DIFFERENTIATION_NUM_TER,MATCH(B47,PT_DIFFERENTIATION_TER_ID,0))</f>
        <v>.</v>
      </c>
      <c r="T47" s="244" t="s">
        <v>626</v>
      </c>
      <c r="U47" s="236"/>
      <c r="V47" s="24083"/>
      <c r="W47" s="24083"/>
      <c r="X47" s="24083"/>
      <c r="Y47" s="24083"/>
      <c r="Z47" s="24083"/>
      <c r="AA47" s="24083"/>
      <c r="AB47" s="24083"/>
      <c r="AC47" s="24084"/>
      <c r="AD47" s="24082" t="str">
        <f>INDEX(PT_DIFFERENTIATION_TER,MATCH(B47,PT_DIFFERENTIATION_TER_ID,0))</f>
        <v/>
      </c>
      <c r="AE47" s="24083"/>
      <c r="AF47" s="24083"/>
      <c r="AG47" s="24083"/>
      <c r="AH47" s="24083"/>
      <c r="AI47" s="24083"/>
      <c r="AJ47" s="24083"/>
      <c r="AK47" s="24083"/>
      <c r="AL47" s="24083"/>
      <c r="AM47" s="24083"/>
      <c r="AN47" s="24083"/>
      <c r="AO47" s="24083"/>
      <c r="AP47" s="24083"/>
      <c r="AQ47" s="24083"/>
      <c r="AR47" s="24083"/>
      <c r="AS47" s="24083"/>
      <c r="AT47" s="24083"/>
      <c r="AU47" s="24083"/>
      <c r="AV47" s="24083"/>
      <c r="AW47" s="24083"/>
      <c r="AX47" s="24083"/>
      <c r="AY47" s="24083"/>
      <c r="AZ47" s="24083"/>
      <c r="BA47" s="24083"/>
      <c r="BB47" s="24084"/>
      <c r="BC47" s="1184" t="s">
        <v>627</v>
      </c>
      <c r="BE47" s="436"/>
      <c r="BF47" s="436" t="str">
        <f t="shared" si="3"/>
        <v>Территория действия тарифа</v>
      </c>
      <c r="BG47" s="436"/>
      <c r="BH47" s="436"/>
      <c r="BI47" s="1081">
        <v>21</v>
      </c>
    </row>
    <row r="48" spans="1:61" ht="35.65" customHeight="1">
      <c r="A48" s="1289" t="s">
        <v>505</v>
      </c>
      <c r="B48" s="1289" t="s">
        <v>506</v>
      </c>
      <c r="C48" s="1289" t="s">
        <v>507</v>
      </c>
      <c r="D48" s="1289"/>
      <c r="E48" s="24089"/>
      <c r="F48" s="24089"/>
      <c r="G48" s="24088">
        <v>1</v>
      </c>
      <c r="H48" s="1289"/>
      <c r="I48" s="1289"/>
      <c r="J48" s="1289"/>
      <c r="K48" s="1289"/>
      <c r="L48" s="1290"/>
      <c r="M48" s="1291"/>
      <c r="N48" s="1291"/>
      <c r="O48" s="1291"/>
      <c r="P48" s="1338"/>
      <c r="Q48" s="1337"/>
      <c r="R48" s="289"/>
      <c r="S48" s="1419" t="str">
        <f>INDEX(PT_DIFFERENTIATION_NUM_CS,MATCH(C48,PT_DIFFERENTIATION_CS_ID,0))</f>
        <v>..</v>
      </c>
      <c r="T48" s="245" t="s">
        <v>742</v>
      </c>
      <c r="U48" s="236"/>
      <c r="V48" s="24083"/>
      <c r="W48" s="24083"/>
      <c r="X48" s="24083"/>
      <c r="Y48" s="24083"/>
      <c r="Z48" s="24083"/>
      <c r="AA48" s="24083"/>
      <c r="AB48" s="24083"/>
      <c r="AC48" s="24084"/>
      <c r="AD48" s="24082" t="str">
        <f>INDEX(PT_DIFFERENTIATION_CS,MATCH(C48,PT_DIFFERENTIATION_CS_ID,0))</f>
        <v/>
      </c>
      <c r="AE48" s="24083"/>
      <c r="AF48" s="24083"/>
      <c r="AG48" s="24083"/>
      <c r="AH48" s="24083"/>
      <c r="AI48" s="24083"/>
      <c r="AJ48" s="24083"/>
      <c r="AK48" s="24083"/>
      <c r="AL48" s="24083"/>
      <c r="AM48" s="24083"/>
      <c r="AN48" s="24083"/>
      <c r="AO48" s="24083"/>
      <c r="AP48" s="24083"/>
      <c r="AQ48" s="24083"/>
      <c r="AR48" s="24083"/>
      <c r="AS48" s="24083"/>
      <c r="AT48" s="24083"/>
      <c r="AU48" s="24083"/>
      <c r="AV48" s="24083"/>
      <c r="AW48" s="24083"/>
      <c r="AX48" s="24083"/>
      <c r="AY48" s="24083"/>
      <c r="AZ48" s="24083"/>
      <c r="BA48" s="24083"/>
      <c r="BB48" s="24084"/>
      <c r="BC48" s="1184" t="s">
        <v>743</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505</v>
      </c>
      <c r="B49" s="1269" t="s">
        <v>506</v>
      </c>
      <c r="C49" s="1269" t="s">
        <v>507</v>
      </c>
      <c r="D49" s="1269" t="s">
        <v>755</v>
      </c>
      <c r="E49" s="24089"/>
      <c r="F49" s="24089"/>
      <c r="G49" s="24089"/>
      <c r="H49" s="24088">
        <v>1</v>
      </c>
      <c r="I49" s="1269"/>
      <c r="J49" s="1269"/>
      <c r="K49" s="1269"/>
      <c r="L49" s="1272"/>
      <c r="M49" s="1241"/>
      <c r="N49" s="1241"/>
      <c r="O49" s="1241"/>
      <c r="P49" s="1423"/>
      <c r="Q49" s="1424"/>
      <c r="R49" s="293"/>
      <c r="S49" s="971"/>
      <c r="T49" s="1425"/>
      <c r="U49" s="1310"/>
      <c r="V49" s="24120"/>
      <c r="W49" s="24120"/>
      <c r="X49" s="24120"/>
      <c r="Y49" s="24120"/>
      <c r="Z49" s="24120"/>
      <c r="AA49" s="24120"/>
      <c r="AB49" s="24120"/>
      <c r="AC49" s="24121"/>
      <c r="AD49" s="24119"/>
      <c r="AE49" s="24120"/>
      <c r="AF49" s="24120"/>
      <c r="AG49" s="24120"/>
      <c r="AH49" s="24120"/>
      <c r="AI49" s="24120"/>
      <c r="AJ49" s="24120"/>
      <c r="AK49" s="24120"/>
      <c r="AL49" s="24120"/>
      <c r="AM49" s="24120"/>
      <c r="AN49" s="24120"/>
      <c r="AO49" s="24120"/>
      <c r="AP49" s="24120"/>
      <c r="AQ49" s="24120"/>
      <c r="AR49" s="24120"/>
      <c r="AS49" s="24120"/>
      <c r="AT49" s="24120"/>
      <c r="AU49" s="24120"/>
      <c r="AV49" s="24120"/>
      <c r="AW49" s="24120"/>
      <c r="AX49" s="24120"/>
      <c r="AY49" s="24120"/>
      <c r="AZ49" s="24120"/>
      <c r="BA49" s="24120"/>
      <c r="BB49" s="24121"/>
      <c r="BC49" s="1311" t="s">
        <v>631</v>
      </c>
      <c r="BE49" s="436"/>
      <c r="BF49" s="436" t="str">
        <f t="shared" si="3"/>
        <v/>
      </c>
      <c r="BG49" s="436"/>
      <c r="BH49" s="436"/>
      <c r="BI49" s="447">
        <v>0</v>
      </c>
    </row>
    <row r="50" spans="1:61" s="1568" customFormat="1" ht="0" hidden="1" customHeight="1">
      <c r="A50" s="1269" t="s">
        <v>505</v>
      </c>
      <c r="B50" s="1269" t="s">
        <v>506</v>
      </c>
      <c r="C50" s="1269" t="s">
        <v>507</v>
      </c>
      <c r="D50" s="1269" t="s">
        <v>755</v>
      </c>
      <c r="E50" s="24089"/>
      <c r="F50" s="24089"/>
      <c r="G50" s="24089"/>
      <c r="H50" s="24089"/>
      <c r="I50" s="24090" t="str">
        <f>S49&amp;".1"</f>
        <v>.1</v>
      </c>
      <c r="J50" s="1269"/>
      <c r="K50" s="1269"/>
      <c r="L50" s="1272" t="s">
        <v>632</v>
      </c>
      <c r="M50" s="446"/>
      <c r="N50" s="446"/>
      <c r="O50" s="446"/>
      <c r="P50" s="24092">
        <v>1</v>
      </c>
      <c r="Q50" s="1407"/>
      <c r="R50" s="292"/>
      <c r="S50" s="971"/>
      <c r="T50" s="1309"/>
      <c r="U50" s="1310"/>
      <c r="V50" s="24120"/>
      <c r="W50" s="24120"/>
      <c r="X50" s="24120"/>
      <c r="Y50" s="24120"/>
      <c r="Z50" s="24120"/>
      <c r="AA50" s="24120"/>
      <c r="AB50" s="24120"/>
      <c r="AC50" s="24121"/>
      <c r="AD50" s="24119"/>
      <c r="AE50" s="24120"/>
      <c r="AF50" s="24120"/>
      <c r="AG50" s="24120"/>
      <c r="AH50" s="24120"/>
      <c r="AI50" s="24120"/>
      <c r="AJ50" s="24120"/>
      <c r="AK50" s="24120"/>
      <c r="AL50" s="24120"/>
      <c r="AM50" s="24120"/>
      <c r="AN50" s="24120"/>
      <c r="AO50" s="24120"/>
      <c r="AP50" s="24120"/>
      <c r="AQ50" s="24120"/>
      <c r="AR50" s="24120"/>
      <c r="AS50" s="24120"/>
      <c r="AT50" s="24120"/>
      <c r="AU50" s="24120"/>
      <c r="AV50" s="24120"/>
      <c r="AW50" s="24120"/>
      <c r="AX50" s="24120"/>
      <c r="AY50" s="24120"/>
      <c r="AZ50" s="24120"/>
      <c r="BA50" s="24120"/>
      <c r="BB50" s="24121"/>
      <c r="BC50" s="1311"/>
      <c r="BE50" s="436"/>
      <c r="BF50" s="436" t="str">
        <f t="shared" si="3"/>
        <v/>
      </c>
      <c r="BG50" s="436"/>
      <c r="BH50" s="436"/>
      <c r="BI50" s="447">
        <v>0</v>
      </c>
    </row>
    <row r="51" spans="1:61" s="1568" customFormat="1" ht="0" hidden="1" customHeight="1">
      <c r="A51" s="1269" t="s">
        <v>505</v>
      </c>
      <c r="B51" s="1269" t="s">
        <v>506</v>
      </c>
      <c r="C51" s="1269" t="s">
        <v>507</v>
      </c>
      <c r="D51" s="1269" t="s">
        <v>755</v>
      </c>
      <c r="E51" s="24089"/>
      <c r="F51" s="24089"/>
      <c r="G51" s="24089"/>
      <c r="H51" s="24089"/>
      <c r="I51" s="24091"/>
      <c r="J51" s="24090" t="str">
        <f>S49&amp;".1"</f>
        <v>.1</v>
      </c>
      <c r="K51" s="1269"/>
      <c r="L51" s="1272"/>
      <c r="M51" s="446"/>
      <c r="N51" s="446"/>
      <c r="O51" s="446"/>
      <c r="P51" s="24092"/>
      <c r="Q51" s="24092">
        <v>1</v>
      </c>
      <c r="R51" s="293"/>
      <c r="S51" s="971"/>
      <c r="T51" s="1325"/>
      <c r="U51" s="1310"/>
      <c r="V51" s="24120"/>
      <c r="W51" s="24120"/>
      <c r="X51" s="24120"/>
      <c r="Y51" s="24120"/>
      <c r="Z51" s="24120"/>
      <c r="AA51" s="24120"/>
      <c r="AB51" s="24120"/>
      <c r="AC51" s="24121"/>
      <c r="AD51" s="24119"/>
      <c r="AE51" s="24120"/>
      <c r="AF51" s="24120"/>
      <c r="AG51" s="24120"/>
      <c r="AH51" s="24120"/>
      <c r="AI51" s="24120"/>
      <c r="AJ51" s="24120"/>
      <c r="AK51" s="24120"/>
      <c r="AL51" s="24120"/>
      <c r="AM51" s="24120"/>
      <c r="AN51" s="24171"/>
      <c r="AO51" s="24171"/>
      <c r="AP51" s="24120"/>
      <c r="AQ51" s="24120"/>
      <c r="AR51" s="24120"/>
      <c r="AS51" s="24120"/>
      <c r="AT51" s="24120"/>
      <c r="AU51" s="24120"/>
      <c r="AV51" s="24120"/>
      <c r="AW51" s="24120"/>
      <c r="AX51" s="24120"/>
      <c r="AY51" s="24120"/>
      <c r="AZ51" s="24120"/>
      <c r="BA51" s="24120"/>
      <c r="BB51" s="24121"/>
      <c r="BC51" s="1311"/>
      <c r="BE51" s="436"/>
      <c r="BF51" s="436" t="str">
        <f t="shared" si="3"/>
        <v/>
      </c>
      <c r="BG51" s="436"/>
      <c r="BH51" s="436"/>
      <c r="BI51" s="447">
        <v>0</v>
      </c>
    </row>
    <row r="52" spans="1:61" ht="11.45" customHeight="1">
      <c r="A52" s="1289" t="s">
        <v>505</v>
      </c>
      <c r="B52" s="1289" t="s">
        <v>506</v>
      </c>
      <c r="C52" s="1289" t="s">
        <v>507</v>
      </c>
      <c r="D52" s="1289" t="s">
        <v>755</v>
      </c>
      <c r="E52" s="24089"/>
      <c r="F52" s="24089"/>
      <c r="G52" s="24089"/>
      <c r="H52" s="24089"/>
      <c r="I52" s="24091"/>
      <c r="J52" s="24091"/>
      <c r="K52" s="24090" t="str">
        <f>S48&amp;".1"</f>
        <v>...1</v>
      </c>
      <c r="L52" s="1290"/>
      <c r="P52" s="24092"/>
      <c r="Q52" s="24092"/>
      <c r="R52" s="293">
        <v>1</v>
      </c>
      <c r="S52" s="24145" t="str">
        <f>$K52</f>
        <v>...1</v>
      </c>
      <c r="T52" s="24165"/>
      <c r="U52" s="236"/>
      <c r="V52" s="687"/>
      <c r="W52" s="1183"/>
      <c r="X52" s="687"/>
      <c r="Y52" s="1183"/>
      <c r="Z52" s="1632"/>
      <c r="AA52" s="1395" t="s">
        <v>59</v>
      </c>
      <c r="AB52" s="1632"/>
      <c r="AC52" s="1395" t="s">
        <v>59</v>
      </c>
      <c r="AD52" s="24018" t="s">
        <v>59</v>
      </c>
      <c r="AE52" s="24141"/>
      <c r="AF52" s="24046">
        <v>1</v>
      </c>
      <c r="AG52" s="24164"/>
      <c r="AH52" s="23957" t="s">
        <v>59</v>
      </c>
      <c r="AI52" s="24141"/>
      <c r="AJ52" s="24046">
        <v>1</v>
      </c>
      <c r="AK52" s="24155" t="s">
        <v>17</v>
      </c>
      <c r="AL52" s="23957" t="s">
        <v>59</v>
      </c>
      <c r="AM52" s="24023"/>
      <c r="AN52" s="24046">
        <v>1</v>
      </c>
      <c r="AO52" s="24168"/>
      <c r="AP52" s="24169" t="s">
        <v>59</v>
      </c>
      <c r="AQ52" s="247"/>
      <c r="AR52" s="1412">
        <v>1</v>
      </c>
      <c r="AS52" s="1418" t="s">
        <v>17</v>
      </c>
      <c r="AT52" s="687"/>
      <c r="AU52" s="1183"/>
      <c r="AV52" s="687"/>
      <c r="AW52" s="1183"/>
      <c r="AX52" s="1632"/>
      <c r="AY52" s="1395" t="s">
        <v>59</v>
      </c>
      <c r="AZ52" s="1632"/>
      <c r="BA52" s="1395" t="s">
        <v>59</v>
      </c>
      <c r="BB52" s="1274"/>
      <c r="BC52" s="24111" t="s">
        <v>727</v>
      </c>
      <c r="BE52" s="436"/>
      <c r="BF52" s="436" t="str">
        <f t="shared" si="3"/>
        <v/>
      </c>
      <c r="BG52" s="436"/>
      <c r="BH52" s="436"/>
      <c r="BI52" s="1081">
        <v>11</v>
      </c>
    </row>
    <row r="53" spans="1:61" ht="11.45" customHeight="1">
      <c r="A53" s="1289"/>
      <c r="B53" s="1289"/>
      <c r="C53" s="1289"/>
      <c r="D53" s="1289"/>
      <c r="E53" s="24089"/>
      <c r="F53" s="24089"/>
      <c r="G53" s="24089"/>
      <c r="H53" s="24089"/>
      <c r="I53" s="24091"/>
      <c r="J53" s="24091"/>
      <c r="K53" s="24090"/>
      <c r="L53" s="1290"/>
      <c r="P53" s="24092"/>
      <c r="Q53" s="24092"/>
      <c r="R53" s="293"/>
      <c r="S53" s="24146"/>
      <c r="T53" s="24166"/>
      <c r="U53" s="236"/>
      <c r="V53" s="1319"/>
      <c r="W53" s="1422"/>
      <c r="X53" s="1319"/>
      <c r="Y53" s="1422"/>
      <c r="Z53" s="1319"/>
      <c r="AA53" s="1319"/>
      <c r="AB53" s="1319"/>
      <c r="AC53" s="1319"/>
      <c r="AD53" s="24019"/>
      <c r="AE53" s="24141"/>
      <c r="AF53" s="24046"/>
      <c r="AG53" s="24164"/>
      <c r="AH53" s="23957"/>
      <c r="AI53" s="24141"/>
      <c r="AJ53" s="24046"/>
      <c r="AK53" s="24155"/>
      <c r="AL53" s="23957"/>
      <c r="AM53" s="24028"/>
      <c r="AN53" s="24046"/>
      <c r="AO53" s="24168"/>
      <c r="AP53" s="24170"/>
      <c r="AQ53" s="252"/>
      <c r="AR53" s="352"/>
      <c r="AS53" s="352" t="s">
        <v>728</v>
      </c>
      <c r="AT53" s="1319"/>
      <c r="AU53" s="1422"/>
      <c r="AV53" s="1319"/>
      <c r="AW53" s="1422"/>
      <c r="AX53" s="1319"/>
      <c r="AY53" s="1319"/>
      <c r="AZ53" s="1319"/>
      <c r="BA53" s="1319"/>
      <c r="BB53" s="1323"/>
      <c r="BC53" s="24112"/>
      <c r="BE53" s="436"/>
      <c r="BF53" s="436"/>
      <c r="BG53" s="436"/>
      <c r="BH53" s="436"/>
      <c r="BI53" s="1081">
        <v>11</v>
      </c>
    </row>
    <row r="54" spans="1:61" ht="11.45" customHeight="1">
      <c r="A54" s="1289" t="s">
        <v>505</v>
      </c>
      <c r="B54" s="1289"/>
      <c r="C54" s="1289"/>
      <c r="D54" s="1289"/>
      <c r="E54" s="24089"/>
      <c r="F54" s="24089"/>
      <c r="G54" s="24089"/>
      <c r="H54" s="24089"/>
      <c r="I54" s="24091"/>
      <c r="J54" s="24091"/>
      <c r="K54" s="24090"/>
      <c r="L54" s="1290"/>
      <c r="P54" s="24092"/>
      <c r="Q54" s="24092"/>
      <c r="R54" s="293"/>
      <c r="S54" s="24146"/>
      <c r="T54" s="24166"/>
      <c r="U54" s="236"/>
      <c r="V54" s="1319"/>
      <c r="W54" s="1422"/>
      <c r="X54" s="1319"/>
      <c r="Y54" s="1422"/>
      <c r="Z54" s="1319"/>
      <c r="AA54" s="1319"/>
      <c r="AB54" s="1319"/>
      <c r="AC54" s="1319"/>
      <c r="AD54" s="24019"/>
      <c r="AE54" s="24141"/>
      <c r="AF54" s="24046"/>
      <c r="AG54" s="24164"/>
      <c r="AH54" s="23957"/>
      <c r="AI54" s="24141"/>
      <c r="AJ54" s="24046"/>
      <c r="AK54" s="24155"/>
      <c r="AL54" s="23957"/>
      <c r="AM54" s="252"/>
      <c r="AN54" s="1426"/>
      <c r="AO54" s="1426" t="s">
        <v>748</v>
      </c>
      <c r="AP54" s="352"/>
      <c r="AQ54" s="352"/>
      <c r="AR54" s="352"/>
      <c r="AS54" s="1319"/>
      <c r="AT54" s="1319"/>
      <c r="AU54" s="1422"/>
      <c r="AV54" s="1319"/>
      <c r="AW54" s="1422"/>
      <c r="AX54" s="1319"/>
      <c r="AY54" s="1319"/>
      <c r="AZ54" s="1319"/>
      <c r="BA54" s="1319"/>
      <c r="BB54" s="1323"/>
      <c r="BC54" s="24112"/>
      <c r="BE54" s="436"/>
      <c r="BF54" s="436"/>
      <c r="BG54" s="436"/>
      <c r="BH54" s="436"/>
      <c r="BI54" s="1081">
        <v>11</v>
      </c>
    </row>
    <row r="55" spans="1:61" ht="11.45" customHeight="1">
      <c r="A55" s="1289" t="s">
        <v>505</v>
      </c>
      <c r="B55" s="1289"/>
      <c r="C55" s="1289"/>
      <c r="D55" s="1289"/>
      <c r="E55" s="24089"/>
      <c r="F55" s="24089"/>
      <c r="G55" s="24089"/>
      <c r="H55" s="24089"/>
      <c r="I55" s="24091"/>
      <c r="J55" s="24091"/>
      <c r="K55" s="24090"/>
      <c r="L55" s="1290"/>
      <c r="P55" s="24092"/>
      <c r="Q55" s="24092"/>
      <c r="R55" s="293"/>
      <c r="S55" s="24146"/>
      <c r="T55" s="24166"/>
      <c r="U55" s="236"/>
      <c r="V55" s="1319"/>
      <c r="W55" s="1422"/>
      <c r="X55" s="1319"/>
      <c r="Y55" s="1422"/>
      <c r="Z55" s="1319"/>
      <c r="AA55" s="1319"/>
      <c r="AB55" s="1319"/>
      <c r="AC55" s="1319"/>
      <c r="AD55" s="24019"/>
      <c r="AE55" s="24141"/>
      <c r="AF55" s="24046"/>
      <c r="AG55" s="24164"/>
      <c r="AH55" s="23957"/>
      <c r="AI55" s="230"/>
      <c r="AJ55" s="351"/>
      <c r="AK55" s="249" t="s">
        <v>749</v>
      </c>
      <c r="AL55" s="1319"/>
      <c r="AM55" s="1319"/>
      <c r="AN55" s="1319"/>
      <c r="AO55" s="1319"/>
      <c r="AP55" s="1319"/>
      <c r="AQ55" s="1319"/>
      <c r="AR55" s="1319"/>
      <c r="AS55" s="1319"/>
      <c r="AT55" s="1319"/>
      <c r="AU55" s="1422"/>
      <c r="AV55" s="1319"/>
      <c r="AW55" s="1422"/>
      <c r="AX55" s="1319"/>
      <c r="AY55" s="1319"/>
      <c r="AZ55" s="1319"/>
      <c r="BA55" s="1319"/>
      <c r="BB55" s="1323"/>
      <c r="BC55" s="24112"/>
      <c r="BE55" s="436"/>
      <c r="BF55" s="436"/>
      <c r="BG55" s="436"/>
      <c r="BH55" s="436"/>
      <c r="BI55" s="1081">
        <v>11</v>
      </c>
    </row>
    <row r="56" spans="1:61" ht="11.45" customHeight="1">
      <c r="A56" s="1289" t="s">
        <v>505</v>
      </c>
      <c r="B56" s="1289" t="s">
        <v>506</v>
      </c>
      <c r="C56" s="1289" t="s">
        <v>507</v>
      </c>
      <c r="D56" s="1289" t="s">
        <v>755</v>
      </c>
      <c r="E56" s="24089"/>
      <c r="F56" s="24089"/>
      <c r="G56" s="24089"/>
      <c r="H56" s="24089"/>
      <c r="I56" s="24091"/>
      <c r="J56" s="24091"/>
      <c r="K56" s="24090"/>
      <c r="L56" s="1290"/>
      <c r="P56" s="24092"/>
      <c r="Q56" s="24092"/>
      <c r="R56" s="293"/>
      <c r="S56" s="24147"/>
      <c r="T56" s="24167"/>
      <c r="U56" s="236"/>
      <c r="V56" s="1319"/>
      <c r="W56" s="1320" t="str">
        <f>Z52&amp;"-"&amp;AB52</f>
        <v>-</v>
      </c>
      <c r="X56" s="1319"/>
      <c r="Y56" s="1320" t="str">
        <f>AB52&amp;"-"&amp;AD52</f>
        <v>-да</v>
      </c>
      <c r="Z56" s="1319"/>
      <c r="AA56" s="1319"/>
      <c r="AB56" s="1319"/>
      <c r="AC56" s="1319"/>
      <c r="AD56" s="23962"/>
      <c r="AE56" s="248"/>
      <c r="AF56" s="250"/>
      <c r="AG56" s="352" t="s">
        <v>731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112"/>
      <c r="BE56" s="436"/>
      <c r="BF56" s="436" t="str">
        <f t="shared" ref="BF56:BF63" si="4">IF(T56="","",T56)</f>
        <v/>
      </c>
      <c r="BG56" s="436"/>
      <c r="BH56" s="436"/>
      <c r="BI56" s="1081">
        <v>11</v>
      </c>
    </row>
    <row r="57" spans="1:61" ht="11.45" customHeight="1">
      <c r="A57" s="1289" t="s">
        <v>505</v>
      </c>
      <c r="B57" s="1289" t="s">
        <v>506</v>
      </c>
      <c r="C57" s="1289" t="s">
        <v>507</v>
      </c>
      <c r="D57" s="1289" t="s">
        <v>755</v>
      </c>
      <c r="E57" s="24089"/>
      <c r="F57" s="24089"/>
      <c r="G57" s="24089"/>
      <c r="H57" s="24089"/>
      <c r="I57" s="24091"/>
      <c r="J57" s="24090"/>
      <c r="K57" s="1289"/>
      <c r="L57" s="1290"/>
      <c r="P57" s="24092"/>
      <c r="Q57" s="24092"/>
      <c r="R57" s="292"/>
      <c r="S57" s="1204"/>
      <c r="T57" s="223" t="s">
        <v>694</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113"/>
      <c r="BE57" s="436"/>
      <c r="BF57" s="436" t="str">
        <f t="shared" si="4"/>
        <v>Добавить строку</v>
      </c>
      <c r="BG57" s="436"/>
      <c r="BH57" s="436"/>
      <c r="BI57" s="1081">
        <v>11</v>
      </c>
    </row>
    <row r="58" spans="1:61" s="1568" customFormat="1" ht="0" hidden="1" customHeight="1">
      <c r="A58" s="1269" t="s">
        <v>505</v>
      </c>
      <c r="B58" s="1269" t="s">
        <v>506</v>
      </c>
      <c r="C58" s="1269" t="s">
        <v>507</v>
      </c>
      <c r="D58" s="1269" t="s">
        <v>755</v>
      </c>
      <c r="E58" s="24089"/>
      <c r="F58" s="24089"/>
      <c r="G58" s="24089"/>
      <c r="H58" s="24089"/>
      <c r="I58" s="24090"/>
      <c r="J58" s="1269"/>
      <c r="K58" s="1269"/>
      <c r="L58" s="1272"/>
      <c r="M58" s="446"/>
      <c r="N58" s="446"/>
      <c r="O58" s="446"/>
      <c r="P58" s="2409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505</v>
      </c>
      <c r="B59" s="1269" t="s">
        <v>506</v>
      </c>
      <c r="C59" s="1269" t="s">
        <v>507</v>
      </c>
      <c r="D59" s="1269" t="s">
        <v>755</v>
      </c>
      <c r="E59" s="24089"/>
      <c r="F59" s="24089"/>
      <c r="G59" s="24089"/>
      <c r="H59" s="240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505</v>
      </c>
      <c r="B60" s="1269" t="s">
        <v>506</v>
      </c>
      <c r="C60" s="1269" t="s">
        <v>507</v>
      </c>
      <c r="D60" s="1240"/>
      <c r="E60" s="24089"/>
      <c r="F60" s="24089"/>
      <c r="G60" s="2408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505</v>
      </c>
      <c r="B61" s="1269" t="s">
        <v>506</v>
      </c>
      <c r="C61" s="1240"/>
      <c r="D61" s="1240"/>
      <c r="E61" s="24089"/>
      <c r="F61" s="24088"/>
      <c r="G61" s="1240"/>
      <c r="H61" s="1240"/>
      <c r="I61" s="1240"/>
      <c r="J61" s="1240"/>
      <c r="K61" s="1240"/>
      <c r="L61" s="1420"/>
      <c r="M61" s="1247"/>
      <c r="N61" s="1247"/>
      <c r="P61" s="1242"/>
      <c r="Q61" s="1243"/>
      <c r="R61" s="1242"/>
      <c r="S61" s="1248"/>
      <c r="T61" s="1251" t="s">
        <v>370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505</v>
      </c>
      <c r="B62" s="1269"/>
      <c r="C62" s="1269"/>
      <c r="D62" s="1269"/>
      <c r="E62" s="24088"/>
      <c r="F62" s="1269"/>
      <c r="G62" s="1269"/>
      <c r="H62" s="1269"/>
      <c r="I62" s="1269"/>
      <c r="J62" s="1269"/>
      <c r="K62" s="1269"/>
      <c r="L62" s="1272"/>
      <c r="M62" s="1247"/>
      <c r="N62" s="1247"/>
      <c r="O62" s="454"/>
      <c r="P62" s="316"/>
      <c r="Q62" s="1270"/>
      <c r="R62" s="316"/>
      <c r="S62" s="1248"/>
      <c r="T62" s="1251" t="s">
        <v>481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N65" s="24087"/>
      <c r="AO65" s="24087"/>
      <c r="AP65" s="24087"/>
      <c r="AQ65" s="24087"/>
      <c r="AR65" s="24087"/>
      <c r="AS65" s="24087"/>
      <c r="AT65" s="24087"/>
      <c r="AU65" s="24087"/>
      <c r="AV65" s="24087"/>
      <c r="AW65" s="24087"/>
      <c r="AX65" s="24087"/>
      <c r="AY65" s="24087"/>
      <c r="AZ65" s="24087"/>
      <c r="BA65" s="24087"/>
      <c r="BB65" s="24087"/>
      <c r="BC65" s="2408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4087"/>
      <c r="U67" s="24087"/>
      <c r="V67" s="24087"/>
      <c r="W67" s="24087"/>
      <c r="X67" s="24087"/>
      <c r="Y67" s="24087"/>
      <c r="Z67" s="24087"/>
      <c r="AA67" s="24087"/>
      <c r="AB67" s="24087"/>
      <c r="AC67" s="24087"/>
      <c r="AD67" s="24087"/>
      <c r="AE67" s="24087"/>
      <c r="AF67" s="24087"/>
      <c r="AG67" s="24087"/>
      <c r="AH67" s="24087"/>
      <c r="AI67" s="24087"/>
      <c r="AJ67" s="24087"/>
      <c r="AK67" s="24087"/>
      <c r="AL67" s="24087"/>
      <c r="AM67" s="24087"/>
      <c r="AN67" s="24087"/>
      <c r="AO67" s="24087"/>
      <c r="AP67" s="24087"/>
      <c r="AQ67" s="24087"/>
      <c r="AR67" s="24087"/>
      <c r="AS67" s="24087"/>
      <c r="AT67" s="24087"/>
      <c r="AU67" s="24087"/>
      <c r="AV67" s="24087"/>
      <c r="AW67" s="24087"/>
      <c r="AX67" s="24087"/>
      <c r="AY67" s="24087"/>
      <c r="AZ67" s="24087"/>
      <c r="BA67" s="24087"/>
      <c r="BB67" s="24087"/>
      <c r="BC67" s="24087"/>
      <c r="BI67" s="1081">
        <v>14</v>
      </c>
    </row>
    <row r="68" spans="1:61" ht="14.65" customHeight="1">
      <c r="O68" s="473"/>
      <c r="BI68" s="1081">
        <v>14</v>
      </c>
    </row>
    <row r="69" spans="1:61" ht="14.25" hidden="1" customHeight="1">
      <c r="A69" s="1086" t="s">
        <v>73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GA501"/>
  <sheetViews>
    <sheetView showGridLines="0" tabSelected="1" workbookViewId="0">
      <pane xSplit="32" ySplit="41" topLeftCell="FB236" activePane="bottomRight" state="frozen"/>
      <selection pane="topRight" activeCell="AG1" sqref="AG1"/>
      <selection pane="bottomLeft" activeCell="A42" sqref="A42"/>
      <selection pane="bottomRight" activeCell="FP241" sqref="FP241:FP242"/>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4" width="19" style="1561" customWidth="1"/>
    <col min="35" max="36" width="0" style="1561" hidden="1" customWidth="1"/>
    <col min="37" max="37" width="19" style="1561" customWidth="1"/>
    <col min="38" max="39" width="0" style="1561" hidden="1" customWidth="1"/>
    <col min="40" max="40" width="11" style="1561" customWidth="1"/>
    <col min="41" max="41" width="4.5703125" style="1561" customWidth="1"/>
    <col min="42" max="42" width="11" style="1561" customWidth="1"/>
    <col min="43" max="43" width="6.7109375" style="1561" customWidth="1"/>
    <col min="44" max="45" width="14.42578125" style="3" customWidth="1"/>
    <col min="46" max="47" width="0" style="3" hidden="1" customWidth="1"/>
    <col min="48" max="48" width="14.42578125" style="3" customWidth="1"/>
    <col min="49" max="50" width="0" style="3" hidden="1" customWidth="1"/>
    <col min="51" max="51" width="10.7109375" style="3" customWidth="1"/>
    <col min="52" max="52" width="6.7109375" style="3" customWidth="1"/>
    <col min="53" max="53" width="10.7109375" style="3" customWidth="1"/>
    <col min="54" max="54" width="6.7109375" style="3" customWidth="1"/>
    <col min="55" max="56" width="14.42578125" style="3" customWidth="1"/>
    <col min="57" max="58" width="0" style="3" hidden="1" customWidth="1"/>
    <col min="59" max="59" width="14.42578125" style="3" customWidth="1"/>
    <col min="60" max="61" width="0" style="3" hidden="1" customWidth="1"/>
    <col min="62" max="62" width="14.42578125" style="3" customWidth="1"/>
    <col min="63" max="63" width="2.5703125" style="3" customWidth="1"/>
    <col min="64" max="64" width="14.42578125" style="3" customWidth="1"/>
    <col min="65" max="65" width="6.5703125" style="3" customWidth="1"/>
    <col min="68" max="69" width="0" style="3" hidden="1" customWidth="1"/>
    <col min="71" max="72" width="0" style="3" hidden="1" customWidth="1"/>
    <col min="73" max="73" width="10.140625" style="3" customWidth="1"/>
    <col min="74" max="74" width="4.7109375" style="3" customWidth="1"/>
    <col min="75" max="75" width="10.7109375" style="3" customWidth="1"/>
    <col min="76" max="76" width="4.85546875" style="3" customWidth="1"/>
    <col min="77" max="78" width="7.85546875" style="3" customWidth="1"/>
    <col min="79" max="80" width="0" style="3" hidden="1" customWidth="1"/>
    <col min="81" max="81" width="8.42578125" style="3" customWidth="1"/>
    <col min="82" max="83" width="0" style="3" hidden="1" customWidth="1"/>
    <col min="84" max="84" width="9.5703125" style="3" customWidth="1"/>
    <col min="85" max="85" width="2.42578125" style="3" customWidth="1"/>
    <col min="86" max="86" width="9.5703125" style="3" customWidth="1"/>
    <col min="87" max="87" width="0" style="3" hidden="1" customWidth="1"/>
    <col min="88" max="88" width="5.85546875" style="3" customWidth="1"/>
    <col min="89" max="89" width="6.42578125" style="3" customWidth="1"/>
    <col min="90" max="91" width="0" style="3" hidden="1" customWidth="1"/>
    <col min="92" max="92" width="8.28515625" style="3" customWidth="1"/>
    <col min="93" max="94" width="0" style="3" hidden="1" customWidth="1"/>
    <col min="95" max="95" width="9.5703125" style="3" customWidth="1"/>
    <col min="96" max="96" width="2.42578125" style="3" customWidth="1"/>
    <col min="97" max="97" width="9.140625" style="3" customWidth="1"/>
    <col min="98" max="98" width="2.42578125" style="3" customWidth="1"/>
    <col min="99" max="100" width="6.5703125" style="3" customWidth="1"/>
    <col min="101" max="102" width="0" style="3" hidden="1" customWidth="1"/>
    <col min="103" max="103" width="7.5703125" style="3" customWidth="1"/>
    <col min="104" max="105" width="0" style="3" hidden="1" customWidth="1"/>
    <col min="106" max="106" width="10" style="3" customWidth="1"/>
    <col min="107" max="107" width="2.42578125" style="3" customWidth="1"/>
    <col min="108" max="108" width="10.140625" style="3" customWidth="1"/>
    <col min="109" max="109" width="2.42578125" style="3" customWidth="1"/>
    <col min="110" max="111" width="6.42578125" style="3" customWidth="1"/>
    <col min="112" max="113" width="0" style="3" hidden="1" customWidth="1"/>
    <col min="114" max="114" width="7.42578125" style="3" customWidth="1"/>
    <col min="115" max="116" width="0" style="3" hidden="1" customWidth="1"/>
    <col min="117" max="117" width="10.7109375" style="3" customWidth="1"/>
    <col min="118" max="118" width="2.42578125" style="3" customWidth="1"/>
    <col min="119" max="119" width="10.7109375" style="3" customWidth="1"/>
    <col min="120" max="120" width="2.42578125" style="3" customWidth="1"/>
    <col min="121" max="122" width="6.5703125" style="3" customWidth="1"/>
    <col min="123" max="124" width="0" style="3" hidden="1" customWidth="1"/>
    <col min="125" max="125" width="8.140625" style="3" customWidth="1"/>
    <col min="126" max="127" width="0" style="3" hidden="1" customWidth="1"/>
    <col min="128" max="128" width="9.140625" style="3" customWidth="1"/>
    <col min="129" max="129" width="2.42578125" style="3" customWidth="1"/>
    <col min="130" max="130" width="9.42578125" style="3" customWidth="1"/>
    <col min="131" max="131" width="2.42578125" style="3" customWidth="1"/>
    <col min="132" max="133" width="6.7109375" style="3" customWidth="1"/>
    <col min="134" max="135" width="0" style="3" hidden="1" customWidth="1"/>
    <col min="136" max="136" width="8.28515625" style="3" customWidth="1"/>
    <col min="137" max="138" width="0" style="3" hidden="1" customWidth="1"/>
    <col min="139" max="139" width="10.42578125" style="3" customWidth="1"/>
    <col min="140" max="140" width="4" style="3" customWidth="1"/>
    <col min="141" max="141" width="10.42578125" style="3" customWidth="1"/>
    <col min="142" max="142" width="4" style="3" customWidth="1"/>
    <col min="143" max="144" width="7.42578125" style="3" customWidth="1"/>
    <col min="145" max="146" width="0" style="3" hidden="1" customWidth="1"/>
    <col min="147" max="147" width="7.42578125" style="3" customWidth="1"/>
    <col min="148" max="149" width="0" style="3" hidden="1" customWidth="1"/>
    <col min="150" max="150" width="10" style="3" customWidth="1"/>
    <col min="151" max="151" width="4.140625" style="3" customWidth="1"/>
    <col min="152" max="152" width="10.140625" style="3" customWidth="1"/>
    <col min="153" max="153" width="4.140625" style="3" customWidth="1"/>
    <col min="156" max="157" width="0" style="3" hidden="1" customWidth="1"/>
    <col min="159" max="160" width="0" style="3" hidden="1" customWidth="1"/>
    <col min="161" max="161" width="10.5703125" style="3"/>
    <col min="162" max="162" width="4.7109375" style="3" customWidth="1"/>
    <col min="163" max="163" width="10.140625" style="3" customWidth="1"/>
    <col min="164" max="164" width="10.5703125" style="3"/>
    <col min="167" max="168" width="0" style="3" hidden="1" customWidth="1"/>
    <col min="170" max="171" width="0" style="3" hidden="1" customWidth="1"/>
    <col min="175" max="175" width="10.5703125" style="3" hidden="1"/>
    <col min="176" max="176" width="4" style="1561" customWidth="1"/>
    <col min="177" max="177" width="115" style="1561" customWidth="1"/>
    <col min="178" max="182" width="10" style="1568" customWidth="1"/>
    <col min="183" max="183" width="10.5703125" style="1561" hidden="1"/>
  </cols>
  <sheetData>
    <row r="1" spans="1:183" ht="22.5" hidden="1" customHeight="1">
      <c r="AC1" s="263"/>
      <c r="AN1" s="263"/>
      <c r="AR1" s="5649"/>
      <c r="AS1" s="5649"/>
      <c r="AT1" s="5649"/>
      <c r="AU1" s="5649"/>
      <c r="AV1" s="5649"/>
      <c r="AW1" s="5649"/>
      <c r="AX1" s="5649"/>
      <c r="AY1" s="5649"/>
      <c r="AZ1" s="5649"/>
      <c r="BA1" s="5649"/>
      <c r="BB1" s="5649"/>
      <c r="BC1" s="5649"/>
      <c r="BD1" s="5649"/>
      <c r="BE1" s="5649"/>
      <c r="BF1" s="5649"/>
      <c r="BG1" s="5649"/>
      <c r="BH1" s="5649"/>
      <c r="BI1" s="5649"/>
      <c r="BJ1" s="5649"/>
      <c r="BK1" s="5649"/>
      <c r="BL1" s="5649"/>
      <c r="BM1" s="5649"/>
      <c r="BN1" s="1561"/>
      <c r="BO1" s="1561"/>
      <c r="BP1" s="5649"/>
      <c r="BQ1" s="5649"/>
      <c r="BR1" s="1561"/>
      <c r="BS1" s="5649"/>
      <c r="BT1" s="5649"/>
      <c r="BU1" s="5649"/>
      <c r="BV1" s="5649"/>
      <c r="BW1" s="5649"/>
      <c r="BX1" s="5649"/>
      <c r="BY1" s="5649"/>
      <c r="BZ1" s="5649"/>
      <c r="CA1" s="5649"/>
      <c r="CB1" s="5649"/>
      <c r="CC1" s="5649"/>
      <c r="CD1" s="5649"/>
      <c r="CE1" s="5649"/>
      <c r="CF1" s="5649"/>
      <c r="CG1" s="5649"/>
      <c r="CH1" s="5649"/>
      <c r="CI1" s="5649"/>
      <c r="CJ1" s="5649"/>
      <c r="CK1" s="5649"/>
      <c r="CL1" s="5649"/>
      <c r="CM1" s="5649"/>
      <c r="CN1" s="5649"/>
      <c r="CO1" s="5649"/>
      <c r="CP1" s="5649"/>
      <c r="CQ1" s="5649"/>
      <c r="CR1" s="5649"/>
      <c r="CS1" s="5649"/>
      <c r="CT1" s="5649"/>
      <c r="CU1" s="5649"/>
      <c r="CV1" s="5649"/>
      <c r="CW1" s="5649"/>
      <c r="CX1" s="5649"/>
      <c r="CY1" s="5649"/>
      <c r="CZ1" s="5649"/>
      <c r="DA1" s="5649"/>
      <c r="DB1" s="5649"/>
      <c r="DC1" s="5649"/>
      <c r="DD1" s="5649"/>
      <c r="DE1" s="5649"/>
      <c r="DF1" s="5649"/>
      <c r="DG1" s="5649"/>
      <c r="DH1" s="5649"/>
      <c r="DI1" s="5649"/>
      <c r="DJ1" s="5649"/>
      <c r="DK1" s="5649"/>
      <c r="DL1" s="5649"/>
      <c r="DM1" s="5649"/>
      <c r="DN1" s="5649"/>
      <c r="DO1" s="5649"/>
      <c r="DP1" s="5649"/>
      <c r="DQ1" s="5649"/>
      <c r="DR1" s="5649"/>
      <c r="DS1" s="5649"/>
      <c r="DT1" s="5649"/>
      <c r="DU1" s="5649"/>
      <c r="DV1" s="5649"/>
      <c r="DW1" s="5649"/>
      <c r="DX1" s="5649"/>
      <c r="DY1" s="5649"/>
      <c r="DZ1" s="5649"/>
      <c r="EA1" s="5649"/>
      <c r="EB1" s="5649"/>
      <c r="EC1" s="5649"/>
      <c r="ED1" s="5649"/>
      <c r="EE1" s="5649"/>
      <c r="EF1" s="5649"/>
      <c r="EG1" s="5649"/>
      <c r="EH1" s="5649"/>
      <c r="EI1" s="5649"/>
      <c r="EJ1" s="5649"/>
      <c r="EK1" s="5649"/>
      <c r="EL1" s="5649"/>
      <c r="EM1" s="5649"/>
      <c r="EN1" s="5649"/>
      <c r="EO1" s="5649"/>
      <c r="EP1" s="5649"/>
      <c r="EQ1" s="5649"/>
      <c r="ER1" s="5649"/>
      <c r="ES1" s="5649"/>
      <c r="ET1" s="5649"/>
      <c r="EU1" s="5649"/>
      <c r="EV1" s="5649"/>
      <c r="EW1" s="5649"/>
      <c r="EX1" s="1561"/>
      <c r="EY1" s="1561"/>
      <c r="EZ1" s="5649"/>
      <c r="FA1" s="5649"/>
      <c r="FB1" s="1561"/>
      <c r="FC1" s="5649"/>
      <c r="FD1" s="5649"/>
      <c r="FE1" s="5649"/>
      <c r="FF1" s="5649"/>
      <c r="FG1" s="5649"/>
      <c r="FH1" s="5649"/>
      <c r="FI1" s="1561"/>
      <c r="FJ1" s="1561"/>
      <c r="FK1" s="5649"/>
      <c r="FL1" s="5649"/>
      <c r="FM1" s="1561"/>
      <c r="FN1" s="5649"/>
      <c r="FO1" s="5649"/>
      <c r="FP1" s="1561"/>
      <c r="FQ1" s="1561"/>
      <c r="FR1" s="1561"/>
      <c r="FS1" s="5649"/>
      <c r="GA1" s="1081" t="s">
        <v>1</v>
      </c>
    </row>
    <row r="2" spans="1:183" ht="23.25" hidden="1" customHeight="1">
      <c r="A2" s="1289"/>
      <c r="B2" s="1289"/>
      <c r="C2" s="1289"/>
      <c r="D2" s="1289"/>
      <c r="E2" s="24088">
        <v>1</v>
      </c>
      <c r="F2" s="1289"/>
      <c r="G2" s="1289"/>
      <c r="H2" s="1289"/>
      <c r="I2" s="1289"/>
      <c r="J2" s="1289"/>
      <c r="K2" s="1289"/>
      <c r="L2" s="1290"/>
      <c r="M2" s="1291"/>
      <c r="N2" s="1291"/>
      <c r="O2" s="1291"/>
      <c r="P2" s="297"/>
      <c r="Q2" s="296"/>
      <c r="R2" s="291"/>
      <c r="S2" s="1419" t="e">
        <f>INDEX(PT_DIFFERENTIATION_NUM_NTAR,MATCH(A2,PT_DIFFERENTIATION_NTAR_ID,0))</f>
        <v>#N/A</v>
      </c>
      <c r="T2" s="234" t="s">
        <v>229</v>
      </c>
      <c r="U2" s="236"/>
      <c r="V2" s="24082"/>
      <c r="W2" s="24083"/>
      <c r="X2" s="24083"/>
      <c r="Y2" s="24083"/>
      <c r="Z2" s="24083"/>
      <c r="AA2" s="24083"/>
      <c r="AB2" s="24083"/>
      <c r="AC2" s="24083"/>
      <c r="AD2" s="24083"/>
      <c r="AE2" s="24083"/>
      <c r="AF2" s="24084"/>
      <c r="AG2" s="24082" t="e">
        <f>INDEX(PT_DIFFERENTIATION_NTAR,MATCH(A2,PT_DIFFERENTIATION_NTAR_ID,0))</f>
        <v>#N/A</v>
      </c>
      <c r="AH2" s="24083"/>
      <c r="AI2" s="24083"/>
      <c r="AJ2" s="24083"/>
      <c r="AK2" s="24083"/>
      <c r="AL2" s="24083"/>
      <c r="AM2" s="24083"/>
      <c r="AN2" s="24083"/>
      <c r="AO2" s="24083"/>
      <c r="AP2" s="24083"/>
      <c r="AQ2" s="24083"/>
      <c r="AR2" s="24173"/>
      <c r="AS2" s="24174"/>
      <c r="AT2" s="24174"/>
      <c r="AU2" s="24174"/>
      <c r="AV2" s="24174"/>
      <c r="AW2" s="24174"/>
      <c r="AX2" s="24174"/>
      <c r="AY2" s="24174"/>
      <c r="AZ2" s="24174"/>
      <c r="BA2" s="24174"/>
      <c r="BB2" s="24175"/>
      <c r="BC2" s="24173"/>
      <c r="BD2" s="24174"/>
      <c r="BE2" s="24174"/>
      <c r="BF2" s="24174"/>
      <c r="BG2" s="24174"/>
      <c r="BH2" s="24174"/>
      <c r="BI2" s="24174"/>
      <c r="BJ2" s="24174"/>
      <c r="BK2" s="24174"/>
      <c r="BL2" s="24174"/>
      <c r="BM2" s="24175"/>
      <c r="BN2" s="24082"/>
      <c r="BO2" s="24083"/>
      <c r="BP2" s="24174"/>
      <c r="BQ2" s="24174"/>
      <c r="BR2" s="24083"/>
      <c r="BS2" s="24174"/>
      <c r="BT2" s="24174"/>
      <c r="BU2" s="24174"/>
      <c r="BV2" s="24174"/>
      <c r="BW2" s="24174"/>
      <c r="BX2" s="24175"/>
      <c r="BY2" s="24173"/>
      <c r="BZ2" s="24174"/>
      <c r="CA2" s="24174"/>
      <c r="CB2" s="24174"/>
      <c r="CC2" s="24174"/>
      <c r="CD2" s="24174"/>
      <c r="CE2" s="24174"/>
      <c r="CF2" s="24174"/>
      <c r="CG2" s="24174"/>
      <c r="CH2" s="24174"/>
      <c r="CI2" s="24175"/>
      <c r="CJ2" s="24173"/>
      <c r="CK2" s="24174"/>
      <c r="CL2" s="24174"/>
      <c r="CM2" s="24174"/>
      <c r="CN2" s="24174"/>
      <c r="CO2" s="24174"/>
      <c r="CP2" s="24174"/>
      <c r="CQ2" s="24174"/>
      <c r="CR2" s="24174"/>
      <c r="CS2" s="24174"/>
      <c r="CT2" s="24175"/>
      <c r="CU2" s="24173"/>
      <c r="CV2" s="24174"/>
      <c r="CW2" s="24174"/>
      <c r="CX2" s="24174"/>
      <c r="CY2" s="24174"/>
      <c r="CZ2" s="24174"/>
      <c r="DA2" s="24174"/>
      <c r="DB2" s="24174"/>
      <c r="DC2" s="24174"/>
      <c r="DD2" s="24174"/>
      <c r="DE2" s="24175"/>
      <c r="DF2" s="24173"/>
      <c r="DG2" s="24174"/>
      <c r="DH2" s="24174"/>
      <c r="DI2" s="24174"/>
      <c r="DJ2" s="24174"/>
      <c r="DK2" s="24174"/>
      <c r="DL2" s="24174"/>
      <c r="DM2" s="24174"/>
      <c r="DN2" s="24174"/>
      <c r="DO2" s="24174"/>
      <c r="DP2" s="24175"/>
      <c r="DQ2" s="24173"/>
      <c r="DR2" s="24174"/>
      <c r="DS2" s="24174"/>
      <c r="DT2" s="24174"/>
      <c r="DU2" s="24174"/>
      <c r="DV2" s="24174"/>
      <c r="DW2" s="24174"/>
      <c r="DX2" s="24174"/>
      <c r="DY2" s="24174"/>
      <c r="DZ2" s="24174"/>
      <c r="EA2" s="24175"/>
      <c r="EB2" s="24173"/>
      <c r="EC2" s="24174"/>
      <c r="ED2" s="24174"/>
      <c r="EE2" s="24174"/>
      <c r="EF2" s="24174"/>
      <c r="EG2" s="24174"/>
      <c r="EH2" s="24174"/>
      <c r="EI2" s="24174"/>
      <c r="EJ2" s="24174"/>
      <c r="EK2" s="24174"/>
      <c r="EL2" s="24175"/>
      <c r="EM2" s="24173"/>
      <c r="EN2" s="24174"/>
      <c r="EO2" s="24174"/>
      <c r="EP2" s="24174"/>
      <c r="EQ2" s="24174"/>
      <c r="ER2" s="24174"/>
      <c r="ES2" s="24174"/>
      <c r="ET2" s="24174"/>
      <c r="EU2" s="24174"/>
      <c r="EV2" s="24174"/>
      <c r="EW2" s="24175"/>
      <c r="EX2" s="24082"/>
      <c r="EY2" s="24083"/>
      <c r="EZ2" s="24174"/>
      <c r="FA2" s="24174"/>
      <c r="FB2" s="24083"/>
      <c r="FC2" s="24174"/>
      <c r="FD2" s="24174"/>
      <c r="FE2" s="24174"/>
      <c r="FF2" s="24174"/>
      <c r="FG2" s="24174"/>
      <c r="FH2" s="24175"/>
      <c r="FI2" s="24082"/>
      <c r="FJ2" s="24083"/>
      <c r="FK2" s="24174"/>
      <c r="FL2" s="24174"/>
      <c r="FM2" s="24083"/>
      <c r="FN2" s="24174"/>
      <c r="FO2" s="24174"/>
      <c r="FP2" s="24083"/>
      <c r="FQ2" s="24083"/>
      <c r="FR2" s="24083"/>
      <c r="FS2" s="24175"/>
      <c r="FT2" s="24084"/>
      <c r="FU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W2" s="436"/>
      <c r="FX2" s="436" t="str">
        <f t="shared" ref="FX2:FX13" si="0">IF(T2="","",T2)</f>
        <v>Наименование тарифа</v>
      </c>
      <c r="FY2" s="436"/>
      <c r="FZ2" s="436"/>
      <c r="GA2" s="1081">
        <v>0</v>
      </c>
    </row>
    <row r="3" spans="1:183" ht="23.25" hidden="1" customHeight="1">
      <c r="A3" s="1289"/>
      <c r="B3" s="1289"/>
      <c r="C3" s="1289"/>
      <c r="D3" s="1289"/>
      <c r="E3" s="24089"/>
      <c r="F3" s="24088">
        <v>1</v>
      </c>
      <c r="G3" s="1289"/>
      <c r="H3" s="1289"/>
      <c r="I3" s="1289"/>
      <c r="J3" s="1289"/>
      <c r="K3" s="1289"/>
      <c r="L3" s="1290"/>
      <c r="M3" s="1291"/>
      <c r="N3" s="1291"/>
      <c r="O3" s="1291"/>
      <c r="P3" s="1413"/>
      <c r="Q3" s="288"/>
      <c r="R3" s="289"/>
      <c r="S3" s="1419" t="e">
        <f>INDEX(PT_DIFFERENTIATION_NUM_TER,MATCH(B3,PT_DIFFERENTIATION_TER_ID,0))</f>
        <v>#N/A</v>
      </c>
      <c r="T3" s="244" t="s">
        <v>626</v>
      </c>
      <c r="U3" s="236"/>
      <c r="V3" s="24082"/>
      <c r="W3" s="24083"/>
      <c r="X3" s="24083"/>
      <c r="Y3" s="24083"/>
      <c r="Z3" s="24083"/>
      <c r="AA3" s="24083"/>
      <c r="AB3" s="24083"/>
      <c r="AC3" s="24083"/>
      <c r="AD3" s="24083"/>
      <c r="AE3" s="24083"/>
      <c r="AF3" s="24084"/>
      <c r="AG3" s="24082" t="e">
        <f>INDEX(PT_DIFFERENTIATION_TER,MATCH(B3,PT_DIFFERENTIATION_TER_ID,0))</f>
        <v>#N/A</v>
      </c>
      <c r="AH3" s="24083"/>
      <c r="AI3" s="24083"/>
      <c r="AJ3" s="24083"/>
      <c r="AK3" s="24083"/>
      <c r="AL3" s="24083"/>
      <c r="AM3" s="24083"/>
      <c r="AN3" s="24083"/>
      <c r="AO3" s="24083"/>
      <c r="AP3" s="24083"/>
      <c r="AQ3" s="24083"/>
      <c r="AR3" s="24173"/>
      <c r="AS3" s="24174"/>
      <c r="AT3" s="24174"/>
      <c r="AU3" s="24174"/>
      <c r="AV3" s="24174"/>
      <c r="AW3" s="24174"/>
      <c r="AX3" s="24174"/>
      <c r="AY3" s="24174"/>
      <c r="AZ3" s="24174"/>
      <c r="BA3" s="24174"/>
      <c r="BB3" s="24175"/>
      <c r="BC3" s="24173"/>
      <c r="BD3" s="24174"/>
      <c r="BE3" s="24174"/>
      <c r="BF3" s="24174"/>
      <c r="BG3" s="24174"/>
      <c r="BH3" s="24174"/>
      <c r="BI3" s="24174"/>
      <c r="BJ3" s="24174"/>
      <c r="BK3" s="24174"/>
      <c r="BL3" s="24174"/>
      <c r="BM3" s="24175"/>
      <c r="BN3" s="24082"/>
      <c r="BO3" s="24083"/>
      <c r="BP3" s="24174"/>
      <c r="BQ3" s="24174"/>
      <c r="BR3" s="24083"/>
      <c r="BS3" s="24174"/>
      <c r="BT3" s="24174"/>
      <c r="BU3" s="24174"/>
      <c r="BV3" s="24174"/>
      <c r="BW3" s="24174"/>
      <c r="BX3" s="24175"/>
      <c r="BY3" s="24173"/>
      <c r="BZ3" s="24174"/>
      <c r="CA3" s="24174"/>
      <c r="CB3" s="24174"/>
      <c r="CC3" s="24174"/>
      <c r="CD3" s="24174"/>
      <c r="CE3" s="24174"/>
      <c r="CF3" s="24174"/>
      <c r="CG3" s="24174"/>
      <c r="CH3" s="24174"/>
      <c r="CI3" s="24175"/>
      <c r="CJ3" s="24173"/>
      <c r="CK3" s="24174"/>
      <c r="CL3" s="24174"/>
      <c r="CM3" s="24174"/>
      <c r="CN3" s="24174"/>
      <c r="CO3" s="24174"/>
      <c r="CP3" s="24174"/>
      <c r="CQ3" s="24174"/>
      <c r="CR3" s="24174"/>
      <c r="CS3" s="24174"/>
      <c r="CT3" s="24175"/>
      <c r="CU3" s="24173"/>
      <c r="CV3" s="24174"/>
      <c r="CW3" s="24174"/>
      <c r="CX3" s="24174"/>
      <c r="CY3" s="24174"/>
      <c r="CZ3" s="24174"/>
      <c r="DA3" s="24174"/>
      <c r="DB3" s="24174"/>
      <c r="DC3" s="24174"/>
      <c r="DD3" s="24174"/>
      <c r="DE3" s="24175"/>
      <c r="DF3" s="24173"/>
      <c r="DG3" s="24174"/>
      <c r="DH3" s="24174"/>
      <c r="DI3" s="24174"/>
      <c r="DJ3" s="24174"/>
      <c r="DK3" s="24174"/>
      <c r="DL3" s="24174"/>
      <c r="DM3" s="24174"/>
      <c r="DN3" s="24174"/>
      <c r="DO3" s="24174"/>
      <c r="DP3" s="24175"/>
      <c r="DQ3" s="24173"/>
      <c r="DR3" s="24174"/>
      <c r="DS3" s="24174"/>
      <c r="DT3" s="24174"/>
      <c r="DU3" s="24174"/>
      <c r="DV3" s="24174"/>
      <c r="DW3" s="24174"/>
      <c r="DX3" s="24174"/>
      <c r="DY3" s="24174"/>
      <c r="DZ3" s="24174"/>
      <c r="EA3" s="24175"/>
      <c r="EB3" s="24173"/>
      <c r="EC3" s="24174"/>
      <c r="ED3" s="24174"/>
      <c r="EE3" s="24174"/>
      <c r="EF3" s="24174"/>
      <c r="EG3" s="24174"/>
      <c r="EH3" s="24174"/>
      <c r="EI3" s="24174"/>
      <c r="EJ3" s="24174"/>
      <c r="EK3" s="24174"/>
      <c r="EL3" s="24175"/>
      <c r="EM3" s="24173"/>
      <c r="EN3" s="24174"/>
      <c r="EO3" s="24174"/>
      <c r="EP3" s="24174"/>
      <c r="EQ3" s="24174"/>
      <c r="ER3" s="24174"/>
      <c r="ES3" s="24174"/>
      <c r="ET3" s="24174"/>
      <c r="EU3" s="24174"/>
      <c r="EV3" s="24174"/>
      <c r="EW3" s="24175"/>
      <c r="EX3" s="24082"/>
      <c r="EY3" s="24083"/>
      <c r="EZ3" s="24174"/>
      <c r="FA3" s="24174"/>
      <c r="FB3" s="24083"/>
      <c r="FC3" s="24174"/>
      <c r="FD3" s="24174"/>
      <c r="FE3" s="24174"/>
      <c r="FF3" s="24174"/>
      <c r="FG3" s="24174"/>
      <c r="FH3" s="24175"/>
      <c r="FI3" s="24082"/>
      <c r="FJ3" s="24083"/>
      <c r="FK3" s="24174"/>
      <c r="FL3" s="24174"/>
      <c r="FM3" s="24083"/>
      <c r="FN3" s="24174"/>
      <c r="FO3" s="24174"/>
      <c r="FP3" s="24083"/>
      <c r="FQ3" s="24083"/>
      <c r="FR3" s="24083"/>
      <c r="FS3" s="24175"/>
      <c r="FT3" s="24084"/>
      <c r="FU3" s="1184" t="s">
        <v>627</v>
      </c>
      <c r="FW3" s="436"/>
      <c r="FX3" s="436" t="str">
        <f t="shared" si="0"/>
        <v>Территория действия тарифа</v>
      </c>
      <c r="FY3" s="436"/>
      <c r="FZ3" s="436"/>
      <c r="GA3" s="1081">
        <v>0</v>
      </c>
    </row>
    <row r="4" spans="1:183" ht="23.25" hidden="1" customHeight="1">
      <c r="A4" s="1289"/>
      <c r="B4" s="1289"/>
      <c r="C4" s="1289"/>
      <c r="D4" s="1289"/>
      <c r="E4" s="24089"/>
      <c r="F4" s="24089"/>
      <c r="G4" s="24088">
        <v>1</v>
      </c>
      <c r="H4" s="1289"/>
      <c r="I4" s="1289"/>
      <c r="J4" s="1289"/>
      <c r="K4" s="1289"/>
      <c r="L4" s="1290"/>
      <c r="M4" s="1291"/>
      <c r="N4" s="1291"/>
      <c r="O4" s="1291"/>
      <c r="P4" s="290"/>
      <c r="Q4" s="288"/>
      <c r="R4" s="289"/>
      <c r="S4" s="1419" t="e">
        <f>INDEX(PT_DIFFERENTIATION_NUM_CS,MATCH(C4,PT_DIFFERENTIATION_CS_ID,0))</f>
        <v>#N/A</v>
      </c>
      <c r="T4" s="245" t="s">
        <v>756</v>
      </c>
      <c r="U4" s="236"/>
      <c r="V4" s="24082"/>
      <c r="W4" s="24083"/>
      <c r="X4" s="24083"/>
      <c r="Y4" s="24083"/>
      <c r="Z4" s="24083"/>
      <c r="AA4" s="24083"/>
      <c r="AB4" s="24083"/>
      <c r="AC4" s="24083"/>
      <c r="AD4" s="24083"/>
      <c r="AE4" s="24083"/>
      <c r="AF4" s="24084"/>
      <c r="AG4" s="24082" t="e">
        <f>INDEX(PT_DIFFERENTIATION_CS,MATCH(C4,PT_DIFFERENTIATION_CS_ID,0))</f>
        <v>#N/A</v>
      </c>
      <c r="AH4" s="24083"/>
      <c r="AI4" s="24083"/>
      <c r="AJ4" s="24083"/>
      <c r="AK4" s="24083"/>
      <c r="AL4" s="24083"/>
      <c r="AM4" s="24083"/>
      <c r="AN4" s="24083"/>
      <c r="AO4" s="24083"/>
      <c r="AP4" s="24083"/>
      <c r="AQ4" s="24083"/>
      <c r="AR4" s="24173"/>
      <c r="AS4" s="24174"/>
      <c r="AT4" s="24174"/>
      <c r="AU4" s="24174"/>
      <c r="AV4" s="24174"/>
      <c r="AW4" s="24174"/>
      <c r="AX4" s="24174"/>
      <c r="AY4" s="24174"/>
      <c r="AZ4" s="24174"/>
      <c r="BA4" s="24174"/>
      <c r="BB4" s="24175"/>
      <c r="BC4" s="24173"/>
      <c r="BD4" s="24174"/>
      <c r="BE4" s="24174"/>
      <c r="BF4" s="24174"/>
      <c r="BG4" s="24174"/>
      <c r="BH4" s="24174"/>
      <c r="BI4" s="24174"/>
      <c r="BJ4" s="24174"/>
      <c r="BK4" s="24174"/>
      <c r="BL4" s="24174"/>
      <c r="BM4" s="24175"/>
      <c r="BN4" s="24082"/>
      <c r="BO4" s="24083"/>
      <c r="BP4" s="24174"/>
      <c r="BQ4" s="24174"/>
      <c r="BR4" s="24083"/>
      <c r="BS4" s="24174"/>
      <c r="BT4" s="24174"/>
      <c r="BU4" s="24174"/>
      <c r="BV4" s="24174"/>
      <c r="BW4" s="24174"/>
      <c r="BX4" s="24175"/>
      <c r="BY4" s="24173"/>
      <c r="BZ4" s="24174"/>
      <c r="CA4" s="24174"/>
      <c r="CB4" s="24174"/>
      <c r="CC4" s="24174"/>
      <c r="CD4" s="24174"/>
      <c r="CE4" s="24174"/>
      <c r="CF4" s="24174"/>
      <c r="CG4" s="24174"/>
      <c r="CH4" s="24174"/>
      <c r="CI4" s="24175"/>
      <c r="CJ4" s="24173"/>
      <c r="CK4" s="24174"/>
      <c r="CL4" s="24174"/>
      <c r="CM4" s="24174"/>
      <c r="CN4" s="24174"/>
      <c r="CO4" s="24174"/>
      <c r="CP4" s="24174"/>
      <c r="CQ4" s="24174"/>
      <c r="CR4" s="24174"/>
      <c r="CS4" s="24174"/>
      <c r="CT4" s="24175"/>
      <c r="CU4" s="24173"/>
      <c r="CV4" s="24174"/>
      <c r="CW4" s="24174"/>
      <c r="CX4" s="24174"/>
      <c r="CY4" s="24174"/>
      <c r="CZ4" s="24174"/>
      <c r="DA4" s="24174"/>
      <c r="DB4" s="24174"/>
      <c r="DC4" s="24174"/>
      <c r="DD4" s="24174"/>
      <c r="DE4" s="24175"/>
      <c r="DF4" s="24173"/>
      <c r="DG4" s="24174"/>
      <c r="DH4" s="24174"/>
      <c r="DI4" s="24174"/>
      <c r="DJ4" s="24174"/>
      <c r="DK4" s="24174"/>
      <c r="DL4" s="24174"/>
      <c r="DM4" s="24174"/>
      <c r="DN4" s="24174"/>
      <c r="DO4" s="24174"/>
      <c r="DP4" s="24175"/>
      <c r="DQ4" s="24173"/>
      <c r="DR4" s="24174"/>
      <c r="DS4" s="24174"/>
      <c r="DT4" s="24174"/>
      <c r="DU4" s="24174"/>
      <c r="DV4" s="24174"/>
      <c r="DW4" s="24174"/>
      <c r="DX4" s="24174"/>
      <c r="DY4" s="24174"/>
      <c r="DZ4" s="24174"/>
      <c r="EA4" s="24175"/>
      <c r="EB4" s="24173"/>
      <c r="EC4" s="24174"/>
      <c r="ED4" s="24174"/>
      <c r="EE4" s="24174"/>
      <c r="EF4" s="24174"/>
      <c r="EG4" s="24174"/>
      <c r="EH4" s="24174"/>
      <c r="EI4" s="24174"/>
      <c r="EJ4" s="24174"/>
      <c r="EK4" s="24174"/>
      <c r="EL4" s="24175"/>
      <c r="EM4" s="24173"/>
      <c r="EN4" s="24174"/>
      <c r="EO4" s="24174"/>
      <c r="EP4" s="24174"/>
      <c r="EQ4" s="24174"/>
      <c r="ER4" s="24174"/>
      <c r="ES4" s="24174"/>
      <c r="ET4" s="24174"/>
      <c r="EU4" s="24174"/>
      <c r="EV4" s="24174"/>
      <c r="EW4" s="24175"/>
      <c r="EX4" s="24082"/>
      <c r="EY4" s="24083"/>
      <c r="EZ4" s="24174"/>
      <c r="FA4" s="24174"/>
      <c r="FB4" s="24083"/>
      <c r="FC4" s="24174"/>
      <c r="FD4" s="24174"/>
      <c r="FE4" s="24174"/>
      <c r="FF4" s="24174"/>
      <c r="FG4" s="24174"/>
      <c r="FH4" s="24175"/>
      <c r="FI4" s="24082"/>
      <c r="FJ4" s="24083"/>
      <c r="FK4" s="24174"/>
      <c r="FL4" s="24174"/>
      <c r="FM4" s="24083"/>
      <c r="FN4" s="24174"/>
      <c r="FO4" s="24174"/>
      <c r="FP4" s="24083"/>
      <c r="FQ4" s="24083"/>
      <c r="FR4" s="24083"/>
      <c r="FS4" s="24175"/>
      <c r="FT4" s="24084"/>
      <c r="FU4" s="1184" t="s">
        <v>757</v>
      </c>
      <c r="FW4" s="436"/>
      <c r="FX4" s="436" t="str">
        <f t="shared" si="0"/>
        <v>Наименование централизованной системы горячего водоснабжения</v>
      </c>
      <c r="FY4" s="436"/>
      <c r="FZ4" s="436"/>
      <c r="GA4" s="1081">
        <v>0</v>
      </c>
    </row>
    <row r="5" spans="1:183" ht="23.25" hidden="1" customHeight="1">
      <c r="A5" s="1289"/>
      <c r="B5" s="1289"/>
      <c r="C5" s="1289"/>
      <c r="D5" s="1289"/>
      <c r="E5" s="24089"/>
      <c r="F5" s="24089"/>
      <c r="G5" s="24089"/>
      <c r="H5" s="24089"/>
      <c r="I5" s="24090" t="e">
        <f>S4&amp;".1"</f>
        <v>#N/A</v>
      </c>
      <c r="J5" s="1289"/>
      <c r="K5" s="1289"/>
      <c r="L5" s="1290"/>
      <c r="P5" s="24092">
        <v>1</v>
      </c>
      <c r="Q5" s="1407"/>
      <c r="R5" s="292"/>
      <c r="S5" s="1419" t="e">
        <f>$I5</f>
        <v>#N/A</v>
      </c>
      <c r="T5" s="221" t="s">
        <v>709</v>
      </c>
      <c r="U5" s="236"/>
      <c r="V5" s="24156"/>
      <c r="W5" s="24157"/>
      <c r="X5" s="24157"/>
      <c r="Y5" s="24157"/>
      <c r="Z5" s="24157"/>
      <c r="AA5" s="24157"/>
      <c r="AB5" s="24157"/>
      <c r="AC5" s="24157"/>
      <c r="AD5" s="24157"/>
      <c r="AE5" s="24157"/>
      <c r="AF5" s="24158"/>
      <c r="AG5" s="24159"/>
      <c r="AH5" s="24160"/>
      <c r="AI5" s="24160"/>
      <c r="AJ5" s="24160"/>
      <c r="AK5" s="24160"/>
      <c r="AL5" s="24160"/>
      <c r="AM5" s="24160"/>
      <c r="AN5" s="24160"/>
      <c r="AO5" s="24160"/>
      <c r="AP5" s="24160"/>
      <c r="AQ5" s="24160"/>
      <c r="AR5" s="24176"/>
      <c r="AS5" s="24177"/>
      <c r="AT5" s="24177"/>
      <c r="AU5" s="24177"/>
      <c r="AV5" s="24177"/>
      <c r="AW5" s="24177"/>
      <c r="AX5" s="24177"/>
      <c r="AY5" s="24177"/>
      <c r="AZ5" s="24177"/>
      <c r="BA5" s="24177"/>
      <c r="BB5" s="24178"/>
      <c r="BC5" s="24176"/>
      <c r="BD5" s="24177"/>
      <c r="BE5" s="24177"/>
      <c r="BF5" s="24177"/>
      <c r="BG5" s="24177"/>
      <c r="BH5" s="24177"/>
      <c r="BI5" s="24177"/>
      <c r="BJ5" s="24177"/>
      <c r="BK5" s="24177"/>
      <c r="BL5" s="24177"/>
      <c r="BM5" s="24178"/>
      <c r="BN5" s="24156"/>
      <c r="BO5" s="24157"/>
      <c r="BP5" s="24177"/>
      <c r="BQ5" s="24177"/>
      <c r="BR5" s="24157"/>
      <c r="BS5" s="24177"/>
      <c r="BT5" s="24177"/>
      <c r="BU5" s="24177"/>
      <c r="BV5" s="24177"/>
      <c r="BW5" s="24177"/>
      <c r="BX5" s="24178"/>
      <c r="BY5" s="24176"/>
      <c r="BZ5" s="24177"/>
      <c r="CA5" s="24177"/>
      <c r="CB5" s="24177"/>
      <c r="CC5" s="24177"/>
      <c r="CD5" s="24177"/>
      <c r="CE5" s="24177"/>
      <c r="CF5" s="24177"/>
      <c r="CG5" s="24177"/>
      <c r="CH5" s="24177"/>
      <c r="CI5" s="24178"/>
      <c r="CJ5" s="24176"/>
      <c r="CK5" s="24177"/>
      <c r="CL5" s="24177"/>
      <c r="CM5" s="24177"/>
      <c r="CN5" s="24177"/>
      <c r="CO5" s="24177"/>
      <c r="CP5" s="24177"/>
      <c r="CQ5" s="24177"/>
      <c r="CR5" s="24177"/>
      <c r="CS5" s="24177"/>
      <c r="CT5" s="24178"/>
      <c r="CU5" s="24176"/>
      <c r="CV5" s="24177"/>
      <c r="CW5" s="24177"/>
      <c r="CX5" s="24177"/>
      <c r="CY5" s="24177"/>
      <c r="CZ5" s="24177"/>
      <c r="DA5" s="24177"/>
      <c r="DB5" s="24177"/>
      <c r="DC5" s="24177"/>
      <c r="DD5" s="24177"/>
      <c r="DE5" s="24178"/>
      <c r="DF5" s="24176"/>
      <c r="DG5" s="24177"/>
      <c r="DH5" s="24177"/>
      <c r="DI5" s="24177"/>
      <c r="DJ5" s="24177"/>
      <c r="DK5" s="24177"/>
      <c r="DL5" s="24177"/>
      <c r="DM5" s="24177"/>
      <c r="DN5" s="24177"/>
      <c r="DO5" s="24177"/>
      <c r="DP5" s="24178"/>
      <c r="DQ5" s="24176"/>
      <c r="DR5" s="24177"/>
      <c r="DS5" s="24177"/>
      <c r="DT5" s="24177"/>
      <c r="DU5" s="24177"/>
      <c r="DV5" s="24177"/>
      <c r="DW5" s="24177"/>
      <c r="DX5" s="24177"/>
      <c r="DY5" s="24177"/>
      <c r="DZ5" s="24177"/>
      <c r="EA5" s="24178"/>
      <c r="EB5" s="24176"/>
      <c r="EC5" s="24177"/>
      <c r="ED5" s="24177"/>
      <c r="EE5" s="24177"/>
      <c r="EF5" s="24177"/>
      <c r="EG5" s="24177"/>
      <c r="EH5" s="24177"/>
      <c r="EI5" s="24177"/>
      <c r="EJ5" s="24177"/>
      <c r="EK5" s="24177"/>
      <c r="EL5" s="24178"/>
      <c r="EM5" s="24176"/>
      <c r="EN5" s="24177"/>
      <c r="EO5" s="24177"/>
      <c r="EP5" s="24177"/>
      <c r="EQ5" s="24177"/>
      <c r="ER5" s="24177"/>
      <c r="ES5" s="24177"/>
      <c r="ET5" s="24177"/>
      <c r="EU5" s="24177"/>
      <c r="EV5" s="24177"/>
      <c r="EW5" s="24178"/>
      <c r="EX5" s="24156"/>
      <c r="EY5" s="24157"/>
      <c r="EZ5" s="24177"/>
      <c r="FA5" s="24177"/>
      <c r="FB5" s="24157"/>
      <c r="FC5" s="24177"/>
      <c r="FD5" s="24177"/>
      <c r="FE5" s="24177"/>
      <c r="FF5" s="24177"/>
      <c r="FG5" s="24177"/>
      <c r="FH5" s="24178"/>
      <c r="FI5" s="24156"/>
      <c r="FJ5" s="24157"/>
      <c r="FK5" s="24177"/>
      <c r="FL5" s="24177"/>
      <c r="FM5" s="24157"/>
      <c r="FN5" s="24177"/>
      <c r="FO5" s="24177"/>
      <c r="FP5" s="24157"/>
      <c r="FQ5" s="24157"/>
      <c r="FR5" s="24157"/>
      <c r="FS5" s="24178"/>
      <c r="FT5" s="24161"/>
      <c r="FU5" s="1184" t="s">
        <v>710</v>
      </c>
      <c r="FW5" s="436"/>
      <c r="FX5" s="436" t="str">
        <f t="shared" si="0"/>
        <v>Наименование признака дифференциации</v>
      </c>
      <c r="FY5" s="436"/>
      <c r="FZ5" s="436"/>
      <c r="GA5" s="1081">
        <v>0</v>
      </c>
    </row>
    <row r="6" spans="1:183" ht="23.25" hidden="1" customHeight="1">
      <c r="A6" s="1289"/>
      <c r="B6" s="1289"/>
      <c r="C6" s="1289"/>
      <c r="D6" s="1289"/>
      <c r="E6" s="24089"/>
      <c r="F6" s="24089"/>
      <c r="G6" s="24089"/>
      <c r="H6" s="24089"/>
      <c r="I6" s="24091"/>
      <c r="J6" s="24090" t="e">
        <f>I5&amp;".1"</f>
        <v>#N/A</v>
      </c>
      <c r="K6" s="1289"/>
      <c r="L6" s="1290" t="s">
        <v>635</v>
      </c>
      <c r="P6" s="24092"/>
      <c r="Q6" s="24092">
        <v>1</v>
      </c>
      <c r="R6" s="293"/>
      <c r="S6" s="1419" t="e">
        <f>$J6</f>
        <v>#N/A</v>
      </c>
      <c r="T6" s="222" t="s">
        <v>636</v>
      </c>
      <c r="U6" s="236"/>
      <c r="V6" s="24076"/>
      <c r="W6" s="24077"/>
      <c r="X6" s="24077"/>
      <c r="Y6" s="24077"/>
      <c r="Z6" s="24077"/>
      <c r="AA6" s="24077"/>
      <c r="AB6" s="24077"/>
      <c r="AC6" s="24077"/>
      <c r="AD6" s="24077"/>
      <c r="AE6" s="24077"/>
      <c r="AF6" s="24078"/>
      <c r="AG6" s="24076"/>
      <c r="AH6" s="24077"/>
      <c r="AI6" s="24077"/>
      <c r="AJ6" s="24077"/>
      <c r="AK6" s="24077"/>
      <c r="AL6" s="24077"/>
      <c r="AM6" s="24077"/>
      <c r="AN6" s="24077"/>
      <c r="AO6" s="24077"/>
      <c r="AP6" s="24077"/>
      <c r="AQ6" s="24077"/>
      <c r="AR6" s="24179"/>
      <c r="AS6" s="24180"/>
      <c r="AT6" s="24180"/>
      <c r="AU6" s="24180"/>
      <c r="AV6" s="24180"/>
      <c r="AW6" s="24180"/>
      <c r="AX6" s="24180"/>
      <c r="AY6" s="24180"/>
      <c r="AZ6" s="24180"/>
      <c r="BA6" s="24180"/>
      <c r="BB6" s="24181"/>
      <c r="BC6" s="24179"/>
      <c r="BD6" s="24180"/>
      <c r="BE6" s="24180"/>
      <c r="BF6" s="24180"/>
      <c r="BG6" s="24180"/>
      <c r="BH6" s="24180"/>
      <c r="BI6" s="24180"/>
      <c r="BJ6" s="24180"/>
      <c r="BK6" s="24180"/>
      <c r="BL6" s="24180"/>
      <c r="BM6" s="24181"/>
      <c r="BN6" s="24076"/>
      <c r="BO6" s="24077"/>
      <c r="BP6" s="24180"/>
      <c r="BQ6" s="24180"/>
      <c r="BR6" s="24077"/>
      <c r="BS6" s="24180"/>
      <c r="BT6" s="24180"/>
      <c r="BU6" s="24180"/>
      <c r="BV6" s="24180"/>
      <c r="BW6" s="24180"/>
      <c r="BX6" s="24181"/>
      <c r="BY6" s="24179"/>
      <c r="BZ6" s="24180"/>
      <c r="CA6" s="24180"/>
      <c r="CB6" s="24180"/>
      <c r="CC6" s="24180"/>
      <c r="CD6" s="24180"/>
      <c r="CE6" s="24180"/>
      <c r="CF6" s="24180"/>
      <c r="CG6" s="24180"/>
      <c r="CH6" s="24180"/>
      <c r="CI6" s="24181"/>
      <c r="CJ6" s="24179"/>
      <c r="CK6" s="24180"/>
      <c r="CL6" s="24180"/>
      <c r="CM6" s="24180"/>
      <c r="CN6" s="24180"/>
      <c r="CO6" s="24180"/>
      <c r="CP6" s="24180"/>
      <c r="CQ6" s="24180"/>
      <c r="CR6" s="24180"/>
      <c r="CS6" s="24180"/>
      <c r="CT6" s="24181"/>
      <c r="CU6" s="24179"/>
      <c r="CV6" s="24180"/>
      <c r="CW6" s="24180"/>
      <c r="CX6" s="24180"/>
      <c r="CY6" s="24180"/>
      <c r="CZ6" s="24180"/>
      <c r="DA6" s="24180"/>
      <c r="DB6" s="24180"/>
      <c r="DC6" s="24180"/>
      <c r="DD6" s="24180"/>
      <c r="DE6" s="24181"/>
      <c r="DF6" s="24179"/>
      <c r="DG6" s="24180"/>
      <c r="DH6" s="24180"/>
      <c r="DI6" s="24180"/>
      <c r="DJ6" s="24180"/>
      <c r="DK6" s="24180"/>
      <c r="DL6" s="24180"/>
      <c r="DM6" s="24180"/>
      <c r="DN6" s="24180"/>
      <c r="DO6" s="24180"/>
      <c r="DP6" s="24181"/>
      <c r="DQ6" s="24179"/>
      <c r="DR6" s="24180"/>
      <c r="DS6" s="24180"/>
      <c r="DT6" s="24180"/>
      <c r="DU6" s="24180"/>
      <c r="DV6" s="24180"/>
      <c r="DW6" s="24180"/>
      <c r="DX6" s="24180"/>
      <c r="DY6" s="24180"/>
      <c r="DZ6" s="24180"/>
      <c r="EA6" s="24181"/>
      <c r="EB6" s="24179"/>
      <c r="EC6" s="24180"/>
      <c r="ED6" s="24180"/>
      <c r="EE6" s="24180"/>
      <c r="EF6" s="24180"/>
      <c r="EG6" s="24180"/>
      <c r="EH6" s="24180"/>
      <c r="EI6" s="24180"/>
      <c r="EJ6" s="24180"/>
      <c r="EK6" s="24180"/>
      <c r="EL6" s="24181"/>
      <c r="EM6" s="24179"/>
      <c r="EN6" s="24180"/>
      <c r="EO6" s="24180"/>
      <c r="EP6" s="24180"/>
      <c r="EQ6" s="24180"/>
      <c r="ER6" s="24180"/>
      <c r="ES6" s="24180"/>
      <c r="ET6" s="24180"/>
      <c r="EU6" s="24180"/>
      <c r="EV6" s="24180"/>
      <c r="EW6" s="24181"/>
      <c r="EX6" s="24076"/>
      <c r="EY6" s="24077"/>
      <c r="EZ6" s="24180"/>
      <c r="FA6" s="24180"/>
      <c r="FB6" s="24077"/>
      <c r="FC6" s="24180"/>
      <c r="FD6" s="24180"/>
      <c r="FE6" s="24180"/>
      <c r="FF6" s="24180"/>
      <c r="FG6" s="24180"/>
      <c r="FH6" s="24181"/>
      <c r="FI6" s="24076"/>
      <c r="FJ6" s="24077"/>
      <c r="FK6" s="24180"/>
      <c r="FL6" s="24180"/>
      <c r="FM6" s="24077"/>
      <c r="FN6" s="24180"/>
      <c r="FO6" s="24180"/>
      <c r="FP6" s="24077"/>
      <c r="FQ6" s="24077"/>
      <c r="FR6" s="24077"/>
      <c r="FS6" s="24181"/>
      <c r="FT6" s="24078"/>
      <c r="FU6" s="1233" t="s">
        <v>711</v>
      </c>
      <c r="FW6" s="436"/>
      <c r="FX6" s="436" t="str">
        <f t="shared" si="0"/>
        <v>Группа потребителей</v>
      </c>
      <c r="FY6" s="436"/>
      <c r="FZ6" s="436"/>
      <c r="GA6" s="1081">
        <v>0</v>
      </c>
    </row>
    <row r="7" spans="1:183" ht="23.25" hidden="1" customHeight="1">
      <c r="A7" s="1289"/>
      <c r="B7" s="1289"/>
      <c r="C7" s="1289"/>
      <c r="D7" s="1289"/>
      <c r="E7" s="24089"/>
      <c r="F7" s="24089"/>
      <c r="G7" s="24089"/>
      <c r="H7" s="24089"/>
      <c r="I7" s="24091"/>
      <c r="J7" s="24091"/>
      <c r="K7" s="24090" t="e">
        <f>J6&amp;".1"</f>
        <v>#N/A</v>
      </c>
      <c r="L7" s="1290"/>
      <c r="P7" s="24092"/>
      <c r="Q7" s="24092"/>
      <c r="R7" s="293">
        <v>1</v>
      </c>
      <c r="S7" s="1419" t="e">
        <f>$K7</f>
        <v>#N/A</v>
      </c>
      <c r="T7" s="1363"/>
      <c r="U7" s="236"/>
      <c r="V7" s="687"/>
      <c r="W7" s="687"/>
      <c r="X7" s="687"/>
      <c r="Y7" s="687"/>
      <c r="Z7" s="687"/>
      <c r="AA7" s="687"/>
      <c r="AB7" s="687"/>
      <c r="AC7" s="24093"/>
      <c r="AD7" s="23957" t="s">
        <v>59</v>
      </c>
      <c r="AE7" s="24093"/>
      <c r="AF7" s="23957" t="s">
        <v>59</v>
      </c>
      <c r="AG7" s="687"/>
      <c r="AH7" s="687"/>
      <c r="AI7" s="687"/>
      <c r="AJ7" s="687"/>
      <c r="AK7" s="687"/>
      <c r="AL7" s="687"/>
      <c r="AM7" s="687"/>
      <c r="AN7" s="24093"/>
      <c r="AO7" s="23957" t="s">
        <v>59</v>
      </c>
      <c r="AP7" s="24095"/>
      <c r="AQ7" s="23957" t="s">
        <v>59</v>
      </c>
      <c r="AR7" s="6310"/>
      <c r="AS7" s="6310"/>
      <c r="AT7" s="6310"/>
      <c r="AU7" s="6310"/>
      <c r="AV7" s="6310"/>
      <c r="AW7" s="6310"/>
      <c r="AX7" s="6310"/>
      <c r="AY7" s="24185"/>
      <c r="AZ7" s="23957" t="s">
        <v>59</v>
      </c>
      <c r="BA7" s="24185"/>
      <c r="BB7" s="23957" t="s">
        <v>59</v>
      </c>
      <c r="BC7" s="6310"/>
      <c r="BD7" s="6310"/>
      <c r="BE7" s="687"/>
      <c r="BF7" s="687"/>
      <c r="BG7" s="687"/>
      <c r="BH7" s="687"/>
      <c r="BI7" s="687"/>
      <c r="BJ7" s="24093"/>
      <c r="BK7" s="23957" t="s">
        <v>59</v>
      </c>
      <c r="BL7" s="24093"/>
      <c r="BM7" s="23957" t="s">
        <v>59</v>
      </c>
      <c r="BN7" s="687"/>
      <c r="BO7" s="687"/>
      <c r="BP7" s="687"/>
      <c r="BQ7" s="687"/>
      <c r="BR7" s="687"/>
      <c r="BS7" s="687"/>
      <c r="BT7" s="687"/>
      <c r="BU7" s="24093"/>
      <c r="BV7" s="23957" t="s">
        <v>59</v>
      </c>
      <c r="BW7" s="24093"/>
      <c r="BX7" s="23957" t="s">
        <v>59</v>
      </c>
      <c r="BY7" s="687"/>
      <c r="BZ7" s="687"/>
      <c r="CA7" s="687"/>
      <c r="CB7" s="687"/>
      <c r="CC7" s="687"/>
      <c r="CD7" s="687"/>
      <c r="CE7" s="687"/>
      <c r="CF7" s="24093"/>
      <c r="CG7" s="23957" t="s">
        <v>59</v>
      </c>
      <c r="CH7" s="24093"/>
      <c r="CI7" s="23957" t="s">
        <v>59</v>
      </c>
      <c r="CJ7" s="687"/>
      <c r="CK7" s="687"/>
      <c r="CL7" s="687"/>
      <c r="CM7" s="687"/>
      <c r="CN7" s="687"/>
      <c r="CO7" s="687"/>
      <c r="CP7" s="687"/>
      <c r="CQ7" s="24093"/>
      <c r="CR7" s="23957" t="s">
        <v>59</v>
      </c>
      <c r="CS7" s="24093"/>
      <c r="CT7" s="23957" t="s">
        <v>59</v>
      </c>
      <c r="CU7" s="687"/>
      <c r="CV7" s="687"/>
      <c r="CW7" s="687"/>
      <c r="CX7" s="687"/>
      <c r="CY7" s="687"/>
      <c r="CZ7" s="687"/>
      <c r="DA7" s="687"/>
      <c r="DB7" s="24093"/>
      <c r="DC7" s="23957" t="s">
        <v>59</v>
      </c>
      <c r="DD7" s="24093"/>
      <c r="DE7" s="23957" t="s">
        <v>59</v>
      </c>
      <c r="DF7" s="687"/>
      <c r="DG7" s="687"/>
      <c r="DH7" s="687"/>
      <c r="DI7" s="687"/>
      <c r="DJ7" s="687"/>
      <c r="DK7" s="687"/>
      <c r="DL7" s="687"/>
      <c r="DM7" s="24093"/>
      <c r="DN7" s="23957" t="s">
        <v>59</v>
      </c>
      <c r="DO7" s="24093"/>
      <c r="DP7" s="23957" t="s">
        <v>59</v>
      </c>
      <c r="DQ7" s="687"/>
      <c r="DR7" s="687"/>
      <c r="DS7" s="687"/>
      <c r="DT7" s="687"/>
      <c r="DU7" s="687"/>
      <c r="DV7" s="687"/>
      <c r="DW7" s="687"/>
      <c r="DX7" s="24093"/>
      <c r="DY7" s="23957" t="s">
        <v>59</v>
      </c>
      <c r="DZ7" s="24093"/>
      <c r="EA7" s="23957" t="s">
        <v>59</v>
      </c>
      <c r="EB7" s="687"/>
      <c r="EC7" s="687"/>
      <c r="ED7" s="687"/>
      <c r="EE7" s="687"/>
      <c r="EF7" s="687"/>
      <c r="EG7" s="687"/>
      <c r="EH7" s="687"/>
      <c r="EI7" s="24093"/>
      <c r="EJ7" s="23957" t="s">
        <v>59</v>
      </c>
      <c r="EK7" s="24093"/>
      <c r="EL7" s="23957" t="s">
        <v>59</v>
      </c>
      <c r="EM7" s="687"/>
      <c r="EN7" s="687"/>
      <c r="EO7" s="687"/>
      <c r="EP7" s="687"/>
      <c r="EQ7" s="687"/>
      <c r="ER7" s="687"/>
      <c r="ES7" s="687"/>
      <c r="ET7" s="24093"/>
      <c r="EU7" s="23957" t="s">
        <v>59</v>
      </c>
      <c r="EV7" s="24093"/>
      <c r="EW7" s="23957" t="s">
        <v>59</v>
      </c>
      <c r="EX7" s="687"/>
      <c r="EY7" s="687"/>
      <c r="EZ7" s="687"/>
      <c r="FA7" s="687"/>
      <c r="FB7" s="687"/>
      <c r="FC7" s="687"/>
      <c r="FD7" s="687"/>
      <c r="FE7" s="24093"/>
      <c r="FF7" s="23957" t="s">
        <v>59</v>
      </c>
      <c r="FG7" s="24093"/>
      <c r="FH7" s="24205" t="s">
        <v>59</v>
      </c>
      <c r="FI7" s="687"/>
      <c r="FJ7" s="687"/>
      <c r="FK7" s="687"/>
      <c r="FL7" s="687"/>
      <c r="FM7" s="687"/>
      <c r="FN7" s="687"/>
      <c r="FO7" s="687"/>
      <c r="FP7" s="24093"/>
      <c r="FQ7" s="23957" t="s">
        <v>59</v>
      </c>
      <c r="FR7" s="24093"/>
      <c r="FS7" s="23957" t="s">
        <v>59</v>
      </c>
      <c r="FT7" s="1364"/>
      <c r="FU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7" s="447" t="e">
        <f ca="1">STRCHECKDATE(V8:FT8)</f>
        <v>#NAME?</v>
      </c>
      <c r="FW7" s="436"/>
      <c r="FX7" s="436" t="str">
        <f t="shared" si="0"/>
        <v/>
      </c>
      <c r="FY7" s="436"/>
      <c r="FZ7" s="436"/>
      <c r="GA7" s="1081">
        <v>0</v>
      </c>
    </row>
    <row r="8" spans="1:183" ht="14.25" hidden="1" customHeight="1">
      <c r="A8" s="1289"/>
      <c r="B8" s="1289"/>
      <c r="C8" s="1289"/>
      <c r="D8" s="1289"/>
      <c r="E8" s="24089"/>
      <c r="F8" s="24089"/>
      <c r="G8" s="24089"/>
      <c r="H8" s="24089"/>
      <c r="I8" s="24091"/>
      <c r="J8" s="24091"/>
      <c r="K8" s="24090"/>
      <c r="L8" s="1290"/>
      <c r="P8" s="24092"/>
      <c r="Q8" s="24092"/>
      <c r="R8" s="293"/>
      <c r="S8" s="1416"/>
      <c r="T8" s="236"/>
      <c r="U8" s="236"/>
      <c r="V8" s="261"/>
      <c r="W8" s="261"/>
      <c r="X8" s="261"/>
      <c r="Y8" s="261"/>
      <c r="Z8" s="261"/>
      <c r="AA8" s="261"/>
      <c r="AB8" s="261"/>
      <c r="AC8" s="24094"/>
      <c r="AD8" s="23957"/>
      <c r="AE8" s="24094"/>
      <c r="AF8" s="23957"/>
      <c r="AG8" s="261"/>
      <c r="AH8" s="261"/>
      <c r="AI8" s="261"/>
      <c r="AJ8" s="261"/>
      <c r="AK8" s="261"/>
      <c r="AL8" s="261"/>
      <c r="AM8" s="261"/>
      <c r="AN8" s="24094"/>
      <c r="AO8" s="23957"/>
      <c r="AP8" s="24096"/>
      <c r="AQ8" s="23957"/>
      <c r="AR8" s="6311"/>
      <c r="AS8" s="6311"/>
      <c r="AT8" s="6311"/>
      <c r="AU8" s="6311"/>
      <c r="AV8" s="6311"/>
      <c r="AW8" s="6311"/>
      <c r="AX8" s="6311"/>
      <c r="AY8" s="24186"/>
      <c r="AZ8" s="23957"/>
      <c r="BA8" s="24186"/>
      <c r="BB8" s="23957"/>
      <c r="BC8" s="6311"/>
      <c r="BD8" s="6311"/>
      <c r="BE8" s="261"/>
      <c r="BF8" s="261"/>
      <c r="BG8" s="261"/>
      <c r="BH8" s="261"/>
      <c r="BI8" s="261"/>
      <c r="BJ8" s="24094"/>
      <c r="BK8" s="23957"/>
      <c r="BL8" s="24094"/>
      <c r="BM8" s="23957"/>
      <c r="BN8" s="261"/>
      <c r="BO8" s="261"/>
      <c r="BP8" s="261"/>
      <c r="BQ8" s="261"/>
      <c r="BR8" s="261"/>
      <c r="BS8" s="261"/>
      <c r="BT8" s="261"/>
      <c r="BU8" s="24094"/>
      <c r="BV8" s="23957"/>
      <c r="BW8" s="24094"/>
      <c r="BX8" s="23957"/>
      <c r="BY8" s="261"/>
      <c r="BZ8" s="261"/>
      <c r="CA8" s="261"/>
      <c r="CB8" s="261"/>
      <c r="CC8" s="261"/>
      <c r="CD8" s="261"/>
      <c r="CE8" s="261"/>
      <c r="CF8" s="24094"/>
      <c r="CG8" s="23957"/>
      <c r="CH8" s="24094"/>
      <c r="CI8" s="23957"/>
      <c r="CJ8" s="261"/>
      <c r="CK8" s="261"/>
      <c r="CL8" s="261"/>
      <c r="CM8" s="261"/>
      <c r="CN8" s="261"/>
      <c r="CO8" s="261"/>
      <c r="CP8" s="261"/>
      <c r="CQ8" s="24094"/>
      <c r="CR8" s="23957"/>
      <c r="CS8" s="24094"/>
      <c r="CT8" s="23957"/>
      <c r="CU8" s="261"/>
      <c r="CV8" s="261"/>
      <c r="CW8" s="261"/>
      <c r="CX8" s="261"/>
      <c r="CY8" s="261"/>
      <c r="CZ8" s="261"/>
      <c r="DA8" s="261"/>
      <c r="DB8" s="24094"/>
      <c r="DC8" s="23957"/>
      <c r="DD8" s="24094"/>
      <c r="DE8" s="23957"/>
      <c r="DF8" s="261"/>
      <c r="DG8" s="261"/>
      <c r="DH8" s="261"/>
      <c r="DI8" s="261"/>
      <c r="DJ8" s="261"/>
      <c r="DK8" s="261"/>
      <c r="DL8" s="261"/>
      <c r="DM8" s="24094"/>
      <c r="DN8" s="23957"/>
      <c r="DO8" s="24094"/>
      <c r="DP8" s="23957"/>
      <c r="DQ8" s="261"/>
      <c r="DR8" s="261"/>
      <c r="DS8" s="261"/>
      <c r="DT8" s="261"/>
      <c r="DU8" s="261"/>
      <c r="DV8" s="261"/>
      <c r="DW8" s="261"/>
      <c r="DX8" s="24094"/>
      <c r="DY8" s="23957"/>
      <c r="DZ8" s="24094"/>
      <c r="EA8" s="23957"/>
      <c r="EB8" s="261"/>
      <c r="EC8" s="261"/>
      <c r="ED8" s="261"/>
      <c r="EE8" s="261"/>
      <c r="EF8" s="261"/>
      <c r="EG8" s="261"/>
      <c r="EH8" s="261"/>
      <c r="EI8" s="24094"/>
      <c r="EJ8" s="23957"/>
      <c r="EK8" s="24094"/>
      <c r="EL8" s="23957"/>
      <c r="EM8" s="261"/>
      <c r="EN8" s="261"/>
      <c r="EO8" s="261"/>
      <c r="EP8" s="261"/>
      <c r="EQ8" s="261"/>
      <c r="ER8" s="261"/>
      <c r="ES8" s="261"/>
      <c r="ET8" s="24094"/>
      <c r="EU8" s="23957"/>
      <c r="EV8" s="24094"/>
      <c r="EW8" s="23957"/>
      <c r="EX8" s="261"/>
      <c r="EY8" s="261"/>
      <c r="EZ8" s="261"/>
      <c r="FA8" s="261"/>
      <c r="FB8" s="261"/>
      <c r="FC8" s="261"/>
      <c r="FD8" s="261"/>
      <c r="FE8" s="24094"/>
      <c r="FF8" s="23957"/>
      <c r="FG8" s="24094"/>
      <c r="FH8" s="23957"/>
      <c r="FI8" s="261"/>
      <c r="FJ8" s="261"/>
      <c r="FK8" s="261"/>
      <c r="FL8" s="261"/>
      <c r="FM8" s="261"/>
      <c r="FN8" s="261"/>
      <c r="FO8" s="261"/>
      <c r="FP8" s="24094"/>
      <c r="FQ8" s="23957"/>
      <c r="FR8" s="24094"/>
      <c r="FS8" s="23957"/>
      <c r="FT8" s="1365"/>
      <c r="FU8" s="24162"/>
      <c r="FW8" s="436"/>
      <c r="FX8" s="436" t="str">
        <f t="shared" si="0"/>
        <v/>
      </c>
      <c r="FY8" s="436"/>
      <c r="FZ8" s="436"/>
      <c r="GA8" s="1081">
        <v>0</v>
      </c>
    </row>
    <row r="9" spans="1:183" ht="21" hidden="1" customHeight="1">
      <c r="A9" s="1289"/>
      <c r="B9" s="1289"/>
      <c r="C9" s="1289"/>
      <c r="D9" s="1289"/>
      <c r="E9" s="24089"/>
      <c r="F9" s="24089"/>
      <c r="G9" s="24089"/>
      <c r="H9" s="24089"/>
      <c r="I9" s="24091"/>
      <c r="J9" s="24090"/>
      <c r="K9" s="1289"/>
      <c r="L9" s="1290"/>
      <c r="P9" s="24092"/>
      <c r="Q9" s="24092"/>
      <c r="R9" s="292"/>
      <c r="S9" s="1204"/>
      <c r="T9" s="223" t="s">
        <v>712</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6312"/>
      <c r="AS9" s="6313"/>
      <c r="AT9" s="6314"/>
      <c r="AU9" s="6315"/>
      <c r="AV9" s="6316"/>
      <c r="AW9" s="6317"/>
      <c r="AX9" s="6318"/>
      <c r="AY9" s="6319"/>
      <c r="AZ9" s="6320"/>
      <c r="BA9" s="6321"/>
      <c r="BB9" s="6322"/>
      <c r="BC9" s="6323"/>
      <c r="BD9" s="6324"/>
      <c r="BE9" s="8218"/>
      <c r="BF9" s="8219"/>
      <c r="BG9" s="21818"/>
      <c r="BH9" s="8220"/>
      <c r="BI9" s="8221"/>
      <c r="BJ9" s="8222"/>
      <c r="BK9" s="8223"/>
      <c r="BL9" s="8224"/>
      <c r="BM9" s="8225"/>
      <c r="BN9" s="2037"/>
      <c r="BO9" s="2038"/>
      <c r="BP9" s="8226"/>
      <c r="BQ9" s="8227"/>
      <c r="BR9" s="2039"/>
      <c r="BS9" s="8228"/>
      <c r="BT9" s="8229"/>
      <c r="BU9" s="8230"/>
      <c r="BV9" s="8231"/>
      <c r="BW9" s="8232"/>
      <c r="BX9" s="8233"/>
      <c r="BY9" s="8234"/>
      <c r="BZ9" s="8235"/>
      <c r="CA9" s="8236"/>
      <c r="CB9" s="8237"/>
      <c r="CC9" s="8238"/>
      <c r="CD9" s="8239"/>
      <c r="CE9" s="8240"/>
      <c r="CF9" s="8241"/>
      <c r="CG9" s="8242"/>
      <c r="CH9" s="8243"/>
      <c r="CI9" s="8244"/>
      <c r="CJ9" s="8245"/>
      <c r="CK9" s="8246"/>
      <c r="CL9" s="8247"/>
      <c r="CM9" s="8248"/>
      <c r="CN9" s="8249"/>
      <c r="CO9" s="8250"/>
      <c r="CP9" s="8251"/>
      <c r="CQ9" s="8252"/>
      <c r="CR9" s="8253"/>
      <c r="CS9" s="8254"/>
      <c r="CT9" s="8255"/>
      <c r="CU9" s="8256"/>
      <c r="CV9" s="8257"/>
      <c r="CW9" s="8258"/>
      <c r="CX9" s="8259"/>
      <c r="CY9" s="8260"/>
      <c r="CZ9" s="8261"/>
      <c r="DA9" s="8262"/>
      <c r="DB9" s="8263"/>
      <c r="DC9" s="8264"/>
      <c r="DD9" s="8265"/>
      <c r="DE9" s="8266"/>
      <c r="DF9" s="8267"/>
      <c r="DG9" s="8268"/>
      <c r="DH9" s="8269"/>
      <c r="DI9" s="8270"/>
      <c r="DJ9" s="8271"/>
      <c r="DK9" s="8272"/>
      <c r="DL9" s="8273"/>
      <c r="DM9" s="8274"/>
      <c r="DN9" s="8275"/>
      <c r="DO9" s="8276"/>
      <c r="DP9" s="8277"/>
      <c r="DQ9" s="8278"/>
      <c r="DR9" s="8279"/>
      <c r="DS9" s="8280"/>
      <c r="DT9" s="8281"/>
      <c r="DU9" s="8282"/>
      <c r="DV9" s="8283"/>
      <c r="DW9" s="8284"/>
      <c r="DX9" s="8285"/>
      <c r="DY9" s="8286"/>
      <c r="DZ9" s="8287"/>
      <c r="EA9" s="8288"/>
      <c r="EB9" s="8289"/>
      <c r="EC9" s="8290"/>
      <c r="ED9" s="8291"/>
      <c r="EE9" s="8292"/>
      <c r="EF9" s="8293"/>
      <c r="EG9" s="8294"/>
      <c r="EH9" s="8295"/>
      <c r="EI9" s="8296"/>
      <c r="EJ9" s="8297"/>
      <c r="EK9" s="8298"/>
      <c r="EL9" s="8299"/>
      <c r="EM9" s="21410"/>
      <c r="EN9" s="21411"/>
      <c r="EO9" s="8300"/>
      <c r="EP9" s="8301"/>
      <c r="EQ9" s="21412"/>
      <c r="ER9" s="8302"/>
      <c r="ES9" s="8303"/>
      <c r="ET9" s="8304"/>
      <c r="EU9" s="8305"/>
      <c r="EV9" s="8306"/>
      <c r="EW9" s="8307"/>
      <c r="EX9" s="2040"/>
      <c r="EY9" s="2041"/>
      <c r="EZ9" s="8308"/>
      <c r="FA9" s="8309"/>
      <c r="FB9" s="2042"/>
      <c r="FC9" s="8310"/>
      <c r="FD9" s="8311"/>
      <c r="FE9" s="8312"/>
      <c r="FF9" s="8313"/>
      <c r="FG9" s="8314"/>
      <c r="FH9" s="5650"/>
      <c r="FI9" s="22398"/>
      <c r="FJ9" s="22399"/>
      <c r="FK9" s="23232"/>
      <c r="FL9" s="23233"/>
      <c r="FM9" s="22400"/>
      <c r="FN9" s="23234"/>
      <c r="FO9" s="23235"/>
      <c r="FP9" s="22401"/>
      <c r="FQ9" s="22402"/>
      <c r="FR9" s="22403"/>
      <c r="FS9" s="23236"/>
      <c r="FT9" s="303"/>
      <c r="FU9" s="1184" t="s">
        <v>713</v>
      </c>
      <c r="FW9" s="436"/>
      <c r="FX9" s="436" t="str">
        <f t="shared" si="0"/>
        <v>Добавить значение признака дифференциации</v>
      </c>
      <c r="FY9" s="436"/>
      <c r="FZ9" s="436"/>
      <c r="GA9" s="1081">
        <v>0</v>
      </c>
    </row>
    <row r="10" spans="1:183" ht="21" hidden="1" customHeight="1">
      <c r="A10" s="1289"/>
      <c r="B10" s="1289"/>
      <c r="C10" s="1289"/>
      <c r="D10" s="1289"/>
      <c r="E10" s="24089"/>
      <c r="F10" s="24089"/>
      <c r="G10" s="24089"/>
      <c r="H10" s="24089"/>
      <c r="I10" s="24090"/>
      <c r="J10" s="1289"/>
      <c r="K10" s="1289"/>
      <c r="L10" s="1290"/>
      <c r="P10" s="24092"/>
      <c r="Q10" s="1407"/>
      <c r="R10" s="292"/>
      <c r="S10" s="1204"/>
      <c r="T10" s="301" t="s">
        <v>641</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6325"/>
      <c r="AS10" s="6326"/>
      <c r="AT10" s="6327"/>
      <c r="AU10" s="6328"/>
      <c r="AV10" s="6329"/>
      <c r="AW10" s="6330"/>
      <c r="AX10" s="6331"/>
      <c r="AY10" s="6332"/>
      <c r="AZ10" s="6333"/>
      <c r="BA10" s="6334"/>
      <c r="BB10" s="6335"/>
      <c r="BC10" s="6336"/>
      <c r="BD10" s="6337"/>
      <c r="BE10" s="8315"/>
      <c r="BF10" s="8316"/>
      <c r="BG10" s="21819"/>
      <c r="BH10" s="8317"/>
      <c r="BI10" s="8318"/>
      <c r="BJ10" s="8319"/>
      <c r="BK10" s="8320"/>
      <c r="BL10" s="8321"/>
      <c r="BM10" s="8322"/>
      <c r="BN10" s="2043"/>
      <c r="BO10" s="2044"/>
      <c r="BP10" s="8323"/>
      <c r="BQ10" s="8324"/>
      <c r="BR10" s="2045"/>
      <c r="BS10" s="8325"/>
      <c r="BT10" s="8326"/>
      <c r="BU10" s="8327"/>
      <c r="BV10" s="8328"/>
      <c r="BW10" s="8329"/>
      <c r="BX10" s="8330"/>
      <c r="BY10" s="8331"/>
      <c r="BZ10" s="8332"/>
      <c r="CA10" s="8333"/>
      <c r="CB10" s="8334"/>
      <c r="CC10" s="8335"/>
      <c r="CD10" s="8336"/>
      <c r="CE10" s="8337"/>
      <c r="CF10" s="8338"/>
      <c r="CG10" s="8339"/>
      <c r="CH10" s="8340"/>
      <c r="CI10" s="8341"/>
      <c r="CJ10" s="8342"/>
      <c r="CK10" s="8343"/>
      <c r="CL10" s="8344"/>
      <c r="CM10" s="8345"/>
      <c r="CN10" s="8346"/>
      <c r="CO10" s="8347"/>
      <c r="CP10" s="8348"/>
      <c r="CQ10" s="8349"/>
      <c r="CR10" s="8350"/>
      <c r="CS10" s="8351"/>
      <c r="CT10" s="8352"/>
      <c r="CU10" s="8353"/>
      <c r="CV10" s="8354"/>
      <c r="CW10" s="8355"/>
      <c r="CX10" s="8356"/>
      <c r="CY10" s="8357"/>
      <c r="CZ10" s="8358"/>
      <c r="DA10" s="8359"/>
      <c r="DB10" s="8360"/>
      <c r="DC10" s="8361"/>
      <c r="DD10" s="8362"/>
      <c r="DE10" s="8363"/>
      <c r="DF10" s="8364"/>
      <c r="DG10" s="8365"/>
      <c r="DH10" s="8366"/>
      <c r="DI10" s="8367"/>
      <c r="DJ10" s="8368"/>
      <c r="DK10" s="8369"/>
      <c r="DL10" s="8370"/>
      <c r="DM10" s="8371"/>
      <c r="DN10" s="8372"/>
      <c r="DO10" s="8373"/>
      <c r="DP10" s="8374"/>
      <c r="DQ10" s="8375"/>
      <c r="DR10" s="8376"/>
      <c r="DS10" s="8377"/>
      <c r="DT10" s="8378"/>
      <c r="DU10" s="8379"/>
      <c r="DV10" s="8380"/>
      <c r="DW10" s="8381"/>
      <c r="DX10" s="8382"/>
      <c r="DY10" s="8383"/>
      <c r="DZ10" s="8384"/>
      <c r="EA10" s="8385"/>
      <c r="EB10" s="8386"/>
      <c r="EC10" s="8387"/>
      <c r="ED10" s="8388"/>
      <c r="EE10" s="8389"/>
      <c r="EF10" s="8390"/>
      <c r="EG10" s="8391"/>
      <c r="EH10" s="8392"/>
      <c r="EI10" s="8393"/>
      <c r="EJ10" s="8394"/>
      <c r="EK10" s="8395"/>
      <c r="EL10" s="8396"/>
      <c r="EM10" s="21413"/>
      <c r="EN10" s="21414"/>
      <c r="EO10" s="8397"/>
      <c r="EP10" s="8398"/>
      <c r="EQ10" s="21415"/>
      <c r="ER10" s="8399"/>
      <c r="ES10" s="8400"/>
      <c r="ET10" s="8401"/>
      <c r="EU10" s="8402"/>
      <c r="EV10" s="8403"/>
      <c r="EW10" s="8404"/>
      <c r="EX10" s="2046"/>
      <c r="EY10" s="2047"/>
      <c r="EZ10" s="8405"/>
      <c r="FA10" s="8406"/>
      <c r="FB10" s="2048"/>
      <c r="FC10" s="8407"/>
      <c r="FD10" s="8408"/>
      <c r="FE10" s="8409"/>
      <c r="FF10" s="8410"/>
      <c r="FG10" s="8411"/>
      <c r="FH10" s="5651"/>
      <c r="FI10" s="22404"/>
      <c r="FJ10" s="22405"/>
      <c r="FK10" s="23237"/>
      <c r="FL10" s="23238"/>
      <c r="FM10" s="22406"/>
      <c r="FN10" s="23239"/>
      <c r="FO10" s="23240"/>
      <c r="FP10" s="22407"/>
      <c r="FQ10" s="22408"/>
      <c r="FR10" s="22409"/>
      <c r="FS10" s="23241"/>
      <c r="FT10" s="303"/>
      <c r="FU10" s="1366"/>
      <c r="FW10" s="436"/>
      <c r="FX10" s="436" t="str">
        <f t="shared" si="0"/>
        <v>Добавить группу потребителей</v>
      </c>
      <c r="FY10" s="436"/>
      <c r="FZ10" s="436"/>
      <c r="GA10" s="1081">
        <v>0</v>
      </c>
    </row>
    <row r="11" spans="1:183"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6338"/>
      <c r="AS11" s="6339"/>
      <c r="AT11" s="6340"/>
      <c r="AU11" s="6341"/>
      <c r="AV11" s="6342"/>
      <c r="AW11" s="6343"/>
      <c r="AX11" s="6344"/>
      <c r="AY11" s="6345"/>
      <c r="AZ11" s="6346"/>
      <c r="BA11" s="6347"/>
      <c r="BB11" s="6348"/>
      <c r="BC11" s="6349"/>
      <c r="BD11" s="6350"/>
      <c r="BE11" s="8412"/>
      <c r="BF11" s="8413"/>
      <c r="BG11" s="21820"/>
      <c r="BH11" s="8414"/>
      <c r="BI11" s="8415"/>
      <c r="BJ11" s="8416"/>
      <c r="BK11" s="8417"/>
      <c r="BL11" s="8418"/>
      <c r="BM11" s="8419"/>
      <c r="BN11" s="2049"/>
      <c r="BO11" s="2050"/>
      <c r="BP11" s="8420"/>
      <c r="BQ11" s="8421"/>
      <c r="BR11" s="2051"/>
      <c r="BS11" s="8422"/>
      <c r="BT11" s="8423"/>
      <c r="BU11" s="8424"/>
      <c r="BV11" s="8425"/>
      <c r="BW11" s="8426"/>
      <c r="BX11" s="8427"/>
      <c r="BY11" s="8428"/>
      <c r="BZ11" s="8429"/>
      <c r="CA11" s="8430"/>
      <c r="CB11" s="8431"/>
      <c r="CC11" s="8432"/>
      <c r="CD11" s="8433"/>
      <c r="CE11" s="8434"/>
      <c r="CF11" s="8435"/>
      <c r="CG11" s="8436"/>
      <c r="CH11" s="8437"/>
      <c r="CI11" s="8438"/>
      <c r="CJ11" s="8439"/>
      <c r="CK11" s="8440"/>
      <c r="CL11" s="8441"/>
      <c r="CM11" s="8442"/>
      <c r="CN11" s="8443"/>
      <c r="CO11" s="8444"/>
      <c r="CP11" s="8445"/>
      <c r="CQ11" s="8446"/>
      <c r="CR11" s="8447"/>
      <c r="CS11" s="8448"/>
      <c r="CT11" s="8449"/>
      <c r="CU11" s="8450"/>
      <c r="CV11" s="8451"/>
      <c r="CW11" s="8452"/>
      <c r="CX11" s="8453"/>
      <c r="CY11" s="8454"/>
      <c r="CZ11" s="8455"/>
      <c r="DA11" s="8456"/>
      <c r="DB11" s="8457"/>
      <c r="DC11" s="8458"/>
      <c r="DD11" s="8459"/>
      <c r="DE11" s="8460"/>
      <c r="DF11" s="8461"/>
      <c r="DG11" s="8462"/>
      <c r="DH11" s="8463"/>
      <c r="DI11" s="8464"/>
      <c r="DJ11" s="8465"/>
      <c r="DK11" s="8466"/>
      <c r="DL11" s="8467"/>
      <c r="DM11" s="8468"/>
      <c r="DN11" s="8469"/>
      <c r="DO11" s="8470"/>
      <c r="DP11" s="8471"/>
      <c r="DQ11" s="8472"/>
      <c r="DR11" s="8473"/>
      <c r="DS11" s="8474"/>
      <c r="DT11" s="8475"/>
      <c r="DU11" s="8476"/>
      <c r="DV11" s="8477"/>
      <c r="DW11" s="8478"/>
      <c r="DX11" s="8479"/>
      <c r="DY11" s="8480"/>
      <c r="DZ11" s="8481"/>
      <c r="EA11" s="8482"/>
      <c r="EB11" s="8483"/>
      <c r="EC11" s="8484"/>
      <c r="ED11" s="8485"/>
      <c r="EE11" s="8486"/>
      <c r="EF11" s="8487"/>
      <c r="EG11" s="8488"/>
      <c r="EH11" s="8489"/>
      <c r="EI11" s="8490"/>
      <c r="EJ11" s="8491"/>
      <c r="EK11" s="8492"/>
      <c r="EL11" s="8493"/>
      <c r="EM11" s="21416"/>
      <c r="EN11" s="21417"/>
      <c r="EO11" s="8494"/>
      <c r="EP11" s="8495"/>
      <c r="EQ11" s="21418"/>
      <c r="ER11" s="8496"/>
      <c r="ES11" s="8497"/>
      <c r="ET11" s="8498"/>
      <c r="EU11" s="8499"/>
      <c r="EV11" s="8500"/>
      <c r="EW11" s="8501"/>
      <c r="EX11" s="2052"/>
      <c r="EY11" s="2053"/>
      <c r="EZ11" s="8502"/>
      <c r="FA11" s="8503"/>
      <c r="FB11" s="2054"/>
      <c r="FC11" s="8504"/>
      <c r="FD11" s="8505"/>
      <c r="FE11" s="8506"/>
      <c r="FF11" s="8507"/>
      <c r="FG11" s="8508"/>
      <c r="FH11" s="5652"/>
      <c r="FI11" s="22410"/>
      <c r="FJ11" s="22411"/>
      <c r="FK11" s="23242"/>
      <c r="FL11" s="23243"/>
      <c r="FM11" s="22412"/>
      <c r="FN11" s="23244"/>
      <c r="FO11" s="23245"/>
      <c r="FP11" s="22413"/>
      <c r="FQ11" s="22414"/>
      <c r="FR11" s="22415"/>
      <c r="FS11" s="23246"/>
      <c r="FT11" s="303"/>
      <c r="FU11" s="239"/>
      <c r="FW11" s="436"/>
      <c r="FX11" s="436" t="str">
        <f t="shared" si="0"/>
        <v>Добавить наименование признака дифференциации</v>
      </c>
      <c r="FY11" s="436"/>
      <c r="FZ11" s="436"/>
      <c r="GA11" s="1081">
        <v>0</v>
      </c>
    </row>
    <row r="12" spans="1:183" s="1568" customFormat="1" ht="14.25" hidden="1" customHeight="1">
      <c r="A12" s="1269"/>
      <c r="B12" s="1269"/>
      <c r="C12" s="1240"/>
      <c r="D12" s="1240"/>
      <c r="E12" s="24089"/>
      <c r="F12" s="24088"/>
      <c r="G12" s="1240"/>
      <c r="H12" s="1240"/>
      <c r="I12" s="1240"/>
      <c r="J12" s="1240"/>
      <c r="K12" s="1240"/>
      <c r="L12" s="1420"/>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T12" s="1250"/>
      <c r="AU12" s="1250"/>
      <c r="AV12" s="1250"/>
      <c r="AW12" s="1250"/>
      <c r="AX12" s="1250"/>
      <c r="AY12" s="1250"/>
      <c r="AZ12" s="1250"/>
      <c r="BA12" s="1250"/>
      <c r="BB12" s="1250"/>
      <c r="BC12" s="1250"/>
      <c r="BD12" s="1250"/>
      <c r="BE12" s="1250"/>
      <c r="BF12" s="1250"/>
      <c r="BG12" s="1250"/>
      <c r="BH12" s="1250"/>
      <c r="BI12" s="1250"/>
      <c r="BJ12" s="1250"/>
      <c r="BK12" s="1250"/>
      <c r="BL12" s="1250"/>
      <c r="BM12" s="1250"/>
      <c r="BN12" s="1250"/>
      <c r="BO12" s="1250"/>
      <c r="BP12" s="1250"/>
      <c r="BQ12" s="1250"/>
      <c r="BR12" s="1250"/>
      <c r="BS12" s="1250"/>
      <c r="BT12" s="1250"/>
      <c r="BU12" s="1250"/>
      <c r="BV12" s="1250"/>
      <c r="BW12" s="1250"/>
      <c r="BX12" s="1250"/>
      <c r="BY12" s="1250"/>
      <c r="BZ12" s="1250"/>
      <c r="CA12" s="1250"/>
      <c r="CB12" s="1250"/>
      <c r="CC12" s="1250"/>
      <c r="CD12" s="1250"/>
      <c r="CE12" s="1250"/>
      <c r="CF12" s="1250"/>
      <c r="CG12" s="1250"/>
      <c r="CH12" s="1250"/>
      <c r="CI12" s="1250"/>
      <c r="CJ12" s="1250"/>
      <c r="CK12" s="1250"/>
      <c r="CL12" s="1250"/>
      <c r="CM12" s="1250"/>
      <c r="CN12" s="1250"/>
      <c r="CO12" s="1250"/>
      <c r="CP12" s="1250"/>
      <c r="CQ12" s="1250"/>
      <c r="CR12" s="1250"/>
      <c r="CS12" s="1250"/>
      <c r="CT12" s="1250"/>
      <c r="CU12" s="1250"/>
      <c r="CV12" s="1250"/>
      <c r="CW12" s="1250"/>
      <c r="CX12" s="1250"/>
      <c r="CY12" s="1250"/>
      <c r="CZ12" s="1250"/>
      <c r="DA12" s="1250"/>
      <c r="DB12" s="1250"/>
      <c r="DC12" s="1250"/>
      <c r="DD12" s="1250"/>
      <c r="DE12" s="1250"/>
      <c r="DF12" s="1250"/>
      <c r="DG12" s="1250"/>
      <c r="DH12" s="1250"/>
      <c r="DI12" s="1250"/>
      <c r="DJ12" s="1250"/>
      <c r="DK12" s="1250"/>
      <c r="DL12" s="1250"/>
      <c r="DM12" s="1250"/>
      <c r="DN12" s="1250"/>
      <c r="DO12" s="1250"/>
      <c r="DP12" s="1250"/>
      <c r="DQ12" s="1250"/>
      <c r="DR12" s="1250"/>
      <c r="DS12" s="1250"/>
      <c r="DT12" s="1250"/>
      <c r="DU12" s="1250"/>
      <c r="DV12" s="1250"/>
      <c r="DW12" s="1250"/>
      <c r="DX12" s="1250"/>
      <c r="DY12" s="1250"/>
      <c r="DZ12" s="1250"/>
      <c r="EA12" s="1250"/>
      <c r="EB12" s="1250"/>
      <c r="EC12" s="1250"/>
      <c r="ED12" s="1250"/>
      <c r="EE12" s="1250"/>
      <c r="EF12" s="1250"/>
      <c r="EG12" s="1250"/>
      <c r="EH12" s="1250"/>
      <c r="EI12" s="1250"/>
      <c r="EJ12" s="1250"/>
      <c r="EK12" s="1250"/>
      <c r="EL12" s="1250"/>
      <c r="EM12" s="1250"/>
      <c r="EN12" s="1250"/>
      <c r="EO12" s="1250"/>
      <c r="EP12" s="1250"/>
      <c r="EQ12" s="1250"/>
      <c r="ER12" s="1250"/>
      <c r="ES12" s="1250"/>
      <c r="ET12" s="1250"/>
      <c r="EU12" s="1250"/>
      <c r="EV12" s="1250"/>
      <c r="EW12" s="1250"/>
      <c r="EX12" s="1250"/>
      <c r="EY12" s="1250"/>
      <c r="EZ12" s="1250"/>
      <c r="FA12" s="1250"/>
      <c r="FB12" s="1250"/>
      <c r="FC12" s="1250"/>
      <c r="FD12" s="1250"/>
      <c r="FE12" s="1250"/>
      <c r="FF12" s="1250"/>
      <c r="FG12" s="1250"/>
      <c r="FH12" s="5653"/>
      <c r="FI12" s="1250"/>
      <c r="FJ12" s="1250"/>
      <c r="FK12" s="1250"/>
      <c r="FL12" s="1250"/>
      <c r="FM12" s="1250"/>
      <c r="FN12" s="1250"/>
      <c r="FO12" s="1250"/>
      <c r="FP12" s="1250"/>
      <c r="FQ12" s="1250"/>
      <c r="FR12" s="1250"/>
      <c r="FS12" s="1250"/>
      <c r="FT12" s="1250"/>
      <c r="FU12" s="1250"/>
      <c r="FW12" s="719"/>
      <c r="FX12" s="719" t="str">
        <f t="shared" si="0"/>
        <v>Добавить централизованную систему для дифференциации</v>
      </c>
      <c r="FY12" s="719"/>
      <c r="FZ12" s="719"/>
      <c r="GA12" s="454">
        <v>0</v>
      </c>
    </row>
    <row r="13" spans="1:183"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T13" s="1250"/>
      <c r="AU13" s="1250"/>
      <c r="AV13" s="1250"/>
      <c r="AW13" s="1250"/>
      <c r="AX13" s="1250"/>
      <c r="AY13" s="1250"/>
      <c r="AZ13" s="1250"/>
      <c r="BA13" s="1250"/>
      <c r="BB13" s="1250"/>
      <c r="BC13" s="1250"/>
      <c r="BD13" s="1250"/>
      <c r="BE13" s="1250"/>
      <c r="BF13" s="1250"/>
      <c r="BG13" s="1250"/>
      <c r="BH13" s="1250"/>
      <c r="BI13" s="1250"/>
      <c r="BJ13" s="1250"/>
      <c r="BK13" s="1250"/>
      <c r="BL13" s="1250"/>
      <c r="BM13" s="1250"/>
      <c r="BN13" s="1250"/>
      <c r="BO13" s="1250"/>
      <c r="BP13" s="1250"/>
      <c r="BQ13" s="1250"/>
      <c r="BR13" s="1250"/>
      <c r="BS13" s="1250"/>
      <c r="BT13" s="1250"/>
      <c r="BU13" s="1250"/>
      <c r="BV13" s="1250"/>
      <c r="BW13" s="1250"/>
      <c r="BX13" s="1250"/>
      <c r="BY13" s="1250"/>
      <c r="BZ13" s="1250"/>
      <c r="CA13" s="1250"/>
      <c r="CB13" s="1250"/>
      <c r="CC13" s="1250"/>
      <c r="CD13" s="1250"/>
      <c r="CE13" s="1250"/>
      <c r="CF13" s="1250"/>
      <c r="CG13" s="1250"/>
      <c r="CH13" s="1250"/>
      <c r="CI13" s="1250"/>
      <c r="CJ13" s="1250"/>
      <c r="CK13" s="1250"/>
      <c r="CL13" s="1250"/>
      <c r="CM13" s="1250"/>
      <c r="CN13" s="1250"/>
      <c r="CO13" s="1250"/>
      <c r="CP13" s="1250"/>
      <c r="CQ13" s="1250"/>
      <c r="CR13" s="1250"/>
      <c r="CS13" s="1250"/>
      <c r="CT13" s="1250"/>
      <c r="CU13" s="1250"/>
      <c r="CV13" s="1250"/>
      <c r="CW13" s="1250"/>
      <c r="CX13" s="1250"/>
      <c r="CY13" s="1250"/>
      <c r="CZ13" s="1250"/>
      <c r="DA13" s="1250"/>
      <c r="DB13" s="1250"/>
      <c r="DC13" s="1250"/>
      <c r="DD13" s="1250"/>
      <c r="DE13" s="1250"/>
      <c r="DF13" s="1250"/>
      <c r="DG13" s="1250"/>
      <c r="DH13" s="1250"/>
      <c r="DI13" s="1250"/>
      <c r="DJ13" s="1250"/>
      <c r="DK13" s="1250"/>
      <c r="DL13" s="1250"/>
      <c r="DM13" s="1250"/>
      <c r="DN13" s="1250"/>
      <c r="DO13" s="1250"/>
      <c r="DP13" s="1250"/>
      <c r="DQ13" s="1250"/>
      <c r="DR13" s="1250"/>
      <c r="DS13" s="1250"/>
      <c r="DT13" s="1250"/>
      <c r="DU13" s="1250"/>
      <c r="DV13" s="1250"/>
      <c r="DW13" s="1250"/>
      <c r="DX13" s="1250"/>
      <c r="DY13" s="1250"/>
      <c r="DZ13" s="1250"/>
      <c r="EA13" s="1250"/>
      <c r="EB13" s="1250"/>
      <c r="EC13" s="1250"/>
      <c r="ED13" s="1250"/>
      <c r="EE13" s="1250"/>
      <c r="EF13" s="1250"/>
      <c r="EG13" s="1250"/>
      <c r="EH13" s="1250"/>
      <c r="EI13" s="1250"/>
      <c r="EJ13" s="1250"/>
      <c r="EK13" s="1250"/>
      <c r="EL13" s="1250"/>
      <c r="EM13" s="1250"/>
      <c r="EN13" s="1250"/>
      <c r="EO13" s="1250"/>
      <c r="EP13" s="1250"/>
      <c r="EQ13" s="1250"/>
      <c r="ER13" s="1250"/>
      <c r="ES13" s="1250"/>
      <c r="ET13" s="1250"/>
      <c r="EU13" s="1250"/>
      <c r="EV13" s="1250"/>
      <c r="EW13" s="1250"/>
      <c r="EX13" s="1250"/>
      <c r="EY13" s="1250"/>
      <c r="EZ13" s="1250"/>
      <c r="FA13" s="1250"/>
      <c r="FB13" s="1250"/>
      <c r="FC13" s="1250"/>
      <c r="FD13" s="1250"/>
      <c r="FE13" s="1250"/>
      <c r="FF13" s="1250"/>
      <c r="FG13" s="1250"/>
      <c r="FH13" s="5653"/>
      <c r="FI13" s="1250"/>
      <c r="FJ13" s="1250"/>
      <c r="FK13" s="1250"/>
      <c r="FL13" s="1250"/>
      <c r="FM13" s="1250"/>
      <c r="FN13" s="1250"/>
      <c r="FO13" s="1250"/>
      <c r="FP13" s="1250"/>
      <c r="FQ13" s="1250"/>
      <c r="FR13" s="1250"/>
      <c r="FS13" s="1250"/>
      <c r="FT13" s="1250"/>
      <c r="FU13" s="1250"/>
      <c r="FW13" s="436"/>
      <c r="FX13" s="436" t="str">
        <f t="shared" si="0"/>
        <v>Добавить территорию для дифференциации</v>
      </c>
      <c r="FY13" s="436"/>
      <c r="FZ13" s="436"/>
      <c r="GA13" s="447">
        <v>0</v>
      </c>
    </row>
    <row r="14" spans="1:183" ht="14.25" hidden="1" customHeight="1">
      <c r="AF14" s="263"/>
      <c r="AQ14" s="263"/>
      <c r="AR14" s="5649"/>
      <c r="AS14" s="5649"/>
      <c r="AT14" s="5649"/>
      <c r="AU14" s="5649"/>
      <c r="AV14" s="5649"/>
      <c r="AW14" s="5649"/>
      <c r="AX14" s="5649"/>
      <c r="AY14" s="5649"/>
      <c r="AZ14" s="5649"/>
      <c r="BA14" s="5649"/>
      <c r="BB14" s="5649"/>
      <c r="BC14" s="5649"/>
      <c r="BD14" s="5649"/>
      <c r="BE14" s="5649"/>
      <c r="BF14" s="5649"/>
      <c r="BG14" s="5649"/>
      <c r="BH14" s="5649"/>
      <c r="BI14" s="5649"/>
      <c r="BJ14" s="5649"/>
      <c r="BK14" s="5649"/>
      <c r="BL14" s="5649"/>
      <c r="BM14" s="5649"/>
      <c r="BN14" s="1561"/>
      <c r="BO14" s="1561"/>
      <c r="BP14" s="5649"/>
      <c r="BQ14" s="5649"/>
      <c r="BR14" s="1561"/>
      <c r="BS14" s="5649"/>
      <c r="BT14" s="5649"/>
      <c r="BU14" s="5649"/>
      <c r="BV14" s="5649"/>
      <c r="BW14" s="5649"/>
      <c r="BX14" s="5649"/>
      <c r="BY14" s="5649"/>
      <c r="BZ14" s="5649"/>
      <c r="CA14" s="5649"/>
      <c r="CB14" s="5649"/>
      <c r="CC14" s="5649"/>
      <c r="CD14" s="5649"/>
      <c r="CE14" s="5649"/>
      <c r="CF14" s="5649"/>
      <c r="CG14" s="5649"/>
      <c r="CH14" s="5649"/>
      <c r="CI14" s="5649"/>
      <c r="CJ14" s="5649"/>
      <c r="CK14" s="5649"/>
      <c r="CL14" s="5649"/>
      <c r="CM14" s="5649"/>
      <c r="CN14" s="5649"/>
      <c r="CO14" s="5649"/>
      <c r="CP14" s="5649"/>
      <c r="CQ14" s="5649"/>
      <c r="CR14" s="5649"/>
      <c r="CS14" s="5649"/>
      <c r="CT14" s="5649"/>
      <c r="CU14" s="5649"/>
      <c r="CV14" s="5649"/>
      <c r="CW14" s="5649"/>
      <c r="CX14" s="5649"/>
      <c r="CY14" s="5649"/>
      <c r="CZ14" s="5649"/>
      <c r="DA14" s="5649"/>
      <c r="DB14" s="5649"/>
      <c r="DC14" s="5649"/>
      <c r="DD14" s="5649"/>
      <c r="DE14" s="5649"/>
      <c r="DF14" s="5649"/>
      <c r="DG14" s="5649"/>
      <c r="DH14" s="5649"/>
      <c r="DI14" s="5649"/>
      <c r="DJ14" s="5649"/>
      <c r="DK14" s="5649"/>
      <c r="DL14" s="5649"/>
      <c r="DM14" s="5649"/>
      <c r="DN14" s="5649"/>
      <c r="DO14" s="5649"/>
      <c r="DP14" s="5649"/>
      <c r="DQ14" s="5649"/>
      <c r="DR14" s="5649"/>
      <c r="DS14" s="5649"/>
      <c r="DT14" s="5649"/>
      <c r="DU14" s="5649"/>
      <c r="DV14" s="5649"/>
      <c r="DW14" s="5649"/>
      <c r="DX14" s="5649"/>
      <c r="DY14" s="5649"/>
      <c r="DZ14" s="5649"/>
      <c r="EA14" s="5649"/>
      <c r="EB14" s="5649"/>
      <c r="EC14" s="5649"/>
      <c r="ED14" s="5649"/>
      <c r="EE14" s="5649"/>
      <c r="EF14" s="5649"/>
      <c r="EG14" s="5649"/>
      <c r="EH14" s="5649"/>
      <c r="EI14" s="5649"/>
      <c r="EJ14" s="5649"/>
      <c r="EK14" s="5649"/>
      <c r="EL14" s="5649"/>
      <c r="EM14" s="5649"/>
      <c r="EN14" s="5649"/>
      <c r="EO14" s="5649"/>
      <c r="EP14" s="5649"/>
      <c r="EQ14" s="5649"/>
      <c r="ER14" s="5649"/>
      <c r="ES14" s="5649"/>
      <c r="ET14" s="5649"/>
      <c r="EU14" s="5649"/>
      <c r="EV14" s="5649"/>
      <c r="EW14" s="5649"/>
      <c r="EX14" s="1561"/>
      <c r="EY14" s="1561"/>
      <c r="EZ14" s="5649"/>
      <c r="FA14" s="5649"/>
      <c r="FB14" s="1561"/>
      <c r="FC14" s="5649"/>
      <c r="FD14" s="5649"/>
      <c r="FE14" s="5649"/>
      <c r="FF14" s="5649"/>
      <c r="FG14" s="5649"/>
      <c r="FH14" s="5649"/>
      <c r="FI14" s="1561"/>
      <c r="FJ14" s="1561"/>
      <c r="FK14" s="5649"/>
      <c r="FL14" s="5649"/>
      <c r="FM14" s="1561"/>
      <c r="FN14" s="5649"/>
      <c r="FO14" s="5649"/>
      <c r="FP14" s="1561"/>
      <c r="FQ14" s="1561"/>
      <c r="FR14" s="1561"/>
      <c r="FS14" s="5649"/>
      <c r="GA14" s="1081">
        <v>0</v>
      </c>
    </row>
    <row r="15" spans="1:183" ht="14.25" hidden="1" customHeight="1">
      <c r="AG15" s="1286"/>
      <c r="AH15" s="1286"/>
      <c r="AI15" s="1286"/>
      <c r="AJ15" s="1286"/>
      <c r="AK15" s="1286"/>
      <c r="AL15" s="1286"/>
      <c r="AM15" s="1286"/>
      <c r="AN15" s="24086"/>
      <c r="AO15" s="24085" t="s">
        <v>59</v>
      </c>
      <c r="AP15" s="24086"/>
      <c r="AQ15" s="24085" t="s">
        <v>59</v>
      </c>
      <c r="AR15" s="5649"/>
      <c r="AS15" s="5649"/>
      <c r="AT15" s="5649"/>
      <c r="AU15" s="5649"/>
      <c r="AV15" s="5649"/>
      <c r="AW15" s="5649"/>
      <c r="AX15" s="5649"/>
      <c r="AY15" s="5649"/>
      <c r="AZ15" s="5649"/>
      <c r="BA15" s="5649"/>
      <c r="BB15" s="5649"/>
      <c r="BC15" s="5649"/>
      <c r="BD15" s="5649"/>
      <c r="BE15" s="5649"/>
      <c r="BF15" s="5649"/>
      <c r="BG15" s="5649"/>
      <c r="BH15" s="5649"/>
      <c r="BI15" s="5649"/>
      <c r="BJ15" s="5649"/>
      <c r="BK15" s="5649"/>
      <c r="BL15" s="5649"/>
      <c r="BM15" s="5649"/>
      <c r="BN15" s="1561"/>
      <c r="BO15" s="1561"/>
      <c r="BP15" s="5649"/>
      <c r="BQ15" s="5649"/>
      <c r="BR15" s="1561"/>
      <c r="BS15" s="5649"/>
      <c r="BT15" s="5649"/>
      <c r="BU15" s="5649"/>
      <c r="BV15" s="5649"/>
      <c r="BW15" s="5649"/>
      <c r="BX15" s="5649"/>
      <c r="BY15" s="5649"/>
      <c r="BZ15" s="5649"/>
      <c r="CA15" s="5649"/>
      <c r="CB15" s="5649"/>
      <c r="CC15" s="5649"/>
      <c r="CD15" s="5649"/>
      <c r="CE15" s="5649"/>
      <c r="CF15" s="5649"/>
      <c r="CG15" s="5649"/>
      <c r="CH15" s="5649"/>
      <c r="CI15" s="5649"/>
      <c r="CJ15" s="5649"/>
      <c r="CK15" s="5649"/>
      <c r="CL15" s="5649"/>
      <c r="CM15" s="5649"/>
      <c r="CN15" s="5649"/>
      <c r="CO15" s="5649"/>
      <c r="CP15" s="5649"/>
      <c r="CQ15" s="5649"/>
      <c r="CR15" s="5649"/>
      <c r="CS15" s="5649"/>
      <c r="CT15" s="5649"/>
      <c r="CU15" s="5649"/>
      <c r="CV15" s="5649"/>
      <c r="CW15" s="5649"/>
      <c r="CX15" s="5649"/>
      <c r="CY15" s="5649"/>
      <c r="CZ15" s="5649"/>
      <c r="DA15" s="5649"/>
      <c r="DB15" s="5649"/>
      <c r="DC15" s="5649"/>
      <c r="DD15" s="5649"/>
      <c r="DE15" s="5649"/>
      <c r="DF15" s="5649"/>
      <c r="DG15" s="5649"/>
      <c r="DH15" s="5649"/>
      <c r="DI15" s="5649"/>
      <c r="DJ15" s="5649"/>
      <c r="DK15" s="5649"/>
      <c r="DL15" s="5649"/>
      <c r="DM15" s="5649"/>
      <c r="DN15" s="5649"/>
      <c r="DO15" s="5649"/>
      <c r="DP15" s="5649"/>
      <c r="DQ15" s="5649"/>
      <c r="DR15" s="5649"/>
      <c r="DS15" s="5649"/>
      <c r="DT15" s="5649"/>
      <c r="DU15" s="5649"/>
      <c r="DV15" s="5649"/>
      <c r="DW15" s="5649"/>
      <c r="DX15" s="5649"/>
      <c r="DY15" s="5649"/>
      <c r="DZ15" s="5649"/>
      <c r="EA15" s="5649"/>
      <c r="EB15" s="5649"/>
      <c r="EC15" s="5649"/>
      <c r="ED15" s="5649"/>
      <c r="EE15" s="5649"/>
      <c r="EF15" s="5649"/>
      <c r="EG15" s="5649"/>
      <c r="EH15" s="5649"/>
      <c r="EI15" s="5649"/>
      <c r="EJ15" s="5649"/>
      <c r="EK15" s="5649"/>
      <c r="EL15" s="5649"/>
      <c r="EM15" s="5649"/>
      <c r="EN15" s="5649"/>
      <c r="EO15" s="5649"/>
      <c r="EP15" s="5649"/>
      <c r="EQ15" s="5649"/>
      <c r="ER15" s="5649"/>
      <c r="ES15" s="5649"/>
      <c r="ET15" s="5649"/>
      <c r="EU15" s="5649"/>
      <c r="EV15" s="5649"/>
      <c r="EW15" s="5649"/>
      <c r="EX15" s="1561"/>
      <c r="EY15" s="1561"/>
      <c r="EZ15" s="5649"/>
      <c r="FA15" s="5649"/>
      <c r="FB15" s="1561"/>
      <c r="FC15" s="5649"/>
      <c r="FD15" s="5649"/>
      <c r="FE15" s="5649"/>
      <c r="FF15" s="5649"/>
      <c r="FG15" s="5649"/>
      <c r="FH15" s="5649"/>
      <c r="FI15" s="1561"/>
      <c r="FJ15" s="1561"/>
      <c r="FK15" s="5649"/>
      <c r="FL15" s="5649"/>
      <c r="FM15" s="1561"/>
      <c r="FN15" s="5649"/>
      <c r="FO15" s="5649"/>
      <c r="FP15" s="1561"/>
      <c r="FQ15" s="1561"/>
      <c r="FR15" s="1561"/>
      <c r="FS15" s="5649"/>
      <c r="GA15" s="1081">
        <v>0</v>
      </c>
    </row>
    <row r="16" spans="1:183" ht="14.25" hidden="1" customHeight="1">
      <c r="AG16" s="1286"/>
      <c r="AH16" s="1286"/>
      <c r="AI16" s="1286"/>
      <c r="AJ16" s="1286"/>
      <c r="AK16" s="1286"/>
      <c r="AL16" s="1286"/>
      <c r="AM16" s="1286"/>
      <c r="AN16" s="24085"/>
      <c r="AO16" s="24085"/>
      <c r="AP16" s="24085"/>
      <c r="AQ16" s="24085"/>
      <c r="AR16" s="5649"/>
      <c r="AS16" s="5649"/>
      <c r="AT16" s="5649"/>
      <c r="AU16" s="5649"/>
      <c r="AV16" s="5649"/>
      <c r="AW16" s="5649"/>
      <c r="AX16" s="5649"/>
      <c r="AY16" s="5649"/>
      <c r="AZ16" s="5649"/>
      <c r="BA16" s="5649"/>
      <c r="BB16" s="5649"/>
      <c r="BC16" s="5649"/>
      <c r="BD16" s="5649"/>
      <c r="BE16" s="5649"/>
      <c r="BF16" s="5649"/>
      <c r="BG16" s="5649"/>
      <c r="BH16" s="5649"/>
      <c r="BI16" s="5649"/>
      <c r="BJ16" s="5649"/>
      <c r="BK16" s="5649"/>
      <c r="BL16" s="5649"/>
      <c r="BM16" s="5649"/>
      <c r="BN16" s="1561"/>
      <c r="BO16" s="1561"/>
      <c r="BP16" s="5649"/>
      <c r="BQ16" s="5649"/>
      <c r="BR16" s="1561"/>
      <c r="BS16" s="5649"/>
      <c r="BT16" s="5649"/>
      <c r="BU16" s="5649"/>
      <c r="BV16" s="5649"/>
      <c r="BW16" s="5649"/>
      <c r="BX16" s="5649"/>
      <c r="BY16" s="5649"/>
      <c r="BZ16" s="5649"/>
      <c r="CA16" s="5649"/>
      <c r="CB16" s="5649"/>
      <c r="CC16" s="5649"/>
      <c r="CD16" s="5649"/>
      <c r="CE16" s="5649"/>
      <c r="CF16" s="5649"/>
      <c r="CG16" s="5649"/>
      <c r="CH16" s="5649"/>
      <c r="CI16" s="5649"/>
      <c r="CJ16" s="5649"/>
      <c r="CK16" s="5649"/>
      <c r="CL16" s="5649"/>
      <c r="CM16" s="5649"/>
      <c r="CN16" s="5649"/>
      <c r="CO16" s="5649"/>
      <c r="CP16" s="5649"/>
      <c r="CQ16" s="5649"/>
      <c r="CR16" s="5649"/>
      <c r="CS16" s="5649"/>
      <c r="CT16" s="5649"/>
      <c r="CU16" s="5649"/>
      <c r="CV16" s="5649"/>
      <c r="CW16" s="5649"/>
      <c r="CX16" s="5649"/>
      <c r="CY16" s="5649"/>
      <c r="CZ16" s="5649"/>
      <c r="DA16" s="5649"/>
      <c r="DB16" s="5649"/>
      <c r="DC16" s="5649"/>
      <c r="DD16" s="5649"/>
      <c r="DE16" s="5649"/>
      <c r="DF16" s="5649"/>
      <c r="DG16" s="5649"/>
      <c r="DH16" s="5649"/>
      <c r="DI16" s="5649"/>
      <c r="DJ16" s="5649"/>
      <c r="DK16" s="5649"/>
      <c r="DL16" s="5649"/>
      <c r="DM16" s="5649"/>
      <c r="DN16" s="5649"/>
      <c r="DO16" s="5649"/>
      <c r="DP16" s="5649"/>
      <c r="DQ16" s="5649"/>
      <c r="DR16" s="5649"/>
      <c r="DS16" s="5649"/>
      <c r="DT16" s="5649"/>
      <c r="DU16" s="5649"/>
      <c r="DV16" s="5649"/>
      <c r="DW16" s="5649"/>
      <c r="DX16" s="5649"/>
      <c r="DY16" s="5649"/>
      <c r="DZ16" s="5649"/>
      <c r="EA16" s="5649"/>
      <c r="EB16" s="5649"/>
      <c r="EC16" s="5649"/>
      <c r="ED16" s="5649"/>
      <c r="EE16" s="5649"/>
      <c r="EF16" s="5649"/>
      <c r="EG16" s="5649"/>
      <c r="EH16" s="5649"/>
      <c r="EI16" s="5649"/>
      <c r="EJ16" s="5649"/>
      <c r="EK16" s="5649"/>
      <c r="EL16" s="5649"/>
      <c r="EM16" s="5649"/>
      <c r="EN16" s="5649"/>
      <c r="EO16" s="5649"/>
      <c r="EP16" s="5649"/>
      <c r="EQ16" s="5649"/>
      <c r="ER16" s="5649"/>
      <c r="ES16" s="5649"/>
      <c r="ET16" s="5649"/>
      <c r="EU16" s="5649"/>
      <c r="EV16" s="5649"/>
      <c r="EW16" s="5649"/>
      <c r="EX16" s="1561"/>
      <c r="EY16" s="1561"/>
      <c r="EZ16" s="5649"/>
      <c r="FA16" s="5649"/>
      <c r="FB16" s="1561"/>
      <c r="FC16" s="5649"/>
      <c r="FD16" s="5649"/>
      <c r="FE16" s="5649"/>
      <c r="FF16" s="5649"/>
      <c r="FG16" s="5649"/>
      <c r="FH16" s="5649"/>
      <c r="FI16" s="1561"/>
      <c r="FJ16" s="1561"/>
      <c r="FK16" s="5649"/>
      <c r="FL16" s="5649"/>
      <c r="FM16" s="1561"/>
      <c r="FN16" s="5649"/>
      <c r="FO16" s="5649"/>
      <c r="FP16" s="1561"/>
      <c r="FQ16" s="1561"/>
      <c r="FR16" s="1561"/>
      <c r="FS16" s="5649"/>
      <c r="GA16" s="1081">
        <v>0</v>
      </c>
    </row>
    <row r="17" spans="1:183" ht="14.25" hidden="1" customHeight="1">
      <c r="AQ17" s="263"/>
      <c r="AR17" s="5649"/>
      <c r="AS17" s="5649"/>
      <c r="AT17" s="5649"/>
      <c r="AU17" s="5649"/>
      <c r="AV17" s="5649"/>
      <c r="AW17" s="5649"/>
      <c r="AX17" s="5649"/>
      <c r="AY17" s="5649"/>
      <c r="AZ17" s="5649"/>
      <c r="BA17" s="5649"/>
      <c r="BB17" s="5649"/>
      <c r="BC17" s="5649"/>
      <c r="BD17" s="5649"/>
      <c r="BE17" s="5649"/>
      <c r="BF17" s="5649"/>
      <c r="BG17" s="5649"/>
      <c r="BH17" s="5649"/>
      <c r="BI17" s="5649"/>
      <c r="BJ17" s="5649"/>
      <c r="BK17" s="5649"/>
      <c r="BL17" s="5649"/>
      <c r="BM17" s="5649"/>
      <c r="BN17" s="1561"/>
      <c r="BO17" s="1561"/>
      <c r="BP17" s="5649"/>
      <c r="BQ17" s="5649"/>
      <c r="BR17" s="1561"/>
      <c r="BS17" s="5649"/>
      <c r="BT17" s="5649"/>
      <c r="BU17" s="5649"/>
      <c r="BV17" s="5649"/>
      <c r="BW17" s="5649"/>
      <c r="BX17" s="5649"/>
      <c r="BY17" s="5649"/>
      <c r="BZ17" s="5649"/>
      <c r="CA17" s="5649"/>
      <c r="CB17" s="5649"/>
      <c r="CC17" s="5649"/>
      <c r="CD17" s="5649"/>
      <c r="CE17" s="5649"/>
      <c r="CF17" s="5649"/>
      <c r="CG17" s="5649"/>
      <c r="CH17" s="5649"/>
      <c r="CI17" s="5649"/>
      <c r="CJ17" s="5649"/>
      <c r="CK17" s="5649"/>
      <c r="CL17" s="5649"/>
      <c r="CM17" s="5649"/>
      <c r="CN17" s="5649"/>
      <c r="CO17" s="5649"/>
      <c r="CP17" s="5649"/>
      <c r="CQ17" s="5649"/>
      <c r="CR17" s="5649"/>
      <c r="CS17" s="5649"/>
      <c r="CT17" s="5649"/>
      <c r="CU17" s="5649"/>
      <c r="CV17" s="5649"/>
      <c r="CW17" s="5649"/>
      <c r="CX17" s="5649"/>
      <c r="CY17" s="5649"/>
      <c r="CZ17" s="5649"/>
      <c r="DA17" s="5649"/>
      <c r="DB17" s="5649"/>
      <c r="DC17" s="5649"/>
      <c r="DD17" s="5649"/>
      <c r="DE17" s="5649"/>
      <c r="DF17" s="5649"/>
      <c r="DG17" s="5649"/>
      <c r="DH17" s="5649"/>
      <c r="DI17" s="5649"/>
      <c r="DJ17" s="5649"/>
      <c r="DK17" s="5649"/>
      <c r="DL17" s="5649"/>
      <c r="DM17" s="5649"/>
      <c r="DN17" s="5649"/>
      <c r="DO17" s="5649"/>
      <c r="DP17" s="5649"/>
      <c r="DQ17" s="5649"/>
      <c r="DR17" s="5649"/>
      <c r="DS17" s="5649"/>
      <c r="DT17" s="5649"/>
      <c r="DU17" s="5649"/>
      <c r="DV17" s="5649"/>
      <c r="DW17" s="5649"/>
      <c r="DX17" s="5649"/>
      <c r="DY17" s="5649"/>
      <c r="DZ17" s="5649"/>
      <c r="EA17" s="5649"/>
      <c r="EB17" s="5649"/>
      <c r="EC17" s="5649"/>
      <c r="ED17" s="5649"/>
      <c r="EE17" s="5649"/>
      <c r="EF17" s="5649"/>
      <c r="EG17" s="5649"/>
      <c r="EH17" s="5649"/>
      <c r="EI17" s="5649"/>
      <c r="EJ17" s="5649"/>
      <c r="EK17" s="5649"/>
      <c r="EL17" s="5649"/>
      <c r="EM17" s="5649"/>
      <c r="EN17" s="5649"/>
      <c r="EO17" s="5649"/>
      <c r="EP17" s="5649"/>
      <c r="EQ17" s="5649"/>
      <c r="ER17" s="5649"/>
      <c r="ES17" s="5649"/>
      <c r="ET17" s="5649"/>
      <c r="EU17" s="5649"/>
      <c r="EV17" s="5649"/>
      <c r="EW17" s="5649"/>
      <c r="EX17" s="1561"/>
      <c r="EY17" s="1561"/>
      <c r="EZ17" s="5649"/>
      <c r="FA17" s="5649"/>
      <c r="FB17" s="1561"/>
      <c r="FC17" s="5649"/>
      <c r="FD17" s="5649"/>
      <c r="FE17" s="5649"/>
      <c r="FF17" s="5649"/>
      <c r="FG17" s="5649"/>
      <c r="FH17" s="5649"/>
      <c r="FI17" s="1561"/>
      <c r="FJ17" s="1561"/>
      <c r="FK17" s="5649"/>
      <c r="FL17" s="5649"/>
      <c r="FM17" s="1561"/>
      <c r="FN17" s="5649"/>
      <c r="FO17" s="5649"/>
      <c r="FP17" s="1561"/>
      <c r="FQ17" s="1561"/>
      <c r="FR17" s="1561"/>
      <c r="FS17" s="5649"/>
      <c r="GA17" s="1081">
        <v>0</v>
      </c>
    </row>
    <row r="18" spans="1:183" s="1292" customFormat="1" ht="22.5" hidden="1" customHeight="1">
      <c r="L18" s="1404"/>
      <c r="M18" s="1288"/>
      <c r="N18" s="1288"/>
      <c r="O18" s="1293" t="s">
        <v>644</v>
      </c>
      <c r="P18" s="1288"/>
      <c r="Q18" s="1297"/>
      <c r="R18" s="1297"/>
      <c r="S18" s="665"/>
      <c r="AC18" s="1293"/>
      <c r="AE18" s="1293"/>
      <c r="AN18" s="1293"/>
      <c r="AP18" s="1293"/>
      <c r="AR18" s="5654"/>
      <c r="AS18" s="5654"/>
      <c r="AT18" s="5654"/>
      <c r="AU18" s="5654"/>
      <c r="AV18" s="5654"/>
      <c r="AW18" s="5654"/>
      <c r="AX18" s="5654"/>
      <c r="AY18" s="6351"/>
      <c r="AZ18" s="5654"/>
      <c r="BA18" s="6351"/>
      <c r="BB18" s="5654"/>
      <c r="BC18" s="5654"/>
      <c r="BD18" s="5654"/>
      <c r="BE18" s="5654"/>
      <c r="BF18" s="5654"/>
      <c r="BG18" s="5654"/>
      <c r="BH18" s="5654"/>
      <c r="BI18" s="5654"/>
      <c r="BJ18" s="1293"/>
      <c r="BK18" s="5654"/>
      <c r="BL18" s="1293"/>
      <c r="BM18" s="5654"/>
      <c r="BP18" s="5654"/>
      <c r="BQ18" s="5654"/>
      <c r="BS18" s="5654"/>
      <c r="BT18" s="5654"/>
      <c r="BU18" s="1293"/>
      <c r="BV18" s="5654"/>
      <c r="BW18" s="1293"/>
      <c r="BX18" s="5654"/>
      <c r="BY18" s="5654"/>
      <c r="BZ18" s="5654"/>
      <c r="CA18" s="5654"/>
      <c r="CB18" s="5654"/>
      <c r="CC18" s="5654"/>
      <c r="CD18" s="5654"/>
      <c r="CE18" s="5654"/>
      <c r="CF18" s="1293"/>
      <c r="CG18" s="5654"/>
      <c r="CH18" s="1293"/>
      <c r="CI18" s="5654"/>
      <c r="CJ18" s="5654"/>
      <c r="CK18" s="5654"/>
      <c r="CL18" s="5654"/>
      <c r="CM18" s="5654"/>
      <c r="CN18" s="5654"/>
      <c r="CO18" s="5654"/>
      <c r="CP18" s="5654"/>
      <c r="CQ18" s="1293"/>
      <c r="CR18" s="5654"/>
      <c r="CS18" s="1293"/>
      <c r="CT18" s="5654"/>
      <c r="CU18" s="5654"/>
      <c r="CV18" s="5654"/>
      <c r="CW18" s="5654"/>
      <c r="CX18" s="5654"/>
      <c r="CY18" s="5654"/>
      <c r="CZ18" s="5654"/>
      <c r="DA18" s="5654"/>
      <c r="DB18" s="1293"/>
      <c r="DC18" s="5654"/>
      <c r="DD18" s="1293"/>
      <c r="DE18" s="5654"/>
      <c r="DF18" s="5654"/>
      <c r="DG18" s="5654"/>
      <c r="DH18" s="5654"/>
      <c r="DI18" s="5654"/>
      <c r="DJ18" s="5654"/>
      <c r="DK18" s="5654"/>
      <c r="DL18" s="5654"/>
      <c r="DM18" s="1293"/>
      <c r="DN18" s="5654"/>
      <c r="DO18" s="1293"/>
      <c r="DP18" s="5654"/>
      <c r="DQ18" s="5654"/>
      <c r="DR18" s="5654"/>
      <c r="DS18" s="5654"/>
      <c r="DT18" s="5654"/>
      <c r="DU18" s="5654"/>
      <c r="DV18" s="5654"/>
      <c r="DW18" s="5654"/>
      <c r="DX18" s="1293"/>
      <c r="DY18" s="5654"/>
      <c r="DZ18" s="1293"/>
      <c r="EA18" s="5654"/>
      <c r="EB18" s="5654"/>
      <c r="EC18" s="5654"/>
      <c r="ED18" s="5654"/>
      <c r="EE18" s="5654"/>
      <c r="EF18" s="5654"/>
      <c r="EG18" s="5654"/>
      <c r="EH18" s="5654"/>
      <c r="EI18" s="1293"/>
      <c r="EJ18" s="5654"/>
      <c r="EK18" s="1293"/>
      <c r="EL18" s="5654"/>
      <c r="EM18" s="5654"/>
      <c r="EN18" s="5654"/>
      <c r="EO18" s="5654"/>
      <c r="EP18" s="5654"/>
      <c r="EQ18" s="5654"/>
      <c r="ER18" s="5654"/>
      <c r="ES18" s="5654"/>
      <c r="ET18" s="1293"/>
      <c r="EU18" s="5654"/>
      <c r="EV18" s="1293"/>
      <c r="EW18" s="5654"/>
      <c r="EZ18" s="5654"/>
      <c r="FA18" s="5654"/>
      <c r="FC18" s="5654"/>
      <c r="FD18" s="5654"/>
      <c r="FE18" s="1293"/>
      <c r="FF18" s="5654"/>
      <c r="FG18" s="1293"/>
      <c r="FH18" s="5654"/>
      <c r="FK18" s="5654"/>
      <c r="FL18" s="5654"/>
      <c r="FN18" s="5654"/>
      <c r="FO18" s="5654"/>
      <c r="FP18" s="1293"/>
      <c r="FR18" s="1293"/>
      <c r="FS18" s="5654"/>
      <c r="FV18" s="447"/>
      <c r="FW18" s="447"/>
      <c r="FX18" s="447"/>
      <c r="FY18" s="447"/>
      <c r="FZ18" s="447"/>
      <c r="GA18" s="1086">
        <v>0</v>
      </c>
    </row>
    <row r="19" spans="1:183" s="1292" customFormat="1" ht="14.25" hidden="1" customHeight="1">
      <c r="L19" s="1404"/>
      <c r="M19" s="1288"/>
      <c r="N19" s="1288"/>
      <c r="O19" s="1288"/>
      <c r="P19" s="1288"/>
      <c r="Q19" s="1297"/>
      <c r="R19" s="1297"/>
      <c r="S19" s="665"/>
      <c r="AR19" s="5654"/>
      <c r="AS19" s="5654"/>
      <c r="AT19" s="5654"/>
      <c r="AU19" s="5654"/>
      <c r="AV19" s="5654"/>
      <c r="AW19" s="5654"/>
      <c r="AX19" s="5654"/>
      <c r="AY19" s="5654"/>
      <c r="AZ19" s="5654"/>
      <c r="BA19" s="5654"/>
      <c r="BB19" s="5654"/>
      <c r="BC19" s="5654"/>
      <c r="BD19" s="5654"/>
      <c r="BE19" s="5654"/>
      <c r="BF19" s="5654"/>
      <c r="BG19" s="5654"/>
      <c r="BH19" s="5654"/>
      <c r="BI19" s="5654"/>
      <c r="BJ19" s="5654"/>
      <c r="BK19" s="5654"/>
      <c r="BL19" s="5654"/>
      <c r="BM19" s="5654"/>
      <c r="BP19" s="5654"/>
      <c r="BQ19" s="5654"/>
      <c r="BS19" s="5654"/>
      <c r="BT19" s="5654"/>
      <c r="BU19" s="5654"/>
      <c r="BV19" s="5654"/>
      <c r="BW19" s="5654"/>
      <c r="BX19" s="5654"/>
      <c r="BY19" s="5654"/>
      <c r="BZ19" s="5654"/>
      <c r="CA19" s="5654"/>
      <c r="CB19" s="5654"/>
      <c r="CC19" s="5654"/>
      <c r="CD19" s="5654"/>
      <c r="CE19" s="5654"/>
      <c r="CF19" s="5654"/>
      <c r="CG19" s="5654"/>
      <c r="CH19" s="5654"/>
      <c r="CI19" s="5654"/>
      <c r="CJ19" s="5654"/>
      <c r="CK19" s="5654"/>
      <c r="CL19" s="5654"/>
      <c r="CM19" s="5654"/>
      <c r="CN19" s="5654"/>
      <c r="CO19" s="5654"/>
      <c r="CP19" s="5654"/>
      <c r="CQ19" s="5654"/>
      <c r="CR19" s="5654"/>
      <c r="CS19" s="5654"/>
      <c r="CT19" s="5654"/>
      <c r="CU19" s="5654"/>
      <c r="CV19" s="5654"/>
      <c r="CW19" s="5654"/>
      <c r="CX19" s="5654"/>
      <c r="CY19" s="5654"/>
      <c r="CZ19" s="5654"/>
      <c r="DA19" s="5654"/>
      <c r="DB19" s="5654"/>
      <c r="DC19" s="5654"/>
      <c r="DD19" s="5654"/>
      <c r="DE19" s="5654"/>
      <c r="DF19" s="5654"/>
      <c r="DG19" s="5654"/>
      <c r="DH19" s="5654"/>
      <c r="DI19" s="5654"/>
      <c r="DJ19" s="5654"/>
      <c r="DK19" s="5654"/>
      <c r="DL19" s="5654"/>
      <c r="DM19" s="5654"/>
      <c r="DN19" s="5654"/>
      <c r="DO19" s="5654"/>
      <c r="DP19" s="5654"/>
      <c r="DQ19" s="5654"/>
      <c r="DR19" s="5654"/>
      <c r="DS19" s="5654"/>
      <c r="DT19" s="5654"/>
      <c r="DU19" s="5654"/>
      <c r="DV19" s="5654"/>
      <c r="DW19" s="5654"/>
      <c r="DX19" s="5654"/>
      <c r="DY19" s="5654"/>
      <c r="DZ19" s="5654"/>
      <c r="EA19" s="5654"/>
      <c r="EB19" s="5654"/>
      <c r="EC19" s="5654"/>
      <c r="ED19" s="5654"/>
      <c r="EE19" s="5654"/>
      <c r="EF19" s="5654"/>
      <c r="EG19" s="5654"/>
      <c r="EH19" s="5654"/>
      <c r="EI19" s="5654"/>
      <c r="EJ19" s="5654"/>
      <c r="EK19" s="5654"/>
      <c r="EL19" s="5654"/>
      <c r="EM19" s="5654"/>
      <c r="EN19" s="5654"/>
      <c r="EO19" s="5654"/>
      <c r="EP19" s="5654"/>
      <c r="EQ19" s="5654"/>
      <c r="ER19" s="5654"/>
      <c r="ES19" s="5654"/>
      <c r="ET19" s="5654"/>
      <c r="EU19" s="5654"/>
      <c r="EV19" s="5654"/>
      <c r="EW19" s="5654"/>
      <c r="EZ19" s="5654"/>
      <c r="FA19" s="5654"/>
      <c r="FC19" s="5654"/>
      <c r="FD19" s="5654"/>
      <c r="FE19" s="5654"/>
      <c r="FF19" s="5654"/>
      <c r="FG19" s="5654"/>
      <c r="FH19" s="5654"/>
      <c r="FK19" s="5654"/>
      <c r="FL19" s="5654"/>
      <c r="FN19" s="5654"/>
      <c r="FO19" s="5654"/>
      <c r="FS19" s="5654"/>
      <c r="FV19" s="447"/>
      <c r="FW19" s="447"/>
      <c r="FX19" s="447"/>
      <c r="FY19" s="447"/>
      <c r="FZ19" s="447"/>
      <c r="GA19" s="1086">
        <v>0</v>
      </c>
    </row>
    <row r="20" spans="1:183" s="1292" customFormat="1" ht="12" hidden="1" customHeight="1">
      <c r="L20" s="1404"/>
      <c r="M20" s="1288"/>
      <c r="N20" s="1288"/>
      <c r="O20" s="1290" t="s">
        <v>645</v>
      </c>
      <c r="P20" s="1288"/>
      <c r="Q20" s="1368"/>
      <c r="R20" s="1368"/>
      <c r="S20" s="665"/>
      <c r="T20" s="1086" t="s">
        <v>646</v>
      </c>
      <c r="AD20" s="123" t="s">
        <v>647</v>
      </c>
      <c r="AF20" s="123" t="s">
        <v>648</v>
      </c>
      <c r="AG20" s="1086" t="s">
        <v>646</v>
      </c>
      <c r="AO20" s="123" t="s">
        <v>649</v>
      </c>
      <c r="AQ20" s="123" t="s">
        <v>648</v>
      </c>
      <c r="AR20" s="5654"/>
      <c r="AS20" s="5654"/>
      <c r="AT20" s="5654"/>
      <c r="AU20" s="5654"/>
      <c r="AV20" s="5654"/>
      <c r="AW20" s="5654"/>
      <c r="AX20" s="5654"/>
      <c r="AY20" s="5654"/>
      <c r="AZ20" s="5655" t="s">
        <v>647</v>
      </c>
      <c r="BA20" s="5654"/>
      <c r="BB20" s="5655" t="s">
        <v>648</v>
      </c>
      <c r="BC20" s="5654"/>
      <c r="BD20" s="5654"/>
      <c r="BE20" s="5654"/>
      <c r="BF20" s="5654"/>
      <c r="BG20" s="5654"/>
      <c r="BH20" s="5654"/>
      <c r="BI20" s="5654"/>
      <c r="BJ20" s="5654"/>
      <c r="BK20" s="5655" t="s">
        <v>647</v>
      </c>
      <c r="BL20" s="5654"/>
      <c r="BM20" s="5655" t="s">
        <v>648</v>
      </c>
      <c r="BP20" s="5654"/>
      <c r="BQ20" s="5654"/>
      <c r="BS20" s="5654"/>
      <c r="BT20" s="5654"/>
      <c r="BU20" s="5654"/>
      <c r="BV20" s="5655" t="s">
        <v>647</v>
      </c>
      <c r="BW20" s="5654"/>
      <c r="BX20" s="5655" t="s">
        <v>648</v>
      </c>
      <c r="BY20" s="5654"/>
      <c r="BZ20" s="5654"/>
      <c r="CA20" s="5654"/>
      <c r="CB20" s="5654"/>
      <c r="CC20" s="5654"/>
      <c r="CD20" s="5654"/>
      <c r="CE20" s="5654"/>
      <c r="CF20" s="5654"/>
      <c r="CG20" s="5655" t="s">
        <v>647</v>
      </c>
      <c r="CH20" s="5654"/>
      <c r="CI20" s="5655" t="s">
        <v>648</v>
      </c>
      <c r="CJ20" s="5654"/>
      <c r="CK20" s="5654"/>
      <c r="CL20" s="5654"/>
      <c r="CM20" s="5654"/>
      <c r="CN20" s="5654"/>
      <c r="CO20" s="5654"/>
      <c r="CP20" s="5654"/>
      <c r="CQ20" s="5654"/>
      <c r="CR20" s="5655" t="s">
        <v>647</v>
      </c>
      <c r="CS20" s="5654"/>
      <c r="CT20" s="5655" t="s">
        <v>648</v>
      </c>
      <c r="CU20" s="5654"/>
      <c r="CV20" s="5654"/>
      <c r="CW20" s="5654"/>
      <c r="CX20" s="5654"/>
      <c r="CY20" s="5654"/>
      <c r="CZ20" s="5654"/>
      <c r="DA20" s="5654"/>
      <c r="DB20" s="5654"/>
      <c r="DC20" s="5655" t="s">
        <v>647</v>
      </c>
      <c r="DD20" s="5654"/>
      <c r="DE20" s="5655" t="s">
        <v>648</v>
      </c>
      <c r="DF20" s="5654"/>
      <c r="DG20" s="5654"/>
      <c r="DH20" s="5654"/>
      <c r="DI20" s="5654"/>
      <c r="DJ20" s="5654"/>
      <c r="DK20" s="5654"/>
      <c r="DL20" s="5654"/>
      <c r="DM20" s="5654"/>
      <c r="DN20" s="5655" t="s">
        <v>647</v>
      </c>
      <c r="DO20" s="5654"/>
      <c r="DP20" s="5655" t="s">
        <v>648</v>
      </c>
      <c r="DQ20" s="5654"/>
      <c r="DR20" s="5654"/>
      <c r="DS20" s="5654"/>
      <c r="DT20" s="5654"/>
      <c r="DU20" s="5654"/>
      <c r="DV20" s="5654"/>
      <c r="DW20" s="5654"/>
      <c r="DX20" s="5654"/>
      <c r="DY20" s="5655" t="s">
        <v>647</v>
      </c>
      <c r="DZ20" s="5654"/>
      <c r="EA20" s="5655" t="s">
        <v>648</v>
      </c>
      <c r="EB20" s="5654"/>
      <c r="EC20" s="5654"/>
      <c r="ED20" s="5654"/>
      <c r="EE20" s="5654"/>
      <c r="EF20" s="5654"/>
      <c r="EG20" s="5654"/>
      <c r="EH20" s="5654"/>
      <c r="EI20" s="5654"/>
      <c r="EJ20" s="5655" t="s">
        <v>647</v>
      </c>
      <c r="EK20" s="5654"/>
      <c r="EL20" s="5655" t="s">
        <v>648</v>
      </c>
      <c r="EM20" s="5654"/>
      <c r="EN20" s="5654"/>
      <c r="EO20" s="5654"/>
      <c r="EP20" s="5654"/>
      <c r="EQ20" s="5654"/>
      <c r="ER20" s="5654"/>
      <c r="ES20" s="5654"/>
      <c r="ET20" s="5654"/>
      <c r="EU20" s="5655" t="s">
        <v>647</v>
      </c>
      <c r="EV20" s="5654"/>
      <c r="EW20" s="5655" t="s">
        <v>648</v>
      </c>
      <c r="EZ20" s="5654"/>
      <c r="FA20" s="5654"/>
      <c r="FC20" s="5654"/>
      <c r="FD20" s="5654"/>
      <c r="FE20" s="5654"/>
      <c r="FF20" s="5655" t="s">
        <v>647</v>
      </c>
      <c r="FG20" s="5654"/>
      <c r="FH20" s="5655" t="s">
        <v>648</v>
      </c>
      <c r="FK20" s="5654"/>
      <c r="FL20" s="5654"/>
      <c r="FN20" s="5654"/>
      <c r="FO20" s="5654"/>
      <c r="FQ20" s="1296" t="s">
        <v>647</v>
      </c>
      <c r="FS20" s="5655" t="s">
        <v>648</v>
      </c>
      <c r="GA20" s="1086">
        <v>0</v>
      </c>
    </row>
    <row r="21" spans="1:183" ht="14.25" hidden="1" customHeight="1">
      <c r="O21" s="1290"/>
      <c r="AR21" s="5649"/>
      <c r="AS21" s="5649"/>
      <c r="AT21" s="5649"/>
      <c r="AU21" s="5649"/>
      <c r="AV21" s="5649"/>
      <c r="AW21" s="5649"/>
      <c r="AX21" s="5649"/>
      <c r="AY21" s="5649"/>
      <c r="AZ21" s="5649"/>
      <c r="BA21" s="5649"/>
      <c r="BB21" s="5649"/>
      <c r="BC21" s="5649"/>
      <c r="BD21" s="5649"/>
      <c r="BE21" s="5649"/>
      <c r="BF21" s="5649"/>
      <c r="BG21" s="5649"/>
      <c r="BH21" s="5649"/>
      <c r="BI21" s="5649"/>
      <c r="BJ21" s="5649"/>
      <c r="BK21" s="5649"/>
      <c r="BL21" s="5649"/>
      <c r="BM21" s="5649"/>
      <c r="BN21" s="1561"/>
      <c r="BO21" s="1561"/>
      <c r="BP21" s="5649"/>
      <c r="BQ21" s="5649"/>
      <c r="BR21" s="1561"/>
      <c r="BS21" s="5649"/>
      <c r="BT21" s="5649"/>
      <c r="BU21" s="5649"/>
      <c r="BV21" s="5649"/>
      <c r="BW21" s="5649"/>
      <c r="BX21" s="5649"/>
      <c r="BY21" s="5649"/>
      <c r="BZ21" s="5649"/>
      <c r="CA21" s="5649"/>
      <c r="CB21" s="5649"/>
      <c r="CC21" s="5649"/>
      <c r="CD21" s="5649"/>
      <c r="CE21" s="5649"/>
      <c r="CF21" s="5649"/>
      <c r="CG21" s="5649"/>
      <c r="CH21" s="5649"/>
      <c r="CI21" s="5649"/>
      <c r="CJ21" s="5649"/>
      <c r="CK21" s="5649"/>
      <c r="CL21" s="5649"/>
      <c r="CM21" s="5649"/>
      <c r="CN21" s="5649"/>
      <c r="CO21" s="5649"/>
      <c r="CP21" s="5649"/>
      <c r="CQ21" s="5649"/>
      <c r="CR21" s="5649"/>
      <c r="CS21" s="5649"/>
      <c r="CT21" s="5649"/>
      <c r="CU21" s="5649"/>
      <c r="CV21" s="5649"/>
      <c r="CW21" s="5649"/>
      <c r="CX21" s="5649"/>
      <c r="CY21" s="5649"/>
      <c r="CZ21" s="5649"/>
      <c r="DA21" s="5649"/>
      <c r="DB21" s="5649"/>
      <c r="DC21" s="5649"/>
      <c r="DD21" s="5649"/>
      <c r="DE21" s="5649"/>
      <c r="DF21" s="5649"/>
      <c r="DG21" s="5649"/>
      <c r="DH21" s="5649"/>
      <c r="DI21" s="5649"/>
      <c r="DJ21" s="5649"/>
      <c r="DK21" s="5649"/>
      <c r="DL21" s="5649"/>
      <c r="DM21" s="5649"/>
      <c r="DN21" s="5649"/>
      <c r="DO21" s="5649"/>
      <c r="DP21" s="5649"/>
      <c r="DQ21" s="5649"/>
      <c r="DR21" s="5649"/>
      <c r="DS21" s="5649"/>
      <c r="DT21" s="5649"/>
      <c r="DU21" s="5649"/>
      <c r="DV21" s="5649"/>
      <c r="DW21" s="5649"/>
      <c r="DX21" s="5649"/>
      <c r="DY21" s="5649"/>
      <c r="DZ21" s="5649"/>
      <c r="EA21" s="5649"/>
      <c r="EB21" s="5649"/>
      <c r="EC21" s="5649"/>
      <c r="ED21" s="5649"/>
      <c r="EE21" s="5649"/>
      <c r="EF21" s="5649"/>
      <c r="EG21" s="5649"/>
      <c r="EH21" s="5649"/>
      <c r="EI21" s="5649"/>
      <c r="EJ21" s="5649"/>
      <c r="EK21" s="5649"/>
      <c r="EL21" s="5649"/>
      <c r="EM21" s="5649"/>
      <c r="EN21" s="5649"/>
      <c r="EO21" s="5649"/>
      <c r="EP21" s="5649"/>
      <c r="EQ21" s="5649"/>
      <c r="ER21" s="5649"/>
      <c r="ES21" s="5649"/>
      <c r="ET21" s="5649"/>
      <c r="EU21" s="5649"/>
      <c r="EV21" s="5649"/>
      <c r="EW21" s="5649"/>
      <c r="EX21" s="1561"/>
      <c r="EY21" s="1561"/>
      <c r="EZ21" s="5649"/>
      <c r="FA21" s="5649"/>
      <c r="FB21" s="1561"/>
      <c r="FC21" s="5649"/>
      <c r="FD21" s="5649"/>
      <c r="FE21" s="5649"/>
      <c r="FF21" s="5649"/>
      <c r="FG21" s="5649"/>
      <c r="FH21" s="5649"/>
      <c r="FI21" s="1561"/>
      <c r="FJ21" s="1561"/>
      <c r="FK21" s="5649"/>
      <c r="FL21" s="5649"/>
      <c r="FM21" s="1561"/>
      <c r="FN21" s="5649"/>
      <c r="FO21" s="5649"/>
      <c r="FP21" s="1561"/>
      <c r="FQ21" s="1561"/>
      <c r="FR21" s="1561"/>
      <c r="FS21" s="5649"/>
      <c r="GA21" s="1081">
        <v>0</v>
      </c>
    </row>
    <row r="22" spans="1:183" ht="14.25" hidden="1" customHeight="1">
      <c r="O22" s="1290"/>
      <c r="AR22" s="5649"/>
      <c r="AS22" s="5649"/>
      <c r="AT22" s="5649"/>
      <c r="AU22" s="5649"/>
      <c r="AV22" s="5649"/>
      <c r="AW22" s="5649"/>
      <c r="AX22" s="5649"/>
      <c r="AY22" s="5649"/>
      <c r="AZ22" s="5649"/>
      <c r="BA22" s="5649"/>
      <c r="BB22" s="5649"/>
      <c r="BC22" s="5649"/>
      <c r="BD22" s="5649"/>
      <c r="BE22" s="5649"/>
      <c r="BF22" s="5649"/>
      <c r="BG22" s="5649"/>
      <c r="BH22" s="5649"/>
      <c r="BI22" s="5649"/>
      <c r="BJ22" s="5649"/>
      <c r="BK22" s="5649"/>
      <c r="BL22" s="5649"/>
      <c r="BM22" s="5649"/>
      <c r="BN22" s="1561"/>
      <c r="BO22" s="1561"/>
      <c r="BP22" s="5649"/>
      <c r="BQ22" s="5649"/>
      <c r="BR22" s="1561"/>
      <c r="BS22" s="5649"/>
      <c r="BT22" s="5649"/>
      <c r="BU22" s="5649"/>
      <c r="BV22" s="5649"/>
      <c r="BW22" s="5649"/>
      <c r="BX22" s="5649"/>
      <c r="BY22" s="5649"/>
      <c r="BZ22" s="5649"/>
      <c r="CA22" s="5649"/>
      <c r="CB22" s="5649"/>
      <c r="CC22" s="5649"/>
      <c r="CD22" s="5649"/>
      <c r="CE22" s="5649"/>
      <c r="CF22" s="5649"/>
      <c r="CG22" s="5649"/>
      <c r="CH22" s="5649"/>
      <c r="CI22" s="5649"/>
      <c r="CJ22" s="5649"/>
      <c r="CK22" s="5649"/>
      <c r="CL22" s="5649"/>
      <c r="CM22" s="5649"/>
      <c r="CN22" s="5649"/>
      <c r="CO22" s="5649"/>
      <c r="CP22" s="5649"/>
      <c r="CQ22" s="5649"/>
      <c r="CR22" s="5649"/>
      <c r="CS22" s="5649"/>
      <c r="CT22" s="5649"/>
      <c r="CU22" s="5649"/>
      <c r="CV22" s="5649"/>
      <c r="CW22" s="5649"/>
      <c r="CX22" s="5649"/>
      <c r="CY22" s="5649"/>
      <c r="CZ22" s="5649"/>
      <c r="DA22" s="5649"/>
      <c r="DB22" s="5649"/>
      <c r="DC22" s="5649"/>
      <c r="DD22" s="5649"/>
      <c r="DE22" s="5649"/>
      <c r="DF22" s="5649"/>
      <c r="DG22" s="5649"/>
      <c r="DH22" s="5649"/>
      <c r="DI22" s="5649"/>
      <c r="DJ22" s="5649"/>
      <c r="DK22" s="5649"/>
      <c r="DL22" s="5649"/>
      <c r="DM22" s="5649"/>
      <c r="DN22" s="5649"/>
      <c r="DO22" s="5649"/>
      <c r="DP22" s="5649"/>
      <c r="DQ22" s="5649"/>
      <c r="DR22" s="5649"/>
      <c r="DS22" s="5649"/>
      <c r="DT22" s="5649"/>
      <c r="DU22" s="5649"/>
      <c r="DV22" s="5649"/>
      <c r="DW22" s="5649"/>
      <c r="DX22" s="5649"/>
      <c r="DY22" s="5649"/>
      <c r="DZ22" s="5649"/>
      <c r="EA22" s="5649"/>
      <c r="EB22" s="5649"/>
      <c r="EC22" s="5649"/>
      <c r="ED22" s="5649"/>
      <c r="EE22" s="5649"/>
      <c r="EF22" s="5649"/>
      <c r="EG22" s="5649"/>
      <c r="EH22" s="5649"/>
      <c r="EI22" s="5649"/>
      <c r="EJ22" s="5649"/>
      <c r="EK22" s="5649"/>
      <c r="EL22" s="5649"/>
      <c r="EM22" s="5649"/>
      <c r="EN22" s="5649"/>
      <c r="EO22" s="5649"/>
      <c r="EP22" s="5649"/>
      <c r="EQ22" s="5649"/>
      <c r="ER22" s="5649"/>
      <c r="ES22" s="5649"/>
      <c r="ET22" s="5649"/>
      <c r="EU22" s="5649"/>
      <c r="EV22" s="5649"/>
      <c r="EW22" s="5649"/>
      <c r="EX22" s="1561"/>
      <c r="EY22" s="1561"/>
      <c r="EZ22" s="5649"/>
      <c r="FA22" s="5649"/>
      <c r="FB22" s="1561"/>
      <c r="FC22" s="5649"/>
      <c r="FD22" s="5649"/>
      <c r="FE22" s="5649"/>
      <c r="FF22" s="5649"/>
      <c r="FG22" s="5649"/>
      <c r="FH22" s="5649"/>
      <c r="FI22" s="1561"/>
      <c r="FJ22" s="1561"/>
      <c r="FK22" s="5649"/>
      <c r="FL22" s="5649"/>
      <c r="FM22" s="1561"/>
      <c r="FN22" s="5649"/>
      <c r="FO22" s="5649"/>
      <c r="FP22" s="1561"/>
      <c r="FQ22" s="1561"/>
      <c r="FR22" s="1561"/>
      <c r="FS22" s="5649"/>
      <c r="GA22" s="1081">
        <v>0</v>
      </c>
    </row>
    <row r="23" spans="1:183" ht="14.65" customHeight="1">
      <c r="Q23" s="312"/>
      <c r="R23" s="312"/>
      <c r="S23" s="1201"/>
      <c r="T23" s="299"/>
      <c r="U23" s="299"/>
      <c r="V23" s="445"/>
      <c r="AC23" s="445"/>
      <c r="AD23" s="445"/>
      <c r="AE23" s="445"/>
      <c r="AF23" s="445"/>
      <c r="AG23" s="445"/>
      <c r="AM23" s="445"/>
      <c r="AN23" s="445"/>
      <c r="AO23" s="445"/>
      <c r="AP23" s="445"/>
      <c r="AQ23" s="445"/>
      <c r="AR23" s="5649"/>
      <c r="AS23" s="5649"/>
      <c r="AT23" s="5649"/>
      <c r="AU23" s="5649"/>
      <c r="AV23" s="5649"/>
      <c r="AW23" s="5649"/>
      <c r="AX23" s="5649"/>
      <c r="AY23" s="5649"/>
      <c r="AZ23" s="5649"/>
      <c r="BA23" s="5649"/>
      <c r="BB23" s="5649"/>
      <c r="BC23" s="5649"/>
      <c r="BD23" s="5649"/>
      <c r="BE23" s="5649"/>
      <c r="BF23" s="5649"/>
      <c r="BG23" s="5649"/>
      <c r="BH23" s="5649"/>
      <c r="BI23" s="5649"/>
      <c r="BJ23" s="5649"/>
      <c r="BK23" s="5649"/>
      <c r="BL23" s="5649"/>
      <c r="BM23" s="5649"/>
      <c r="BN23" s="1561"/>
      <c r="BO23" s="1561"/>
      <c r="BP23" s="5649"/>
      <c r="BQ23" s="5649"/>
      <c r="BR23" s="1561"/>
      <c r="BS23" s="5649"/>
      <c r="BT23" s="5649"/>
      <c r="BU23" s="5649"/>
      <c r="BV23" s="5649"/>
      <c r="BW23" s="5649"/>
      <c r="BX23" s="5649"/>
      <c r="BY23" s="5649"/>
      <c r="BZ23" s="5649"/>
      <c r="CA23" s="5649"/>
      <c r="CB23" s="5649"/>
      <c r="CC23" s="5649"/>
      <c r="CD23" s="5649"/>
      <c r="CE23" s="5649"/>
      <c r="CF23" s="5649"/>
      <c r="CG23" s="5649"/>
      <c r="CH23" s="5649"/>
      <c r="CI23" s="5649"/>
      <c r="CJ23" s="5649"/>
      <c r="CK23" s="5649"/>
      <c r="CL23" s="5649"/>
      <c r="CM23" s="5649"/>
      <c r="CN23" s="5649"/>
      <c r="CO23" s="5649"/>
      <c r="CP23" s="5649"/>
      <c r="CQ23" s="5649"/>
      <c r="CR23" s="5649"/>
      <c r="CS23" s="5649"/>
      <c r="CT23" s="5649"/>
      <c r="CU23" s="5649"/>
      <c r="CV23" s="5649"/>
      <c r="CW23" s="5649"/>
      <c r="CX23" s="5649"/>
      <c r="CY23" s="5649"/>
      <c r="CZ23" s="5649"/>
      <c r="DA23" s="5649"/>
      <c r="DB23" s="5649"/>
      <c r="DC23" s="5649"/>
      <c r="DD23" s="5649"/>
      <c r="DE23" s="5649"/>
      <c r="DF23" s="5649"/>
      <c r="DG23" s="5649"/>
      <c r="DH23" s="5649"/>
      <c r="DI23" s="5649"/>
      <c r="DJ23" s="5649"/>
      <c r="DK23" s="5649"/>
      <c r="DL23" s="5649"/>
      <c r="DM23" s="5649"/>
      <c r="DN23" s="5649"/>
      <c r="DO23" s="5649"/>
      <c r="DP23" s="5649"/>
      <c r="DQ23" s="5649"/>
      <c r="DR23" s="5649"/>
      <c r="DS23" s="5649"/>
      <c r="DT23" s="5649"/>
      <c r="DU23" s="5649"/>
      <c r="DV23" s="5649"/>
      <c r="DW23" s="5649"/>
      <c r="DX23" s="5649"/>
      <c r="DY23" s="5649"/>
      <c r="DZ23" s="5649"/>
      <c r="EA23" s="5649"/>
      <c r="EB23" s="5649"/>
      <c r="EC23" s="5649"/>
      <c r="ED23" s="5649"/>
      <c r="EE23" s="5649"/>
      <c r="EF23" s="5649"/>
      <c r="EG23" s="5649"/>
      <c r="EH23" s="5649"/>
      <c r="EI23" s="5649"/>
      <c r="EJ23" s="5649"/>
      <c r="EK23" s="5649"/>
      <c r="EL23" s="5649"/>
      <c r="EM23" s="5649"/>
      <c r="EN23" s="5649"/>
      <c r="EO23" s="5649"/>
      <c r="EP23" s="5649"/>
      <c r="EQ23" s="5649"/>
      <c r="ER23" s="5649"/>
      <c r="ES23" s="5649"/>
      <c r="ET23" s="5649"/>
      <c r="EU23" s="5649"/>
      <c r="EV23" s="5649"/>
      <c r="EW23" s="5649"/>
      <c r="EX23" s="1561"/>
      <c r="EY23" s="1561"/>
      <c r="EZ23" s="5649"/>
      <c r="FA23" s="5649"/>
      <c r="FB23" s="1561"/>
      <c r="FC23" s="5649"/>
      <c r="FD23" s="5649"/>
      <c r="FE23" s="5649"/>
      <c r="FF23" s="5649"/>
      <c r="FG23" s="5649"/>
      <c r="FH23" s="5649"/>
      <c r="FI23" s="1561"/>
      <c r="FJ23" s="1561"/>
      <c r="FK23" s="5649"/>
      <c r="FL23" s="5649"/>
      <c r="FM23" s="1561"/>
      <c r="FN23" s="5649"/>
      <c r="FO23" s="5649"/>
      <c r="FP23" s="1561"/>
      <c r="FQ23" s="1561"/>
      <c r="FR23" s="1561"/>
      <c r="FS23" s="5649"/>
      <c r="GA23" s="1081">
        <v>14</v>
      </c>
    </row>
    <row r="24" spans="1:183" ht="26.25" customHeight="1">
      <c r="Q24" s="312"/>
      <c r="R24" s="312"/>
      <c r="S24" s="2406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24069"/>
      <c r="AJ24" s="24069"/>
      <c r="AK24" s="24069"/>
      <c r="AL24" s="24069"/>
      <c r="AM24" s="24069"/>
      <c r="AN24" s="24069"/>
      <c r="AO24" s="24069"/>
      <c r="AP24" s="24069"/>
      <c r="AQ24" s="1169"/>
      <c r="AR24" s="5656"/>
      <c r="AS24" s="5656"/>
      <c r="AT24" s="5656"/>
      <c r="AU24" s="5656"/>
      <c r="AV24" s="5656"/>
      <c r="AW24" s="5656"/>
      <c r="AX24" s="5656"/>
      <c r="AY24" s="5656"/>
      <c r="AZ24" s="5656"/>
      <c r="BA24" s="5656"/>
      <c r="BB24" s="5656"/>
      <c r="BC24" s="5656"/>
      <c r="BD24" s="5656"/>
      <c r="BE24" s="5656"/>
      <c r="BF24" s="5656"/>
      <c r="BG24" s="5656"/>
      <c r="BH24" s="5656"/>
      <c r="BI24" s="5656"/>
      <c r="BJ24" s="5656"/>
      <c r="BK24" s="5656"/>
      <c r="BL24" s="5656"/>
      <c r="BM24" s="5656"/>
      <c r="BN24" s="1973"/>
      <c r="BO24" s="1973"/>
      <c r="BP24" s="5656"/>
      <c r="BQ24" s="5656"/>
      <c r="BR24" s="1973"/>
      <c r="BS24" s="5656"/>
      <c r="BT24" s="5656"/>
      <c r="BU24" s="5656"/>
      <c r="BV24" s="5656"/>
      <c r="BW24" s="5656"/>
      <c r="BX24" s="5656"/>
      <c r="BY24" s="5656"/>
      <c r="BZ24" s="5656"/>
      <c r="CA24" s="5656"/>
      <c r="CB24" s="5656"/>
      <c r="CC24" s="5656"/>
      <c r="CD24" s="5656"/>
      <c r="CE24" s="5656"/>
      <c r="CF24" s="5656"/>
      <c r="CG24" s="5656"/>
      <c r="CH24" s="5656"/>
      <c r="CI24" s="5656"/>
      <c r="CJ24" s="5656"/>
      <c r="CK24" s="5656"/>
      <c r="CL24" s="5656"/>
      <c r="CM24" s="5656"/>
      <c r="CN24" s="5656"/>
      <c r="CO24" s="5656"/>
      <c r="CP24" s="5656"/>
      <c r="CQ24" s="5656"/>
      <c r="CR24" s="5656"/>
      <c r="CS24" s="5656"/>
      <c r="CT24" s="5656"/>
      <c r="CU24" s="5656"/>
      <c r="CV24" s="5656"/>
      <c r="CW24" s="5656"/>
      <c r="CX24" s="5656"/>
      <c r="CY24" s="5656"/>
      <c r="CZ24" s="5656"/>
      <c r="DA24" s="5656"/>
      <c r="DB24" s="5656"/>
      <c r="DC24" s="5656"/>
      <c r="DD24" s="5656"/>
      <c r="DE24" s="5656"/>
      <c r="DF24" s="5656"/>
      <c r="DG24" s="5656"/>
      <c r="DH24" s="5656"/>
      <c r="DI24" s="5656"/>
      <c r="DJ24" s="5656"/>
      <c r="DK24" s="5656"/>
      <c r="DL24" s="5656"/>
      <c r="DM24" s="5656"/>
      <c r="DN24" s="5656"/>
      <c r="DO24" s="5656"/>
      <c r="DP24" s="5656"/>
      <c r="DQ24" s="5656"/>
      <c r="DR24" s="5656"/>
      <c r="DS24" s="5656"/>
      <c r="DT24" s="5656"/>
      <c r="DU24" s="5656"/>
      <c r="DV24" s="5656"/>
      <c r="DW24" s="5656"/>
      <c r="DX24" s="5656"/>
      <c r="DY24" s="5656"/>
      <c r="DZ24" s="5656"/>
      <c r="EA24" s="5656"/>
      <c r="EB24" s="5656"/>
      <c r="EC24" s="5656"/>
      <c r="ED24" s="5656"/>
      <c r="EE24" s="5656"/>
      <c r="EF24" s="5656"/>
      <c r="EG24" s="5656"/>
      <c r="EH24" s="5656"/>
      <c r="EI24" s="5656"/>
      <c r="EJ24" s="5656"/>
      <c r="EK24" s="5656"/>
      <c r="EL24" s="5656"/>
      <c r="EM24" s="5656"/>
      <c r="EN24" s="5656"/>
      <c r="EO24" s="5656"/>
      <c r="EP24" s="5656"/>
      <c r="EQ24" s="5656"/>
      <c r="ER24" s="5656"/>
      <c r="ES24" s="5656"/>
      <c r="ET24" s="5656"/>
      <c r="EU24" s="5656"/>
      <c r="EV24" s="5656"/>
      <c r="EW24" s="5656"/>
      <c r="EX24" s="1973"/>
      <c r="EY24" s="1973"/>
      <c r="EZ24" s="5656"/>
      <c r="FA24" s="5656"/>
      <c r="FB24" s="1973"/>
      <c r="FC24" s="5656"/>
      <c r="FD24" s="5656"/>
      <c r="FE24" s="5656"/>
      <c r="FF24" s="5656"/>
      <c r="FG24" s="5656"/>
      <c r="FH24" s="5656"/>
      <c r="FI24" s="1973"/>
      <c r="FJ24" s="1973"/>
      <c r="FK24" s="5656"/>
      <c r="FL24" s="5656"/>
      <c r="FM24" s="1973"/>
      <c r="FN24" s="5656"/>
      <c r="FO24" s="5656"/>
      <c r="FP24" s="1973"/>
      <c r="FQ24" s="1973"/>
      <c r="FR24" s="1973"/>
      <c r="FS24" s="5656"/>
      <c r="GA24" s="1081">
        <v>25</v>
      </c>
    </row>
    <row r="25" spans="1:183"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24042"/>
      <c r="AJ25" s="24042"/>
      <c r="AK25" s="24042"/>
      <c r="AL25" s="24042"/>
      <c r="AM25" s="24042"/>
      <c r="AN25" s="24042"/>
      <c r="AO25" s="24042"/>
      <c r="AP25" s="24042"/>
      <c r="AQ25" s="1169"/>
      <c r="AR25" s="5657"/>
      <c r="AS25" s="5657"/>
      <c r="AT25" s="5657"/>
      <c r="AU25" s="5657"/>
      <c r="AV25" s="5657"/>
      <c r="AW25" s="5657"/>
      <c r="AX25" s="5657"/>
      <c r="AY25" s="5657"/>
      <c r="AZ25" s="5657"/>
      <c r="BA25" s="5657"/>
      <c r="BB25" s="5657"/>
      <c r="BC25" s="5657"/>
      <c r="BD25" s="5657"/>
      <c r="BE25" s="5657"/>
      <c r="BF25" s="5657"/>
      <c r="BG25" s="5657"/>
      <c r="BH25" s="5657"/>
      <c r="BI25" s="5657"/>
      <c r="BJ25" s="5657"/>
      <c r="BK25" s="5657"/>
      <c r="BL25" s="5657"/>
      <c r="BM25" s="5657"/>
      <c r="BN25" s="1974"/>
      <c r="BO25" s="1974"/>
      <c r="BP25" s="5657"/>
      <c r="BQ25" s="5657"/>
      <c r="BR25" s="1974"/>
      <c r="BS25" s="5657"/>
      <c r="BT25" s="5657"/>
      <c r="BU25" s="5657"/>
      <c r="BV25" s="5657"/>
      <c r="BW25" s="5657"/>
      <c r="BX25" s="5657"/>
      <c r="BY25" s="5657"/>
      <c r="BZ25" s="5657"/>
      <c r="CA25" s="5657"/>
      <c r="CB25" s="5657"/>
      <c r="CC25" s="5657"/>
      <c r="CD25" s="5657"/>
      <c r="CE25" s="5657"/>
      <c r="CF25" s="5657"/>
      <c r="CG25" s="5657"/>
      <c r="CH25" s="5657"/>
      <c r="CI25" s="5657"/>
      <c r="CJ25" s="5657"/>
      <c r="CK25" s="5657"/>
      <c r="CL25" s="5657"/>
      <c r="CM25" s="5657"/>
      <c r="CN25" s="5657"/>
      <c r="CO25" s="5657"/>
      <c r="CP25" s="5657"/>
      <c r="CQ25" s="5657"/>
      <c r="CR25" s="5657"/>
      <c r="CS25" s="5657"/>
      <c r="CT25" s="5657"/>
      <c r="CU25" s="5657"/>
      <c r="CV25" s="5657"/>
      <c r="CW25" s="5657"/>
      <c r="CX25" s="5657"/>
      <c r="CY25" s="5657"/>
      <c r="CZ25" s="5657"/>
      <c r="DA25" s="5657"/>
      <c r="DB25" s="5657"/>
      <c r="DC25" s="5657"/>
      <c r="DD25" s="5657"/>
      <c r="DE25" s="5657"/>
      <c r="DF25" s="5657"/>
      <c r="DG25" s="5657"/>
      <c r="DH25" s="5657"/>
      <c r="DI25" s="5657"/>
      <c r="DJ25" s="5657"/>
      <c r="DK25" s="5657"/>
      <c r="DL25" s="5657"/>
      <c r="DM25" s="5657"/>
      <c r="DN25" s="5657"/>
      <c r="DO25" s="5657"/>
      <c r="DP25" s="5657"/>
      <c r="DQ25" s="5657"/>
      <c r="DR25" s="5657"/>
      <c r="DS25" s="5657"/>
      <c r="DT25" s="5657"/>
      <c r="DU25" s="5657"/>
      <c r="DV25" s="5657"/>
      <c r="DW25" s="5657"/>
      <c r="DX25" s="5657"/>
      <c r="DY25" s="5657"/>
      <c r="DZ25" s="5657"/>
      <c r="EA25" s="5657"/>
      <c r="EB25" s="5657"/>
      <c r="EC25" s="5657"/>
      <c r="ED25" s="5657"/>
      <c r="EE25" s="5657"/>
      <c r="EF25" s="5657"/>
      <c r="EG25" s="5657"/>
      <c r="EH25" s="5657"/>
      <c r="EI25" s="5657"/>
      <c r="EJ25" s="5657"/>
      <c r="EK25" s="5657"/>
      <c r="EL25" s="5657"/>
      <c r="EM25" s="5657"/>
      <c r="EN25" s="5657"/>
      <c r="EO25" s="5657"/>
      <c r="EP25" s="5657"/>
      <c r="EQ25" s="5657"/>
      <c r="ER25" s="5657"/>
      <c r="ES25" s="5657"/>
      <c r="ET25" s="5657"/>
      <c r="EU25" s="5657"/>
      <c r="EV25" s="5657"/>
      <c r="EW25" s="5657"/>
      <c r="EX25" s="1974"/>
      <c r="EY25" s="1974"/>
      <c r="EZ25" s="5657"/>
      <c r="FA25" s="5657"/>
      <c r="FB25" s="1974"/>
      <c r="FC25" s="5657"/>
      <c r="FD25" s="5657"/>
      <c r="FE25" s="5657"/>
      <c r="FF25" s="5657"/>
      <c r="FG25" s="5657"/>
      <c r="FH25" s="5657"/>
      <c r="FI25" s="1974"/>
      <c r="FJ25" s="1974"/>
      <c r="FK25" s="5657"/>
      <c r="FL25" s="5657"/>
      <c r="FM25" s="1974"/>
      <c r="FN25" s="5657"/>
      <c r="FO25" s="5657"/>
      <c r="FP25" s="1974"/>
      <c r="FQ25" s="1974"/>
      <c r="FR25" s="1974"/>
      <c r="FS25" s="5657"/>
      <c r="GA25" s="1081">
        <v>14</v>
      </c>
    </row>
    <row r="26" spans="1:183"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5658"/>
      <c r="AS26" s="5658"/>
      <c r="AT26" s="5658"/>
      <c r="AU26" s="5658"/>
      <c r="AV26" s="5658"/>
      <c r="AW26" s="5658"/>
      <c r="AX26" s="5658"/>
      <c r="AY26" s="5658"/>
      <c r="AZ26" s="5658"/>
      <c r="BA26" s="5658"/>
      <c r="BB26" s="5658"/>
      <c r="BC26" s="5658"/>
      <c r="BD26" s="5658"/>
      <c r="BE26" s="5658"/>
      <c r="BF26" s="5658"/>
      <c r="BG26" s="5658"/>
      <c r="BH26" s="5658"/>
      <c r="BI26" s="5658"/>
      <c r="BJ26" s="5658"/>
      <c r="BK26" s="5658"/>
      <c r="BL26" s="5658"/>
      <c r="BM26" s="5658"/>
      <c r="BN26" s="258"/>
      <c r="BO26" s="258"/>
      <c r="BP26" s="5658"/>
      <c r="BQ26" s="5658"/>
      <c r="BR26" s="258"/>
      <c r="BS26" s="5658"/>
      <c r="BT26" s="5658"/>
      <c r="BU26" s="5658"/>
      <c r="BV26" s="5658"/>
      <c r="BW26" s="5658"/>
      <c r="BX26" s="5658"/>
      <c r="BY26" s="5658"/>
      <c r="BZ26" s="5658"/>
      <c r="CA26" s="5658"/>
      <c r="CB26" s="5658"/>
      <c r="CC26" s="5658"/>
      <c r="CD26" s="5658"/>
      <c r="CE26" s="5658"/>
      <c r="CF26" s="5658"/>
      <c r="CG26" s="5658"/>
      <c r="CH26" s="5658"/>
      <c r="CI26" s="5658"/>
      <c r="CJ26" s="5658"/>
      <c r="CK26" s="5658"/>
      <c r="CL26" s="5658"/>
      <c r="CM26" s="5658"/>
      <c r="CN26" s="5658"/>
      <c r="CO26" s="5658"/>
      <c r="CP26" s="5658"/>
      <c r="CQ26" s="5658"/>
      <c r="CR26" s="5658"/>
      <c r="CS26" s="5658"/>
      <c r="CT26" s="5658"/>
      <c r="CU26" s="5658"/>
      <c r="CV26" s="5658"/>
      <c r="CW26" s="5658"/>
      <c r="CX26" s="5658"/>
      <c r="CY26" s="5658"/>
      <c r="CZ26" s="5658"/>
      <c r="DA26" s="5658"/>
      <c r="DB26" s="5658"/>
      <c r="DC26" s="5658"/>
      <c r="DD26" s="5658"/>
      <c r="DE26" s="5658"/>
      <c r="DF26" s="5658"/>
      <c r="DG26" s="5658"/>
      <c r="DH26" s="5658"/>
      <c r="DI26" s="5658"/>
      <c r="DJ26" s="5658"/>
      <c r="DK26" s="5658"/>
      <c r="DL26" s="5658"/>
      <c r="DM26" s="5658"/>
      <c r="DN26" s="5658"/>
      <c r="DO26" s="5658"/>
      <c r="DP26" s="5658"/>
      <c r="DQ26" s="5658"/>
      <c r="DR26" s="5658"/>
      <c r="DS26" s="5658"/>
      <c r="DT26" s="5658"/>
      <c r="DU26" s="5658"/>
      <c r="DV26" s="5658"/>
      <c r="DW26" s="5658"/>
      <c r="DX26" s="5658"/>
      <c r="DY26" s="5658"/>
      <c r="DZ26" s="5658"/>
      <c r="EA26" s="5658"/>
      <c r="EB26" s="5658"/>
      <c r="EC26" s="5658"/>
      <c r="ED26" s="5658"/>
      <c r="EE26" s="5658"/>
      <c r="EF26" s="5658"/>
      <c r="EG26" s="5658"/>
      <c r="EH26" s="5658"/>
      <c r="EI26" s="5658"/>
      <c r="EJ26" s="5658"/>
      <c r="EK26" s="5658"/>
      <c r="EL26" s="5658"/>
      <c r="EM26" s="5658"/>
      <c r="EN26" s="5658"/>
      <c r="EO26" s="5658"/>
      <c r="EP26" s="5658"/>
      <c r="EQ26" s="5658"/>
      <c r="ER26" s="5658"/>
      <c r="ES26" s="5658"/>
      <c r="ET26" s="5658"/>
      <c r="EU26" s="5658"/>
      <c r="EV26" s="5658"/>
      <c r="EW26" s="5658"/>
      <c r="EX26" s="258"/>
      <c r="EY26" s="258"/>
      <c r="EZ26" s="5658"/>
      <c r="FA26" s="5658"/>
      <c r="FB26" s="258"/>
      <c r="FC26" s="5658"/>
      <c r="FD26" s="5658"/>
      <c r="FE26" s="5658"/>
      <c r="FF26" s="5658"/>
      <c r="FG26" s="5658"/>
      <c r="FH26" s="5658"/>
      <c r="FI26" s="258"/>
      <c r="FJ26" s="258"/>
      <c r="FK26" s="5658"/>
      <c r="FL26" s="5658"/>
      <c r="FM26" s="258"/>
      <c r="FN26" s="5658"/>
      <c r="FO26" s="5658"/>
      <c r="FP26" s="258"/>
      <c r="FQ26" s="258"/>
      <c r="FR26" s="258"/>
      <c r="FS26" s="5658"/>
      <c r="FT26" s="445"/>
      <c r="GA26" s="1081">
        <v>0</v>
      </c>
    </row>
    <row r="27" spans="1:183"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4081"/>
      <c r="AC27" s="24081"/>
      <c r="AD27" s="24081"/>
      <c r="AE27" s="24081"/>
      <c r="AF27" s="262"/>
      <c r="AG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H27" s="24081"/>
      <c r="AI27" s="24081"/>
      <c r="AJ27" s="24081"/>
      <c r="AK27" s="24081"/>
      <c r="AL27" s="24081"/>
      <c r="AM27" s="24081"/>
      <c r="AN27" s="24081"/>
      <c r="AO27" s="24081"/>
      <c r="AP27" s="24081"/>
      <c r="AQ27" s="262"/>
      <c r="AR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AS27" s="24187"/>
      <c r="AT27" s="24187"/>
      <c r="AU27" s="24187"/>
      <c r="AV27" s="24187"/>
      <c r="AW27" s="24187"/>
      <c r="AX27" s="24187"/>
      <c r="AY27" s="24187"/>
      <c r="AZ27" s="24187"/>
      <c r="BA27" s="24187"/>
      <c r="BB27" s="5649"/>
      <c r="BC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BD27" s="24187"/>
      <c r="BE27" s="24187"/>
      <c r="BF27" s="24187"/>
      <c r="BG27" s="24187"/>
      <c r="BH27" s="24187"/>
      <c r="BI27" s="24187"/>
      <c r="BJ27" s="24187"/>
      <c r="BK27" s="24187"/>
      <c r="BL27" s="24187"/>
      <c r="BM27" s="5649"/>
      <c r="BN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BO27" s="24081"/>
      <c r="BP27" s="24187"/>
      <c r="BQ27" s="24187"/>
      <c r="BR27" s="24081"/>
      <c r="BS27" s="24187"/>
      <c r="BT27" s="24187"/>
      <c r="BU27" s="24187"/>
      <c r="BV27" s="24187"/>
      <c r="BW27" s="24187"/>
      <c r="BX27" s="5649"/>
      <c r="BY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BZ27" s="24187"/>
      <c r="CA27" s="24187"/>
      <c r="CB27" s="24187"/>
      <c r="CC27" s="24187"/>
      <c r="CD27" s="24187"/>
      <c r="CE27" s="24187"/>
      <c r="CF27" s="24187"/>
      <c r="CG27" s="24187"/>
      <c r="CH27" s="24187"/>
      <c r="CI27" s="5649"/>
      <c r="CJ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CK27" s="24187"/>
      <c r="CL27" s="24187"/>
      <c r="CM27" s="24187"/>
      <c r="CN27" s="24187"/>
      <c r="CO27" s="24187"/>
      <c r="CP27" s="24187"/>
      <c r="CQ27" s="24187"/>
      <c r="CR27" s="24187"/>
      <c r="CS27" s="24187"/>
      <c r="CT27" s="5649"/>
      <c r="CU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CV27" s="24187"/>
      <c r="CW27" s="24187"/>
      <c r="CX27" s="24187"/>
      <c r="CY27" s="24187"/>
      <c r="CZ27" s="24187"/>
      <c r="DA27" s="24187"/>
      <c r="DB27" s="24187"/>
      <c r="DC27" s="24187"/>
      <c r="DD27" s="24187"/>
      <c r="DE27" s="5649"/>
      <c r="DF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DG27" s="24187"/>
      <c r="DH27" s="24187"/>
      <c r="DI27" s="24187"/>
      <c r="DJ27" s="24187"/>
      <c r="DK27" s="24187"/>
      <c r="DL27" s="24187"/>
      <c r="DM27" s="24187"/>
      <c r="DN27" s="24187"/>
      <c r="DO27" s="24187"/>
      <c r="DP27" s="5649"/>
      <c r="DQ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DR27" s="24187"/>
      <c r="DS27" s="24187"/>
      <c r="DT27" s="24187"/>
      <c r="DU27" s="24187"/>
      <c r="DV27" s="24187"/>
      <c r="DW27" s="24187"/>
      <c r="DX27" s="24187"/>
      <c r="DY27" s="24187"/>
      <c r="DZ27" s="24187"/>
      <c r="EA27" s="5649"/>
      <c r="EB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EC27" s="24187"/>
      <c r="ED27" s="24187"/>
      <c r="EE27" s="24187"/>
      <c r="EF27" s="24187"/>
      <c r="EG27" s="24187"/>
      <c r="EH27" s="24187"/>
      <c r="EI27" s="24187"/>
      <c r="EJ27" s="24187"/>
      <c r="EK27" s="24187"/>
      <c r="EL27" s="5649"/>
      <c r="EM27" s="24187" t="str">
        <f>IF(TITLE_NAME_OR_PR_CHANGE="",IF(TITLE_NAME_OR_PR="","",TITLE_NAME_OR_PR),TITLE_NAME_OR_PR_CHANGE)</f>
        <v>Министерство жилищно-коммунального хозяйства , энергетики и тарифной политики Смоленской области</v>
      </c>
      <c r="EN27" s="24187"/>
      <c r="EO27" s="24187"/>
      <c r="EP27" s="24187"/>
      <c r="EQ27" s="24187"/>
      <c r="ER27" s="24187"/>
      <c r="ES27" s="24187"/>
      <c r="ET27" s="24187"/>
      <c r="EU27" s="24187"/>
      <c r="EV27" s="24187"/>
      <c r="EW27" s="5649"/>
      <c r="EX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EY27" s="24081"/>
      <c r="EZ27" s="24187"/>
      <c r="FA27" s="24187"/>
      <c r="FB27" s="24081"/>
      <c r="FC27" s="24187"/>
      <c r="FD27" s="24187"/>
      <c r="FE27" s="24187"/>
      <c r="FF27" s="24187"/>
      <c r="FG27" s="24187"/>
      <c r="FH27" s="5649"/>
      <c r="FI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FJ27" s="24081"/>
      <c r="FK27" s="24187"/>
      <c r="FL27" s="24187"/>
      <c r="FM27" s="24081"/>
      <c r="FN27" s="24187"/>
      <c r="FO27" s="24187"/>
      <c r="FP27" s="24081"/>
      <c r="FQ27" s="24081"/>
      <c r="FR27" s="24081"/>
      <c r="FS27" s="5649"/>
      <c r="FT27" s="262"/>
      <c r="FU27" s="216"/>
      <c r="FV27" s="304"/>
      <c r="FW27" s="304"/>
      <c r="FX27" s="304"/>
      <c r="FY27" s="304"/>
      <c r="FZ27" s="304"/>
      <c r="GA27" s="354">
        <v>0</v>
      </c>
    </row>
    <row r="28" spans="1:183"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4080"/>
      <c r="AC28" s="24080"/>
      <c r="AD28" s="24080"/>
      <c r="AE28" s="24080"/>
      <c r="AF28" s="262"/>
      <c r="AG28" s="24080" t="str">
        <f>IF(TITLE_DATE_PR_CHANGE="",IF(TITLE_DATE_PR="","",TITLE_DATE_PR),TITLE_DATE_PR_CHANGE)</f>
        <v>20.12.2024</v>
      </c>
      <c r="AH28" s="24080"/>
      <c r="AI28" s="24080"/>
      <c r="AJ28" s="24080"/>
      <c r="AK28" s="24080"/>
      <c r="AL28" s="24080"/>
      <c r="AM28" s="24080"/>
      <c r="AN28" s="24080"/>
      <c r="AO28" s="24080"/>
      <c r="AP28" s="24080"/>
      <c r="AQ28" s="262"/>
      <c r="AR28" s="24188" t="str">
        <f>IF(TITLE_DATE_PR_CHANGE="",IF(TITLE_DATE_PR="","",TITLE_DATE_PR),TITLE_DATE_PR_CHANGE)</f>
        <v>20.12.2024</v>
      </c>
      <c r="AS28" s="24080"/>
      <c r="AT28" s="24080"/>
      <c r="AU28" s="24080"/>
      <c r="AV28" s="24080"/>
      <c r="AW28" s="24080"/>
      <c r="AX28" s="24080"/>
      <c r="AY28" s="24080"/>
      <c r="AZ28" s="24080"/>
      <c r="BA28" s="24080"/>
      <c r="BB28" s="5649"/>
      <c r="BC28" s="24080" t="str">
        <f>IF(TITLE_DATE_PR_CHANGE="",IF(TITLE_DATE_PR="","",TITLE_DATE_PR),TITLE_DATE_PR_CHANGE)</f>
        <v>20.12.2024</v>
      </c>
      <c r="BD28" s="24080"/>
      <c r="BE28" s="24080"/>
      <c r="BF28" s="24080"/>
      <c r="BG28" s="24080"/>
      <c r="BH28" s="24080"/>
      <c r="BI28" s="24080"/>
      <c r="BJ28" s="24080"/>
      <c r="BK28" s="24080"/>
      <c r="BL28" s="24080"/>
      <c r="BM28" s="5649"/>
      <c r="BN28" s="24080" t="str">
        <f>IF(TITLE_DATE_PR_CHANGE="",IF(TITLE_DATE_PR="","",TITLE_DATE_PR),TITLE_DATE_PR_CHANGE)</f>
        <v>20.12.2024</v>
      </c>
      <c r="BO28" s="24080"/>
      <c r="BP28" s="24080"/>
      <c r="BQ28" s="24080"/>
      <c r="BR28" s="24080"/>
      <c r="BS28" s="24080"/>
      <c r="BT28" s="24080"/>
      <c r="BU28" s="24080"/>
      <c r="BV28" s="24080"/>
      <c r="BW28" s="24080"/>
      <c r="BX28" s="5649"/>
      <c r="BY28" s="24080" t="str">
        <f>IF(TITLE_DATE_PR_CHANGE="",IF(TITLE_DATE_PR="","",TITLE_DATE_PR),TITLE_DATE_PR_CHANGE)</f>
        <v>20.12.2024</v>
      </c>
      <c r="BZ28" s="24080"/>
      <c r="CA28" s="24080"/>
      <c r="CB28" s="24080"/>
      <c r="CC28" s="24080"/>
      <c r="CD28" s="24080"/>
      <c r="CE28" s="24080"/>
      <c r="CF28" s="24080"/>
      <c r="CG28" s="24080"/>
      <c r="CH28" s="24080"/>
      <c r="CI28" s="5649"/>
      <c r="CJ28" s="24080" t="str">
        <f>IF(TITLE_DATE_PR_CHANGE="",IF(TITLE_DATE_PR="","",TITLE_DATE_PR),TITLE_DATE_PR_CHANGE)</f>
        <v>20.12.2024</v>
      </c>
      <c r="CK28" s="24080"/>
      <c r="CL28" s="24080"/>
      <c r="CM28" s="24080"/>
      <c r="CN28" s="24080"/>
      <c r="CO28" s="24080"/>
      <c r="CP28" s="24080"/>
      <c r="CQ28" s="24080"/>
      <c r="CR28" s="24080"/>
      <c r="CS28" s="24080"/>
      <c r="CT28" s="5649"/>
      <c r="CU28" s="24080" t="str">
        <f>IF(TITLE_DATE_PR_CHANGE="",IF(TITLE_DATE_PR="","",TITLE_DATE_PR),TITLE_DATE_PR_CHANGE)</f>
        <v>20.12.2024</v>
      </c>
      <c r="CV28" s="24080"/>
      <c r="CW28" s="24080"/>
      <c r="CX28" s="24080"/>
      <c r="CY28" s="24080"/>
      <c r="CZ28" s="24080"/>
      <c r="DA28" s="24080"/>
      <c r="DB28" s="24080"/>
      <c r="DC28" s="24080"/>
      <c r="DD28" s="24080"/>
      <c r="DE28" s="5649"/>
      <c r="DF28" s="24080" t="str">
        <f>IF(TITLE_DATE_PR_CHANGE="",IF(TITLE_DATE_PR="","",TITLE_DATE_PR),TITLE_DATE_PR_CHANGE)</f>
        <v>20.12.2024</v>
      </c>
      <c r="DG28" s="24080"/>
      <c r="DH28" s="24080"/>
      <c r="DI28" s="24080"/>
      <c r="DJ28" s="24080"/>
      <c r="DK28" s="24080"/>
      <c r="DL28" s="24080"/>
      <c r="DM28" s="24080"/>
      <c r="DN28" s="24080"/>
      <c r="DO28" s="24080"/>
      <c r="DP28" s="5649"/>
      <c r="DQ28" s="24080" t="str">
        <f>IF(TITLE_DATE_PR_CHANGE="",IF(TITLE_DATE_PR="","",TITLE_DATE_PR),TITLE_DATE_PR_CHANGE)</f>
        <v>20.12.2024</v>
      </c>
      <c r="DR28" s="24080"/>
      <c r="DS28" s="24080"/>
      <c r="DT28" s="24080"/>
      <c r="DU28" s="24080"/>
      <c r="DV28" s="24080"/>
      <c r="DW28" s="24080"/>
      <c r="DX28" s="24080"/>
      <c r="DY28" s="24080"/>
      <c r="DZ28" s="24080"/>
      <c r="EA28" s="5649"/>
      <c r="EB28" s="24080" t="str">
        <f>IF(TITLE_DATE_PR_CHANGE="",IF(TITLE_DATE_PR="","",TITLE_DATE_PR),TITLE_DATE_PR_CHANGE)</f>
        <v>20.12.2024</v>
      </c>
      <c r="EC28" s="24080"/>
      <c r="ED28" s="24080"/>
      <c r="EE28" s="24080"/>
      <c r="EF28" s="24080"/>
      <c r="EG28" s="24080"/>
      <c r="EH28" s="24080"/>
      <c r="EI28" s="24080"/>
      <c r="EJ28" s="24080"/>
      <c r="EK28" s="24080"/>
      <c r="EL28" s="5649"/>
      <c r="EM28" s="24080" t="str">
        <f>IF(TITLE_DATE_PR_CHANGE="",IF(TITLE_DATE_PR="","",TITLE_DATE_PR),TITLE_DATE_PR_CHANGE)</f>
        <v>20.12.2024</v>
      </c>
      <c r="EN28" s="24080"/>
      <c r="EO28" s="24080"/>
      <c r="EP28" s="24080"/>
      <c r="EQ28" s="24080"/>
      <c r="ER28" s="24080"/>
      <c r="ES28" s="24080"/>
      <c r="ET28" s="24080"/>
      <c r="EU28" s="24080"/>
      <c r="EV28" s="24080"/>
      <c r="EW28" s="5649"/>
      <c r="EX28" s="24080" t="str">
        <f>IF(TITLE_DATE_PR_CHANGE="",IF(TITLE_DATE_PR="","",TITLE_DATE_PR),TITLE_DATE_PR_CHANGE)</f>
        <v>20.12.2024</v>
      </c>
      <c r="EY28" s="24080"/>
      <c r="EZ28" s="24080"/>
      <c r="FA28" s="24080"/>
      <c r="FB28" s="24080"/>
      <c r="FC28" s="24080"/>
      <c r="FD28" s="24080"/>
      <c r="FE28" s="24080"/>
      <c r="FF28" s="24080"/>
      <c r="FG28" s="24080"/>
      <c r="FH28" s="5649"/>
      <c r="FI28" s="24080" t="str">
        <f>IF(TITLE_DATE_PR_CHANGE="",IF(TITLE_DATE_PR="","",TITLE_DATE_PR),TITLE_DATE_PR_CHANGE)</f>
        <v>20.12.2024</v>
      </c>
      <c r="FJ28" s="24080"/>
      <c r="FK28" s="24080"/>
      <c r="FL28" s="24080"/>
      <c r="FM28" s="24080"/>
      <c r="FN28" s="24080"/>
      <c r="FO28" s="24080"/>
      <c r="FP28" s="24080"/>
      <c r="FQ28" s="24080"/>
      <c r="FR28" s="24080"/>
      <c r="FS28" s="5649"/>
      <c r="FT28" s="262"/>
      <c r="FU28" s="216"/>
      <c r="FV28" s="304"/>
      <c r="FW28" s="304"/>
      <c r="FX28" s="304"/>
      <c r="FY28" s="304"/>
      <c r="FZ28" s="304"/>
      <c r="GA28" s="354">
        <v>0</v>
      </c>
    </row>
    <row r="29" spans="1:183"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4081"/>
      <c r="AC29" s="24081"/>
      <c r="AD29" s="24081"/>
      <c r="AE29" s="24081"/>
      <c r="AF29" s="262"/>
      <c r="AG29" s="24081" t="str">
        <f>IF(TITLE_NUMBER_PR_CHANGE="",IF(TITLE_NUMBER_PR="","",TITLE_NUMBER_PR),TITLE_NUMBER_PR_CHANGE)</f>
        <v>403, 404</v>
      </c>
      <c r="AH29" s="24081"/>
      <c r="AI29" s="24081"/>
      <c r="AJ29" s="24081"/>
      <c r="AK29" s="24081"/>
      <c r="AL29" s="24081"/>
      <c r="AM29" s="24081"/>
      <c r="AN29" s="24081"/>
      <c r="AO29" s="24081"/>
      <c r="AP29" s="24081"/>
      <c r="AQ29" s="262"/>
      <c r="AR29" s="24187" t="str">
        <f>IF(TITLE_NUMBER_PR_CHANGE="",IF(TITLE_NUMBER_PR="","",TITLE_NUMBER_PR),TITLE_NUMBER_PR_CHANGE)</f>
        <v>403, 404</v>
      </c>
      <c r="AS29" s="24187"/>
      <c r="AT29" s="24187"/>
      <c r="AU29" s="24187"/>
      <c r="AV29" s="24187"/>
      <c r="AW29" s="24187"/>
      <c r="AX29" s="24187"/>
      <c r="AY29" s="24187"/>
      <c r="AZ29" s="24187"/>
      <c r="BA29" s="24187"/>
      <c r="BB29" s="5649"/>
      <c r="BC29" s="24187" t="str">
        <f>IF(TITLE_NUMBER_PR_CHANGE="",IF(TITLE_NUMBER_PR="","",TITLE_NUMBER_PR),TITLE_NUMBER_PR_CHANGE)</f>
        <v>403, 404</v>
      </c>
      <c r="BD29" s="24187"/>
      <c r="BE29" s="24187"/>
      <c r="BF29" s="24187"/>
      <c r="BG29" s="24187"/>
      <c r="BH29" s="24187"/>
      <c r="BI29" s="24187"/>
      <c r="BJ29" s="24187"/>
      <c r="BK29" s="24187"/>
      <c r="BL29" s="24187"/>
      <c r="BM29" s="5649"/>
      <c r="BN29" s="24081" t="str">
        <f>IF(TITLE_NUMBER_PR_CHANGE="",IF(TITLE_NUMBER_PR="","",TITLE_NUMBER_PR),TITLE_NUMBER_PR_CHANGE)</f>
        <v>403, 404</v>
      </c>
      <c r="BO29" s="24081"/>
      <c r="BP29" s="24187"/>
      <c r="BQ29" s="24187"/>
      <c r="BR29" s="24081"/>
      <c r="BS29" s="24187"/>
      <c r="BT29" s="24187"/>
      <c r="BU29" s="24187"/>
      <c r="BV29" s="24187"/>
      <c r="BW29" s="24187"/>
      <c r="BX29" s="5649"/>
      <c r="BY29" s="24187" t="str">
        <f>IF(TITLE_NUMBER_PR_CHANGE="",IF(TITLE_NUMBER_PR="","",TITLE_NUMBER_PR),TITLE_NUMBER_PR_CHANGE)</f>
        <v>403, 404</v>
      </c>
      <c r="BZ29" s="24187"/>
      <c r="CA29" s="24187"/>
      <c r="CB29" s="24187"/>
      <c r="CC29" s="24187"/>
      <c r="CD29" s="24187"/>
      <c r="CE29" s="24187"/>
      <c r="CF29" s="24187"/>
      <c r="CG29" s="24187"/>
      <c r="CH29" s="24187"/>
      <c r="CI29" s="5649"/>
      <c r="CJ29" s="24187" t="str">
        <f>IF(TITLE_NUMBER_PR_CHANGE="",IF(TITLE_NUMBER_PR="","",TITLE_NUMBER_PR),TITLE_NUMBER_PR_CHANGE)</f>
        <v>403, 404</v>
      </c>
      <c r="CK29" s="24187"/>
      <c r="CL29" s="24187"/>
      <c r="CM29" s="24187"/>
      <c r="CN29" s="24187"/>
      <c r="CO29" s="24187"/>
      <c r="CP29" s="24187"/>
      <c r="CQ29" s="24187"/>
      <c r="CR29" s="24187"/>
      <c r="CS29" s="24187"/>
      <c r="CT29" s="5649"/>
      <c r="CU29" s="24187" t="str">
        <f>IF(TITLE_NUMBER_PR_CHANGE="",IF(TITLE_NUMBER_PR="","",TITLE_NUMBER_PR),TITLE_NUMBER_PR_CHANGE)</f>
        <v>403, 404</v>
      </c>
      <c r="CV29" s="24187"/>
      <c r="CW29" s="24187"/>
      <c r="CX29" s="24187"/>
      <c r="CY29" s="24187"/>
      <c r="CZ29" s="24187"/>
      <c r="DA29" s="24187"/>
      <c r="DB29" s="24187"/>
      <c r="DC29" s="24187"/>
      <c r="DD29" s="24187"/>
      <c r="DE29" s="5649"/>
      <c r="DF29" s="24187" t="str">
        <f>IF(TITLE_NUMBER_PR_CHANGE="",IF(TITLE_NUMBER_PR="","",TITLE_NUMBER_PR),TITLE_NUMBER_PR_CHANGE)</f>
        <v>403, 404</v>
      </c>
      <c r="DG29" s="24187"/>
      <c r="DH29" s="24187"/>
      <c r="DI29" s="24187"/>
      <c r="DJ29" s="24187"/>
      <c r="DK29" s="24187"/>
      <c r="DL29" s="24187"/>
      <c r="DM29" s="24187"/>
      <c r="DN29" s="24187"/>
      <c r="DO29" s="24187"/>
      <c r="DP29" s="5649"/>
      <c r="DQ29" s="24187" t="str">
        <f>IF(TITLE_NUMBER_PR_CHANGE="",IF(TITLE_NUMBER_PR="","",TITLE_NUMBER_PR),TITLE_NUMBER_PR_CHANGE)</f>
        <v>403, 404</v>
      </c>
      <c r="DR29" s="24187"/>
      <c r="DS29" s="24187"/>
      <c r="DT29" s="24187"/>
      <c r="DU29" s="24187"/>
      <c r="DV29" s="24187"/>
      <c r="DW29" s="24187"/>
      <c r="DX29" s="24187"/>
      <c r="DY29" s="24187"/>
      <c r="DZ29" s="24187"/>
      <c r="EA29" s="5649"/>
      <c r="EB29" s="24187" t="str">
        <f>IF(TITLE_NUMBER_PR_CHANGE="",IF(TITLE_NUMBER_PR="","",TITLE_NUMBER_PR),TITLE_NUMBER_PR_CHANGE)</f>
        <v>403, 404</v>
      </c>
      <c r="EC29" s="24187"/>
      <c r="ED29" s="24187"/>
      <c r="EE29" s="24187"/>
      <c r="EF29" s="24187"/>
      <c r="EG29" s="24187"/>
      <c r="EH29" s="24187"/>
      <c r="EI29" s="24187"/>
      <c r="EJ29" s="24187"/>
      <c r="EK29" s="24187"/>
      <c r="EL29" s="5649"/>
      <c r="EM29" s="24187" t="str">
        <f>IF(TITLE_NUMBER_PR_CHANGE="",IF(TITLE_NUMBER_PR="","",TITLE_NUMBER_PR),TITLE_NUMBER_PR_CHANGE)</f>
        <v>403, 404</v>
      </c>
      <c r="EN29" s="24187"/>
      <c r="EO29" s="24187"/>
      <c r="EP29" s="24187"/>
      <c r="EQ29" s="24187"/>
      <c r="ER29" s="24187"/>
      <c r="ES29" s="24187"/>
      <c r="ET29" s="24187"/>
      <c r="EU29" s="24187"/>
      <c r="EV29" s="24187"/>
      <c r="EW29" s="5649"/>
      <c r="EX29" s="24081" t="str">
        <f>IF(TITLE_NUMBER_PR_CHANGE="",IF(TITLE_NUMBER_PR="","",TITLE_NUMBER_PR),TITLE_NUMBER_PR_CHANGE)</f>
        <v>403, 404</v>
      </c>
      <c r="EY29" s="24081"/>
      <c r="EZ29" s="24187"/>
      <c r="FA29" s="24187"/>
      <c r="FB29" s="24081"/>
      <c r="FC29" s="24187"/>
      <c r="FD29" s="24187"/>
      <c r="FE29" s="24187"/>
      <c r="FF29" s="24187"/>
      <c r="FG29" s="24187"/>
      <c r="FH29" s="5649"/>
      <c r="FI29" s="24081" t="str">
        <f>IF(TITLE_NUMBER_PR_CHANGE="",IF(TITLE_NUMBER_PR="","",TITLE_NUMBER_PR),TITLE_NUMBER_PR_CHANGE)</f>
        <v>403, 404</v>
      </c>
      <c r="FJ29" s="24081"/>
      <c r="FK29" s="24187"/>
      <c r="FL29" s="24187"/>
      <c r="FM29" s="24081"/>
      <c r="FN29" s="24187"/>
      <c r="FO29" s="24187"/>
      <c r="FP29" s="24081"/>
      <c r="FQ29" s="24081"/>
      <c r="FR29" s="24081"/>
      <c r="FS29" s="5649"/>
      <c r="FT29" s="262"/>
      <c r="FU29" s="216"/>
      <c r="FV29" s="304"/>
      <c r="FW29" s="304"/>
      <c r="FX29" s="304"/>
      <c r="FY29" s="304"/>
      <c r="FZ29" s="304"/>
      <c r="GA29" s="354">
        <v>0</v>
      </c>
    </row>
    <row r="30" spans="1:183"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4081"/>
      <c r="AC30" s="24081"/>
      <c r="AD30" s="24081"/>
      <c r="AE30" s="24081"/>
      <c r="AF30" s="262"/>
      <c r="AG30" s="24081" t="str">
        <f>IF(TITLE_IST_PUB_CHANGE="",IF(TITLE_IST_PUB="","",TITLE_IST_PUB),TITLE_IST_PUB_CHANGE)</f>
        <v>Смоленская газета</v>
      </c>
      <c r="AH30" s="24081"/>
      <c r="AI30" s="24081"/>
      <c r="AJ30" s="24081"/>
      <c r="AK30" s="24081"/>
      <c r="AL30" s="24081"/>
      <c r="AM30" s="24081"/>
      <c r="AN30" s="24081"/>
      <c r="AO30" s="24081"/>
      <c r="AP30" s="24081"/>
      <c r="AQ30" s="262"/>
      <c r="AR30" s="24187" t="str">
        <f>IF(TITLE_IST_PUB_CHANGE="",IF(TITLE_IST_PUB="","",TITLE_IST_PUB),TITLE_IST_PUB_CHANGE)</f>
        <v>Смоленская газета</v>
      </c>
      <c r="AS30" s="24187"/>
      <c r="AT30" s="24187"/>
      <c r="AU30" s="24187"/>
      <c r="AV30" s="24187"/>
      <c r="AW30" s="24187"/>
      <c r="AX30" s="24187"/>
      <c r="AY30" s="24187"/>
      <c r="AZ30" s="24187"/>
      <c r="BA30" s="24187"/>
      <c r="BB30" s="5649"/>
      <c r="BC30" s="24187" t="str">
        <f>IF(TITLE_IST_PUB_CHANGE="",IF(TITLE_IST_PUB="","",TITLE_IST_PUB),TITLE_IST_PUB_CHANGE)</f>
        <v>Смоленская газета</v>
      </c>
      <c r="BD30" s="24187"/>
      <c r="BE30" s="24187"/>
      <c r="BF30" s="24187"/>
      <c r="BG30" s="24187"/>
      <c r="BH30" s="24187"/>
      <c r="BI30" s="24187"/>
      <c r="BJ30" s="24187"/>
      <c r="BK30" s="24187"/>
      <c r="BL30" s="24187"/>
      <c r="BM30" s="5649"/>
      <c r="BN30" s="24081" t="str">
        <f>IF(TITLE_IST_PUB_CHANGE="",IF(TITLE_IST_PUB="","",TITLE_IST_PUB),TITLE_IST_PUB_CHANGE)</f>
        <v>Смоленская газета</v>
      </c>
      <c r="BO30" s="24081"/>
      <c r="BP30" s="24187"/>
      <c r="BQ30" s="24187"/>
      <c r="BR30" s="24081"/>
      <c r="BS30" s="24187"/>
      <c r="BT30" s="24187"/>
      <c r="BU30" s="24187"/>
      <c r="BV30" s="24187"/>
      <c r="BW30" s="24187"/>
      <c r="BX30" s="5649"/>
      <c r="BY30" s="24187" t="str">
        <f>IF(TITLE_IST_PUB_CHANGE="",IF(TITLE_IST_PUB="","",TITLE_IST_PUB),TITLE_IST_PUB_CHANGE)</f>
        <v>Смоленская газета</v>
      </c>
      <c r="BZ30" s="24187"/>
      <c r="CA30" s="24187"/>
      <c r="CB30" s="24187"/>
      <c r="CC30" s="24187"/>
      <c r="CD30" s="24187"/>
      <c r="CE30" s="24187"/>
      <c r="CF30" s="24187"/>
      <c r="CG30" s="24187"/>
      <c r="CH30" s="24187"/>
      <c r="CI30" s="5649"/>
      <c r="CJ30" s="24187" t="str">
        <f>IF(TITLE_IST_PUB_CHANGE="",IF(TITLE_IST_PUB="","",TITLE_IST_PUB),TITLE_IST_PUB_CHANGE)</f>
        <v>Смоленская газета</v>
      </c>
      <c r="CK30" s="24187"/>
      <c r="CL30" s="24187"/>
      <c r="CM30" s="24187"/>
      <c r="CN30" s="24187"/>
      <c r="CO30" s="24187"/>
      <c r="CP30" s="24187"/>
      <c r="CQ30" s="24187"/>
      <c r="CR30" s="24187"/>
      <c r="CS30" s="24187"/>
      <c r="CT30" s="5649"/>
      <c r="CU30" s="24187" t="str">
        <f>IF(TITLE_IST_PUB_CHANGE="",IF(TITLE_IST_PUB="","",TITLE_IST_PUB),TITLE_IST_PUB_CHANGE)</f>
        <v>Смоленская газета</v>
      </c>
      <c r="CV30" s="24187"/>
      <c r="CW30" s="24187"/>
      <c r="CX30" s="24187"/>
      <c r="CY30" s="24187"/>
      <c r="CZ30" s="24187"/>
      <c r="DA30" s="24187"/>
      <c r="DB30" s="24187"/>
      <c r="DC30" s="24187"/>
      <c r="DD30" s="24187"/>
      <c r="DE30" s="5649"/>
      <c r="DF30" s="24187" t="str">
        <f>IF(TITLE_IST_PUB_CHANGE="",IF(TITLE_IST_PUB="","",TITLE_IST_PUB),TITLE_IST_PUB_CHANGE)</f>
        <v>Смоленская газета</v>
      </c>
      <c r="DG30" s="24187"/>
      <c r="DH30" s="24187"/>
      <c r="DI30" s="24187"/>
      <c r="DJ30" s="24187"/>
      <c r="DK30" s="24187"/>
      <c r="DL30" s="24187"/>
      <c r="DM30" s="24187"/>
      <c r="DN30" s="24187"/>
      <c r="DO30" s="24187"/>
      <c r="DP30" s="5649"/>
      <c r="DQ30" s="24187" t="str">
        <f>IF(TITLE_IST_PUB_CHANGE="",IF(TITLE_IST_PUB="","",TITLE_IST_PUB),TITLE_IST_PUB_CHANGE)</f>
        <v>Смоленская газета</v>
      </c>
      <c r="DR30" s="24187"/>
      <c r="DS30" s="24187"/>
      <c r="DT30" s="24187"/>
      <c r="DU30" s="24187"/>
      <c r="DV30" s="24187"/>
      <c r="DW30" s="24187"/>
      <c r="DX30" s="24187"/>
      <c r="DY30" s="24187"/>
      <c r="DZ30" s="24187"/>
      <c r="EA30" s="5649"/>
      <c r="EB30" s="24187" t="str">
        <f>IF(TITLE_IST_PUB_CHANGE="",IF(TITLE_IST_PUB="","",TITLE_IST_PUB),TITLE_IST_PUB_CHANGE)</f>
        <v>Смоленская газета</v>
      </c>
      <c r="EC30" s="24187"/>
      <c r="ED30" s="24187"/>
      <c r="EE30" s="24187"/>
      <c r="EF30" s="24187"/>
      <c r="EG30" s="24187"/>
      <c r="EH30" s="24187"/>
      <c r="EI30" s="24187"/>
      <c r="EJ30" s="24187"/>
      <c r="EK30" s="24187"/>
      <c r="EL30" s="5649"/>
      <c r="EM30" s="24187" t="str">
        <f>IF(TITLE_IST_PUB_CHANGE="",IF(TITLE_IST_PUB="","",TITLE_IST_PUB),TITLE_IST_PUB_CHANGE)</f>
        <v>Смоленская газета</v>
      </c>
      <c r="EN30" s="24187"/>
      <c r="EO30" s="24187"/>
      <c r="EP30" s="24187"/>
      <c r="EQ30" s="24187"/>
      <c r="ER30" s="24187"/>
      <c r="ES30" s="24187"/>
      <c r="ET30" s="24187"/>
      <c r="EU30" s="24187"/>
      <c r="EV30" s="24187"/>
      <c r="EW30" s="5649"/>
      <c r="EX30" s="24081" t="str">
        <f>IF(TITLE_IST_PUB_CHANGE="",IF(TITLE_IST_PUB="","",TITLE_IST_PUB),TITLE_IST_PUB_CHANGE)</f>
        <v>Смоленская газета</v>
      </c>
      <c r="EY30" s="24081"/>
      <c r="EZ30" s="24187"/>
      <c r="FA30" s="24187"/>
      <c r="FB30" s="24081"/>
      <c r="FC30" s="24187"/>
      <c r="FD30" s="24187"/>
      <c r="FE30" s="24187"/>
      <c r="FF30" s="24187"/>
      <c r="FG30" s="24187"/>
      <c r="FH30" s="5649"/>
      <c r="FI30" s="24081" t="str">
        <f>IF(TITLE_IST_PUB_CHANGE="",IF(TITLE_IST_PUB="","",TITLE_IST_PUB),TITLE_IST_PUB_CHANGE)</f>
        <v>Смоленская газета</v>
      </c>
      <c r="FJ30" s="24081"/>
      <c r="FK30" s="24187"/>
      <c r="FL30" s="24187"/>
      <c r="FM30" s="24081"/>
      <c r="FN30" s="24187"/>
      <c r="FO30" s="24187"/>
      <c r="FP30" s="24081"/>
      <c r="FQ30" s="24081"/>
      <c r="FR30" s="24081"/>
      <c r="FS30" s="5649"/>
      <c r="FT30" s="262"/>
      <c r="FU30" s="216"/>
      <c r="FV30" s="304"/>
      <c r="FW30" s="304"/>
      <c r="FX30" s="304"/>
      <c r="FY30" s="304"/>
      <c r="FZ30" s="304"/>
      <c r="GA30" s="354">
        <v>0</v>
      </c>
    </row>
    <row r="31" spans="1:183"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5658"/>
      <c r="AS31" s="5658"/>
      <c r="AT31" s="5658"/>
      <c r="AU31" s="5658"/>
      <c r="AV31" s="5658"/>
      <c r="AW31" s="5658"/>
      <c r="AX31" s="5658"/>
      <c r="AY31" s="5658"/>
      <c r="AZ31" s="5658"/>
      <c r="BA31" s="5658"/>
      <c r="BB31" s="5658"/>
      <c r="BC31" s="5658"/>
      <c r="BD31" s="5658"/>
      <c r="BE31" s="5658"/>
      <c r="BF31" s="5658"/>
      <c r="BG31" s="5658"/>
      <c r="BH31" s="5658"/>
      <c r="BI31" s="5658"/>
      <c r="BJ31" s="5658"/>
      <c r="BK31" s="5658"/>
      <c r="BL31" s="5658"/>
      <c r="BM31" s="5658"/>
      <c r="BN31" s="258"/>
      <c r="BO31" s="258"/>
      <c r="BP31" s="5658"/>
      <c r="BQ31" s="5658"/>
      <c r="BR31" s="258"/>
      <c r="BS31" s="5658"/>
      <c r="BT31" s="5658"/>
      <c r="BU31" s="5658"/>
      <c r="BV31" s="5658"/>
      <c r="BW31" s="5658"/>
      <c r="BX31" s="5658"/>
      <c r="BY31" s="5658"/>
      <c r="BZ31" s="5658"/>
      <c r="CA31" s="5658"/>
      <c r="CB31" s="5658"/>
      <c r="CC31" s="5658"/>
      <c r="CD31" s="5658"/>
      <c r="CE31" s="5658"/>
      <c r="CF31" s="5658"/>
      <c r="CG31" s="5658"/>
      <c r="CH31" s="5658"/>
      <c r="CI31" s="5658"/>
      <c r="CJ31" s="5658"/>
      <c r="CK31" s="5658"/>
      <c r="CL31" s="5658"/>
      <c r="CM31" s="5658"/>
      <c r="CN31" s="5658"/>
      <c r="CO31" s="5658"/>
      <c r="CP31" s="5658"/>
      <c r="CQ31" s="5658"/>
      <c r="CR31" s="5658"/>
      <c r="CS31" s="5658"/>
      <c r="CT31" s="5658"/>
      <c r="CU31" s="5658"/>
      <c r="CV31" s="5658"/>
      <c r="CW31" s="5658"/>
      <c r="CX31" s="5658"/>
      <c r="CY31" s="5658"/>
      <c r="CZ31" s="5658"/>
      <c r="DA31" s="5658"/>
      <c r="DB31" s="5658"/>
      <c r="DC31" s="5658"/>
      <c r="DD31" s="5658"/>
      <c r="DE31" s="5658"/>
      <c r="DF31" s="5658"/>
      <c r="DG31" s="5658"/>
      <c r="DH31" s="5658"/>
      <c r="DI31" s="5658"/>
      <c r="DJ31" s="5658"/>
      <c r="DK31" s="5658"/>
      <c r="DL31" s="5658"/>
      <c r="DM31" s="5658"/>
      <c r="DN31" s="5658"/>
      <c r="DO31" s="5658"/>
      <c r="DP31" s="5658"/>
      <c r="DQ31" s="5658"/>
      <c r="DR31" s="5658"/>
      <c r="DS31" s="5658"/>
      <c r="DT31" s="5658"/>
      <c r="DU31" s="5658"/>
      <c r="DV31" s="5658"/>
      <c r="DW31" s="5658"/>
      <c r="DX31" s="5658"/>
      <c r="DY31" s="5658"/>
      <c r="DZ31" s="5658"/>
      <c r="EA31" s="5658"/>
      <c r="EB31" s="5658"/>
      <c r="EC31" s="5658"/>
      <c r="ED31" s="5658"/>
      <c r="EE31" s="5658"/>
      <c r="EF31" s="5658"/>
      <c r="EG31" s="5658"/>
      <c r="EH31" s="5658"/>
      <c r="EI31" s="5658"/>
      <c r="EJ31" s="5658"/>
      <c r="EK31" s="5658"/>
      <c r="EL31" s="5658"/>
      <c r="EM31" s="5658"/>
      <c r="EN31" s="5658"/>
      <c r="EO31" s="5658"/>
      <c r="EP31" s="5658"/>
      <c r="EQ31" s="5658"/>
      <c r="ER31" s="5658"/>
      <c r="ES31" s="5658"/>
      <c r="ET31" s="5658"/>
      <c r="EU31" s="5658"/>
      <c r="EV31" s="5658"/>
      <c r="EW31" s="5658"/>
      <c r="EX31" s="258"/>
      <c r="EY31" s="258"/>
      <c r="EZ31" s="5658"/>
      <c r="FA31" s="5658"/>
      <c r="FB31" s="258"/>
      <c r="FC31" s="5658"/>
      <c r="FD31" s="5658"/>
      <c r="FE31" s="5658"/>
      <c r="FF31" s="5658"/>
      <c r="FG31" s="5658"/>
      <c r="FH31" s="5658"/>
      <c r="FI31" s="258"/>
      <c r="FJ31" s="258"/>
      <c r="FK31" s="5658"/>
      <c r="FL31" s="5658"/>
      <c r="FM31" s="258"/>
      <c r="FN31" s="5658"/>
      <c r="FO31" s="5658"/>
      <c r="FP31" s="258"/>
      <c r="FQ31" s="258"/>
      <c r="FR31" s="258"/>
      <c r="FS31" s="5658"/>
      <c r="FT31" s="445"/>
      <c r="GA31" s="1081">
        <v>0</v>
      </c>
    </row>
    <row r="32" spans="1:183"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4080"/>
      <c r="AC32" s="24080"/>
      <c r="AD32" s="24080"/>
      <c r="AE32" s="24080"/>
      <c r="AF32" s="262"/>
      <c r="AG32" s="24080" t="str">
        <f>IF(TITLE_DATE_PR_CHANGE="",IF(TITLE_DATE_PR="","",TITLE_DATE_PR),TITLE_DATE_PR_CHANGE)</f>
        <v>20.12.2024</v>
      </c>
      <c r="AH32" s="24080"/>
      <c r="AI32" s="24080"/>
      <c r="AJ32" s="24080"/>
      <c r="AK32" s="24080"/>
      <c r="AL32" s="24080"/>
      <c r="AM32" s="24080"/>
      <c r="AN32" s="24080"/>
      <c r="AO32" s="24080"/>
      <c r="AP32" s="24080"/>
      <c r="AQ32" s="262"/>
      <c r="AR32" s="24080" t="str">
        <f>IF(TITLE_DATE_PR_CHANGE="",IF(TITLE_DATE_PR="","",TITLE_DATE_PR),TITLE_DATE_PR_CHANGE)</f>
        <v>20.12.2024</v>
      </c>
      <c r="AS32" s="24080"/>
      <c r="AT32" s="24080"/>
      <c r="AU32" s="24080"/>
      <c r="AV32" s="24080"/>
      <c r="AW32" s="24080"/>
      <c r="AX32" s="24080"/>
      <c r="AY32" s="24080"/>
      <c r="AZ32" s="24080"/>
      <c r="BA32" s="24080"/>
      <c r="BB32" s="5649"/>
      <c r="BC32" s="24080" t="str">
        <f>IF(TITLE_DATE_PR_CHANGE="",IF(TITLE_DATE_PR="","",TITLE_DATE_PR),TITLE_DATE_PR_CHANGE)</f>
        <v>20.12.2024</v>
      </c>
      <c r="BD32" s="24080"/>
      <c r="BE32" s="24080"/>
      <c r="BF32" s="24080"/>
      <c r="BG32" s="24080"/>
      <c r="BH32" s="24080"/>
      <c r="BI32" s="24080"/>
      <c r="BJ32" s="24080"/>
      <c r="BK32" s="24080"/>
      <c r="BL32" s="24080"/>
      <c r="BM32" s="5649"/>
      <c r="BN32" s="24080" t="str">
        <f>IF(TITLE_DATE_PR_CHANGE="",IF(TITLE_DATE_PR="","",TITLE_DATE_PR),TITLE_DATE_PR_CHANGE)</f>
        <v>20.12.2024</v>
      </c>
      <c r="BO32" s="24080"/>
      <c r="BP32" s="24080"/>
      <c r="BQ32" s="24080"/>
      <c r="BR32" s="24080"/>
      <c r="BS32" s="24080"/>
      <c r="BT32" s="24080"/>
      <c r="BU32" s="24080"/>
      <c r="BV32" s="24080"/>
      <c r="BW32" s="24080"/>
      <c r="BX32" s="5649"/>
      <c r="BY32" s="24080" t="str">
        <f>IF(TITLE_DATE_PR_CHANGE="",IF(TITLE_DATE_PR="","",TITLE_DATE_PR),TITLE_DATE_PR_CHANGE)</f>
        <v>20.12.2024</v>
      </c>
      <c r="BZ32" s="24080"/>
      <c r="CA32" s="24080"/>
      <c r="CB32" s="24080"/>
      <c r="CC32" s="24080"/>
      <c r="CD32" s="24080"/>
      <c r="CE32" s="24080"/>
      <c r="CF32" s="24080"/>
      <c r="CG32" s="24080"/>
      <c r="CH32" s="24080"/>
      <c r="CI32" s="5649"/>
      <c r="CJ32" s="24080" t="str">
        <f>IF(TITLE_DATE_PR_CHANGE="",IF(TITLE_DATE_PR="","",TITLE_DATE_PR),TITLE_DATE_PR_CHANGE)</f>
        <v>20.12.2024</v>
      </c>
      <c r="CK32" s="24080"/>
      <c r="CL32" s="24080"/>
      <c r="CM32" s="24080"/>
      <c r="CN32" s="24080"/>
      <c r="CO32" s="24080"/>
      <c r="CP32" s="24080"/>
      <c r="CQ32" s="24080"/>
      <c r="CR32" s="24080"/>
      <c r="CS32" s="24080"/>
      <c r="CT32" s="5649"/>
      <c r="CU32" s="24080" t="str">
        <f>IF(TITLE_DATE_PR_CHANGE="",IF(TITLE_DATE_PR="","",TITLE_DATE_PR),TITLE_DATE_PR_CHANGE)</f>
        <v>20.12.2024</v>
      </c>
      <c r="CV32" s="24080"/>
      <c r="CW32" s="24080"/>
      <c r="CX32" s="24080"/>
      <c r="CY32" s="24080"/>
      <c r="CZ32" s="24080"/>
      <c r="DA32" s="24080"/>
      <c r="DB32" s="24080"/>
      <c r="DC32" s="24080"/>
      <c r="DD32" s="24080"/>
      <c r="DE32" s="5649"/>
      <c r="DF32" s="24080" t="str">
        <f>IF(TITLE_DATE_PR_CHANGE="",IF(TITLE_DATE_PR="","",TITLE_DATE_PR),TITLE_DATE_PR_CHANGE)</f>
        <v>20.12.2024</v>
      </c>
      <c r="DG32" s="24080"/>
      <c r="DH32" s="24080"/>
      <c r="DI32" s="24080"/>
      <c r="DJ32" s="24080"/>
      <c r="DK32" s="24080"/>
      <c r="DL32" s="24080"/>
      <c r="DM32" s="24080"/>
      <c r="DN32" s="24080"/>
      <c r="DO32" s="24080"/>
      <c r="DP32" s="5649"/>
      <c r="DQ32" s="24080" t="str">
        <f>IF(TITLE_DATE_PR_CHANGE="",IF(TITLE_DATE_PR="","",TITLE_DATE_PR),TITLE_DATE_PR_CHANGE)</f>
        <v>20.12.2024</v>
      </c>
      <c r="DR32" s="24080"/>
      <c r="DS32" s="24080"/>
      <c r="DT32" s="24080"/>
      <c r="DU32" s="24080"/>
      <c r="DV32" s="24080"/>
      <c r="DW32" s="24080"/>
      <c r="DX32" s="24080"/>
      <c r="DY32" s="24080"/>
      <c r="DZ32" s="24080"/>
      <c r="EA32" s="5649"/>
      <c r="EB32" s="24080" t="str">
        <f>IF(TITLE_DATE_PR_CHANGE="",IF(TITLE_DATE_PR="","",TITLE_DATE_PR),TITLE_DATE_PR_CHANGE)</f>
        <v>20.12.2024</v>
      </c>
      <c r="EC32" s="24080"/>
      <c r="ED32" s="24080"/>
      <c r="EE32" s="24080"/>
      <c r="EF32" s="24080"/>
      <c r="EG32" s="24080"/>
      <c r="EH32" s="24080"/>
      <c r="EI32" s="24080"/>
      <c r="EJ32" s="24080"/>
      <c r="EK32" s="24080"/>
      <c r="EL32" s="5649"/>
      <c r="EM32" s="24080" t="str">
        <f>IF(TITLE_DATE_PR_CHANGE="",IF(TITLE_DATE_PR="","",TITLE_DATE_PR),TITLE_DATE_PR_CHANGE)</f>
        <v>20.12.2024</v>
      </c>
      <c r="EN32" s="24080"/>
      <c r="EO32" s="24080"/>
      <c r="EP32" s="24080"/>
      <c r="EQ32" s="24080"/>
      <c r="ER32" s="24080"/>
      <c r="ES32" s="24080"/>
      <c r="ET32" s="24080"/>
      <c r="EU32" s="24080"/>
      <c r="EV32" s="24080"/>
      <c r="EW32" s="5649"/>
      <c r="EX32" s="24080" t="str">
        <f>IF(TITLE_DATE_PR_CHANGE="",IF(TITLE_DATE_PR="","",TITLE_DATE_PR),TITLE_DATE_PR_CHANGE)</f>
        <v>20.12.2024</v>
      </c>
      <c r="EY32" s="24080"/>
      <c r="EZ32" s="24080"/>
      <c r="FA32" s="24080"/>
      <c r="FB32" s="24080"/>
      <c r="FC32" s="24080"/>
      <c r="FD32" s="24080"/>
      <c r="FE32" s="24080"/>
      <c r="FF32" s="24080"/>
      <c r="FG32" s="24080"/>
      <c r="FH32" s="5649"/>
      <c r="FI32" s="24080" t="str">
        <f>IF(TITLE_DATE_PR_CHANGE="",IF(TITLE_DATE_PR="","",TITLE_DATE_PR),TITLE_DATE_PR_CHANGE)</f>
        <v>20.12.2024</v>
      </c>
      <c r="FJ32" s="24080"/>
      <c r="FK32" s="24080"/>
      <c r="FL32" s="24080"/>
      <c r="FM32" s="24080"/>
      <c r="FN32" s="24080"/>
      <c r="FO32" s="24080"/>
      <c r="FP32" s="24080"/>
      <c r="FQ32" s="24080"/>
      <c r="FR32" s="24080"/>
      <c r="FS32" s="5649"/>
      <c r="FT32" s="262"/>
      <c r="FU32" s="216"/>
      <c r="FV32" s="304"/>
      <c r="FW32" s="304"/>
      <c r="FX32" s="304"/>
      <c r="FY32" s="304"/>
      <c r="FZ32" s="304"/>
      <c r="GA32" s="354">
        <v>0</v>
      </c>
    </row>
    <row r="33" spans="1:183"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4081"/>
      <c r="AC33" s="24081"/>
      <c r="AD33" s="24081"/>
      <c r="AE33" s="24081"/>
      <c r="AF33" s="262"/>
      <c r="AG33" s="24081" t="str">
        <f>IF(TITLE_NUMBER_PR_CHANGE="",IF(TITLE_NUMBER_PR="","",TITLE_NUMBER_PR),TITLE_NUMBER_PR_CHANGE)</f>
        <v>403, 404</v>
      </c>
      <c r="AH33" s="24081"/>
      <c r="AI33" s="24081"/>
      <c r="AJ33" s="24081"/>
      <c r="AK33" s="24081"/>
      <c r="AL33" s="24081"/>
      <c r="AM33" s="24081"/>
      <c r="AN33" s="24081"/>
      <c r="AO33" s="24081"/>
      <c r="AP33" s="24081"/>
      <c r="AQ33" s="262"/>
      <c r="AR33" s="24187" t="str">
        <f>IF(TITLE_NUMBER_PR_CHANGE="",IF(TITLE_NUMBER_PR="","",TITLE_NUMBER_PR),TITLE_NUMBER_PR_CHANGE)</f>
        <v>403, 404</v>
      </c>
      <c r="AS33" s="24187"/>
      <c r="AT33" s="24187"/>
      <c r="AU33" s="24187"/>
      <c r="AV33" s="24187"/>
      <c r="AW33" s="24187"/>
      <c r="AX33" s="24187"/>
      <c r="AY33" s="24187"/>
      <c r="AZ33" s="24187"/>
      <c r="BA33" s="24187"/>
      <c r="BB33" s="5649"/>
      <c r="BC33" s="24187" t="str">
        <f>IF(TITLE_NUMBER_PR_CHANGE="",IF(TITLE_NUMBER_PR="","",TITLE_NUMBER_PR),TITLE_NUMBER_PR_CHANGE)</f>
        <v>403, 404</v>
      </c>
      <c r="BD33" s="24187"/>
      <c r="BE33" s="24187"/>
      <c r="BF33" s="24187"/>
      <c r="BG33" s="24187"/>
      <c r="BH33" s="24187"/>
      <c r="BI33" s="24187"/>
      <c r="BJ33" s="24187"/>
      <c r="BK33" s="24187"/>
      <c r="BL33" s="24187"/>
      <c r="BM33" s="5649"/>
      <c r="BN33" s="24081" t="str">
        <f>IF(TITLE_NUMBER_PR_CHANGE="",IF(TITLE_NUMBER_PR="","",TITLE_NUMBER_PR),TITLE_NUMBER_PR_CHANGE)</f>
        <v>403, 404</v>
      </c>
      <c r="BO33" s="24081"/>
      <c r="BP33" s="24187"/>
      <c r="BQ33" s="24187"/>
      <c r="BR33" s="24081"/>
      <c r="BS33" s="24187"/>
      <c r="BT33" s="24187"/>
      <c r="BU33" s="24187"/>
      <c r="BV33" s="24187"/>
      <c r="BW33" s="24187"/>
      <c r="BX33" s="5649"/>
      <c r="BY33" s="24187" t="str">
        <f>IF(TITLE_NUMBER_PR_CHANGE="",IF(TITLE_NUMBER_PR="","",TITLE_NUMBER_PR),TITLE_NUMBER_PR_CHANGE)</f>
        <v>403, 404</v>
      </c>
      <c r="BZ33" s="24187"/>
      <c r="CA33" s="24187"/>
      <c r="CB33" s="24187"/>
      <c r="CC33" s="24187"/>
      <c r="CD33" s="24187"/>
      <c r="CE33" s="24187"/>
      <c r="CF33" s="24187"/>
      <c r="CG33" s="24187"/>
      <c r="CH33" s="24187"/>
      <c r="CI33" s="5649"/>
      <c r="CJ33" s="24187" t="str">
        <f>IF(TITLE_NUMBER_PR_CHANGE="",IF(TITLE_NUMBER_PR="","",TITLE_NUMBER_PR),TITLE_NUMBER_PR_CHANGE)</f>
        <v>403, 404</v>
      </c>
      <c r="CK33" s="24187"/>
      <c r="CL33" s="24187"/>
      <c r="CM33" s="24187"/>
      <c r="CN33" s="24187"/>
      <c r="CO33" s="24187"/>
      <c r="CP33" s="24187"/>
      <c r="CQ33" s="24187"/>
      <c r="CR33" s="24187"/>
      <c r="CS33" s="24187"/>
      <c r="CT33" s="5649"/>
      <c r="CU33" s="24187" t="str">
        <f>IF(TITLE_NUMBER_PR_CHANGE="",IF(TITLE_NUMBER_PR="","",TITLE_NUMBER_PR),TITLE_NUMBER_PR_CHANGE)</f>
        <v>403, 404</v>
      </c>
      <c r="CV33" s="24187"/>
      <c r="CW33" s="24187"/>
      <c r="CX33" s="24187"/>
      <c r="CY33" s="24187"/>
      <c r="CZ33" s="24187"/>
      <c r="DA33" s="24187"/>
      <c r="DB33" s="24187"/>
      <c r="DC33" s="24187"/>
      <c r="DD33" s="24187"/>
      <c r="DE33" s="5649"/>
      <c r="DF33" s="24187" t="str">
        <f>IF(TITLE_NUMBER_PR_CHANGE="",IF(TITLE_NUMBER_PR="","",TITLE_NUMBER_PR),TITLE_NUMBER_PR_CHANGE)</f>
        <v>403, 404</v>
      </c>
      <c r="DG33" s="24187"/>
      <c r="DH33" s="24187"/>
      <c r="DI33" s="24187"/>
      <c r="DJ33" s="24187"/>
      <c r="DK33" s="24187"/>
      <c r="DL33" s="24187"/>
      <c r="DM33" s="24187"/>
      <c r="DN33" s="24187"/>
      <c r="DO33" s="24187"/>
      <c r="DP33" s="5649"/>
      <c r="DQ33" s="24187" t="str">
        <f>IF(TITLE_NUMBER_PR_CHANGE="",IF(TITLE_NUMBER_PR="","",TITLE_NUMBER_PR),TITLE_NUMBER_PR_CHANGE)</f>
        <v>403, 404</v>
      </c>
      <c r="DR33" s="24187"/>
      <c r="DS33" s="24187"/>
      <c r="DT33" s="24187"/>
      <c r="DU33" s="24187"/>
      <c r="DV33" s="24187"/>
      <c r="DW33" s="24187"/>
      <c r="DX33" s="24187"/>
      <c r="DY33" s="24187"/>
      <c r="DZ33" s="24187"/>
      <c r="EA33" s="5649"/>
      <c r="EB33" s="24187" t="str">
        <f>IF(TITLE_NUMBER_PR_CHANGE="",IF(TITLE_NUMBER_PR="","",TITLE_NUMBER_PR),TITLE_NUMBER_PR_CHANGE)</f>
        <v>403, 404</v>
      </c>
      <c r="EC33" s="24187"/>
      <c r="ED33" s="24187"/>
      <c r="EE33" s="24187"/>
      <c r="EF33" s="24187"/>
      <c r="EG33" s="24187"/>
      <c r="EH33" s="24187"/>
      <c r="EI33" s="24187"/>
      <c r="EJ33" s="24187"/>
      <c r="EK33" s="24187"/>
      <c r="EL33" s="5649"/>
      <c r="EM33" s="24187" t="str">
        <f>IF(TITLE_NUMBER_PR_CHANGE="",IF(TITLE_NUMBER_PR="","",TITLE_NUMBER_PR),TITLE_NUMBER_PR_CHANGE)</f>
        <v>403, 404</v>
      </c>
      <c r="EN33" s="24187"/>
      <c r="EO33" s="24187"/>
      <c r="EP33" s="24187"/>
      <c r="EQ33" s="24187"/>
      <c r="ER33" s="24187"/>
      <c r="ES33" s="24187"/>
      <c r="ET33" s="24187"/>
      <c r="EU33" s="24187"/>
      <c r="EV33" s="24187"/>
      <c r="EW33" s="5649"/>
      <c r="EX33" s="24081" t="str">
        <f>IF(TITLE_NUMBER_PR_CHANGE="",IF(TITLE_NUMBER_PR="","",TITLE_NUMBER_PR),TITLE_NUMBER_PR_CHANGE)</f>
        <v>403, 404</v>
      </c>
      <c r="EY33" s="24081"/>
      <c r="EZ33" s="24187"/>
      <c r="FA33" s="24187"/>
      <c r="FB33" s="24081"/>
      <c r="FC33" s="24187"/>
      <c r="FD33" s="24187"/>
      <c r="FE33" s="24187"/>
      <c r="FF33" s="24187"/>
      <c r="FG33" s="24187"/>
      <c r="FH33" s="5649"/>
      <c r="FI33" s="24081" t="str">
        <f>IF(TITLE_NUMBER_PR_CHANGE="",IF(TITLE_NUMBER_PR="","",TITLE_NUMBER_PR),TITLE_NUMBER_PR_CHANGE)</f>
        <v>403, 404</v>
      </c>
      <c r="FJ33" s="24081"/>
      <c r="FK33" s="24187"/>
      <c r="FL33" s="24187"/>
      <c r="FM33" s="24081"/>
      <c r="FN33" s="24187"/>
      <c r="FO33" s="24187"/>
      <c r="FP33" s="24081"/>
      <c r="FQ33" s="24081"/>
      <c r="FR33" s="24081"/>
      <c r="FS33" s="5649"/>
      <c r="FT33" s="262"/>
      <c r="FU33" s="216"/>
      <c r="FV33" s="304"/>
      <c r="FW33" s="304"/>
      <c r="FX33" s="304"/>
      <c r="FY33" s="304"/>
      <c r="FZ33" s="304"/>
      <c r="GA33" s="354">
        <v>0</v>
      </c>
    </row>
    <row r="34" spans="1:183"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1561"/>
      <c r="AC34" s="262"/>
      <c r="AD34" s="262"/>
      <c r="AE34" s="262"/>
      <c r="AF34" s="214" t="s">
        <v>654</v>
      </c>
      <c r="AG34" s="262"/>
      <c r="AH34" s="1561"/>
      <c r="AI34" s="1561"/>
      <c r="AJ34" s="1561"/>
      <c r="AK34" s="1561"/>
      <c r="AL34" s="1561"/>
      <c r="AM34" s="262"/>
      <c r="AN34" s="262"/>
      <c r="AO34" s="262"/>
      <c r="AP34" s="262"/>
      <c r="AQ34" s="214" t="s">
        <v>654</v>
      </c>
      <c r="AR34" s="5649"/>
      <c r="AS34" s="5649"/>
      <c r="AT34" s="5649"/>
      <c r="AU34" s="5649"/>
      <c r="AV34" s="5649"/>
      <c r="AW34" s="5649"/>
      <c r="AX34" s="5649"/>
      <c r="AY34" s="5649"/>
      <c r="AZ34" s="5649"/>
      <c r="BA34" s="5649"/>
      <c r="BB34" s="5659" t="s">
        <v>654</v>
      </c>
      <c r="BC34" s="5649"/>
      <c r="BD34" s="5649"/>
      <c r="BE34" s="5649"/>
      <c r="BF34" s="5649"/>
      <c r="BG34" s="5649"/>
      <c r="BH34" s="5649"/>
      <c r="BI34" s="5649"/>
      <c r="BJ34" s="5649"/>
      <c r="BK34" s="5649"/>
      <c r="BL34" s="5649"/>
      <c r="BM34" s="5659" t="s">
        <v>654</v>
      </c>
      <c r="BN34" s="1561"/>
      <c r="BO34" s="1561"/>
      <c r="BP34" s="5649"/>
      <c r="BQ34" s="5649"/>
      <c r="BR34" s="1561"/>
      <c r="BS34" s="5649"/>
      <c r="BT34" s="5649"/>
      <c r="BU34" s="5649"/>
      <c r="BV34" s="5649"/>
      <c r="BW34" s="5649"/>
      <c r="BX34" s="5659" t="s">
        <v>654</v>
      </c>
      <c r="BY34" s="5649"/>
      <c r="BZ34" s="5649"/>
      <c r="CA34" s="5649"/>
      <c r="CB34" s="5649"/>
      <c r="CC34" s="5649"/>
      <c r="CD34" s="5649"/>
      <c r="CE34" s="5649"/>
      <c r="CF34" s="5649"/>
      <c r="CG34" s="5649"/>
      <c r="CH34" s="5649"/>
      <c r="CI34" s="5659" t="s">
        <v>654</v>
      </c>
      <c r="CJ34" s="5649"/>
      <c r="CK34" s="5649"/>
      <c r="CL34" s="5649"/>
      <c r="CM34" s="5649"/>
      <c r="CN34" s="5649"/>
      <c r="CO34" s="5649"/>
      <c r="CP34" s="5649"/>
      <c r="CQ34" s="5649"/>
      <c r="CR34" s="5649"/>
      <c r="CS34" s="5649"/>
      <c r="CT34" s="5659" t="s">
        <v>654</v>
      </c>
      <c r="CU34" s="5649"/>
      <c r="CV34" s="5649"/>
      <c r="CW34" s="5649"/>
      <c r="CX34" s="5649"/>
      <c r="CY34" s="5649"/>
      <c r="CZ34" s="5649"/>
      <c r="DA34" s="5649"/>
      <c r="DB34" s="5649"/>
      <c r="DC34" s="5649"/>
      <c r="DD34" s="5649"/>
      <c r="DE34" s="5659" t="s">
        <v>654</v>
      </c>
      <c r="DF34" s="5649"/>
      <c r="DG34" s="5649"/>
      <c r="DH34" s="5649"/>
      <c r="DI34" s="5649"/>
      <c r="DJ34" s="5649"/>
      <c r="DK34" s="5649"/>
      <c r="DL34" s="5649"/>
      <c r="DM34" s="5649"/>
      <c r="DN34" s="5649"/>
      <c r="DO34" s="5649"/>
      <c r="DP34" s="5659" t="s">
        <v>654</v>
      </c>
      <c r="DQ34" s="5649"/>
      <c r="DR34" s="5649"/>
      <c r="DS34" s="5649"/>
      <c r="DT34" s="5649"/>
      <c r="DU34" s="5649"/>
      <c r="DV34" s="5649"/>
      <c r="DW34" s="5649"/>
      <c r="DX34" s="5649"/>
      <c r="DY34" s="5649"/>
      <c r="DZ34" s="5649"/>
      <c r="EA34" s="5659" t="s">
        <v>654</v>
      </c>
      <c r="EB34" s="5649"/>
      <c r="EC34" s="5649"/>
      <c r="ED34" s="5649"/>
      <c r="EE34" s="5649"/>
      <c r="EF34" s="5649"/>
      <c r="EG34" s="5649"/>
      <c r="EH34" s="5649"/>
      <c r="EI34" s="5649"/>
      <c r="EJ34" s="5649"/>
      <c r="EK34" s="5649"/>
      <c r="EL34" s="5659" t="s">
        <v>654</v>
      </c>
      <c r="EM34" s="5649"/>
      <c r="EN34" s="5649"/>
      <c r="EO34" s="5649"/>
      <c r="EP34" s="5649"/>
      <c r="EQ34" s="5649"/>
      <c r="ER34" s="5649"/>
      <c r="ES34" s="5649"/>
      <c r="ET34" s="5649"/>
      <c r="EU34" s="5649"/>
      <c r="EV34" s="5649"/>
      <c r="EW34" s="5659" t="s">
        <v>654</v>
      </c>
      <c r="EX34" s="1561"/>
      <c r="EY34" s="1561"/>
      <c r="EZ34" s="5649"/>
      <c r="FA34" s="5649"/>
      <c r="FB34" s="1561"/>
      <c r="FC34" s="5649"/>
      <c r="FD34" s="5649"/>
      <c r="FE34" s="5649"/>
      <c r="FF34" s="5649"/>
      <c r="FG34" s="5649"/>
      <c r="FH34" s="5659" t="s">
        <v>654</v>
      </c>
      <c r="FI34" s="1561"/>
      <c r="FJ34" s="1561"/>
      <c r="FK34" s="5649"/>
      <c r="FL34" s="5649"/>
      <c r="FM34" s="1561"/>
      <c r="FN34" s="5649"/>
      <c r="FO34" s="5649"/>
      <c r="FP34" s="1561"/>
      <c r="FQ34" s="1561"/>
      <c r="FR34" s="1561"/>
      <c r="FS34" s="5659" t="s">
        <v>654</v>
      </c>
      <c r="FV34" s="304"/>
      <c r="FW34" s="304"/>
      <c r="FX34" s="304"/>
      <c r="FY34" s="304"/>
      <c r="FZ34" s="304"/>
      <c r="GA34" s="354">
        <v>1</v>
      </c>
    </row>
    <row r="35" spans="1:183"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J35" s="24100"/>
      <c r="AK35" s="24100"/>
      <c r="AL35" s="24100"/>
      <c r="AM35" s="24100"/>
      <c r="AN35" s="24100"/>
      <c r="AO35" s="24100"/>
      <c r="AP35" s="24100"/>
      <c r="AQ35" s="24100"/>
      <c r="AR35" s="24189" t="s">
        <v>96</v>
      </c>
      <c r="AS35" s="24189"/>
      <c r="AT35" s="24189"/>
      <c r="AU35" s="24189"/>
      <c r="AV35" s="24189"/>
      <c r="AW35" s="24189"/>
      <c r="AX35" s="24189"/>
      <c r="AY35" s="24189"/>
      <c r="AZ35" s="24189"/>
      <c r="BA35" s="24189"/>
      <c r="BB35" s="24189"/>
      <c r="BC35" s="24189" t="s">
        <v>96</v>
      </c>
      <c r="BD35" s="24189"/>
      <c r="BE35" s="24189"/>
      <c r="BF35" s="24189"/>
      <c r="BG35" s="24189"/>
      <c r="BH35" s="24189"/>
      <c r="BI35" s="24189"/>
      <c r="BJ35" s="24189"/>
      <c r="BK35" s="24189"/>
      <c r="BL35" s="24189"/>
      <c r="BM35" s="24189"/>
      <c r="BN35" s="24100" t="s">
        <v>96</v>
      </c>
      <c r="BO35" s="24100"/>
      <c r="BP35" s="24189"/>
      <c r="BQ35" s="24189"/>
      <c r="BR35" s="24100"/>
      <c r="BS35" s="24189"/>
      <c r="BT35" s="24189"/>
      <c r="BU35" s="24189"/>
      <c r="BV35" s="24189"/>
      <c r="BW35" s="24189"/>
      <c r="BX35" s="24189"/>
      <c r="BY35" s="24189" t="s">
        <v>96</v>
      </c>
      <c r="BZ35" s="24189"/>
      <c r="CA35" s="24189"/>
      <c r="CB35" s="24189"/>
      <c r="CC35" s="24189"/>
      <c r="CD35" s="24189"/>
      <c r="CE35" s="24189"/>
      <c r="CF35" s="24189"/>
      <c r="CG35" s="24189"/>
      <c r="CH35" s="24189"/>
      <c r="CI35" s="24189"/>
      <c r="CJ35" s="24189" t="s">
        <v>96</v>
      </c>
      <c r="CK35" s="24189"/>
      <c r="CL35" s="24189"/>
      <c r="CM35" s="24189"/>
      <c r="CN35" s="24189"/>
      <c r="CO35" s="24189"/>
      <c r="CP35" s="24189"/>
      <c r="CQ35" s="24189"/>
      <c r="CR35" s="24189"/>
      <c r="CS35" s="24189"/>
      <c r="CT35" s="24189"/>
      <c r="CU35" s="24189" t="s">
        <v>96</v>
      </c>
      <c r="CV35" s="24189"/>
      <c r="CW35" s="24189"/>
      <c r="CX35" s="24189"/>
      <c r="CY35" s="24189"/>
      <c r="CZ35" s="24189"/>
      <c r="DA35" s="24189"/>
      <c r="DB35" s="24189"/>
      <c r="DC35" s="24189"/>
      <c r="DD35" s="24189"/>
      <c r="DE35" s="24189"/>
      <c r="DF35" s="24189" t="s">
        <v>96</v>
      </c>
      <c r="DG35" s="24189"/>
      <c r="DH35" s="24189"/>
      <c r="DI35" s="24189"/>
      <c r="DJ35" s="24189"/>
      <c r="DK35" s="24189"/>
      <c r="DL35" s="24189"/>
      <c r="DM35" s="24189"/>
      <c r="DN35" s="24189"/>
      <c r="DO35" s="24189"/>
      <c r="DP35" s="24189"/>
      <c r="DQ35" s="24189" t="s">
        <v>96</v>
      </c>
      <c r="DR35" s="24189"/>
      <c r="DS35" s="24189"/>
      <c r="DT35" s="24189"/>
      <c r="DU35" s="24189"/>
      <c r="DV35" s="24189"/>
      <c r="DW35" s="24189"/>
      <c r="DX35" s="24189"/>
      <c r="DY35" s="24189"/>
      <c r="DZ35" s="24189"/>
      <c r="EA35" s="24189"/>
      <c r="EB35" s="24189" t="s">
        <v>96</v>
      </c>
      <c r="EC35" s="24189"/>
      <c r="ED35" s="24189"/>
      <c r="EE35" s="24189"/>
      <c r="EF35" s="24189"/>
      <c r="EG35" s="24189"/>
      <c r="EH35" s="24189"/>
      <c r="EI35" s="24189"/>
      <c r="EJ35" s="24189"/>
      <c r="EK35" s="24189"/>
      <c r="EL35" s="24189"/>
      <c r="EM35" s="24189" t="s">
        <v>96</v>
      </c>
      <c r="EN35" s="24189"/>
      <c r="EO35" s="24189"/>
      <c r="EP35" s="24189"/>
      <c r="EQ35" s="24189"/>
      <c r="ER35" s="24189"/>
      <c r="ES35" s="24189"/>
      <c r="ET35" s="24189"/>
      <c r="EU35" s="24189"/>
      <c r="EV35" s="24189"/>
      <c r="EW35" s="24189"/>
      <c r="EX35" s="24100" t="s">
        <v>96</v>
      </c>
      <c r="EY35" s="24100"/>
      <c r="EZ35" s="24189"/>
      <c r="FA35" s="24189"/>
      <c r="FB35" s="24100"/>
      <c r="FC35" s="24189"/>
      <c r="FD35" s="24189"/>
      <c r="FE35" s="24189"/>
      <c r="FF35" s="24189"/>
      <c r="FG35" s="24189"/>
      <c r="FH35" s="24189"/>
      <c r="FI35" s="24100" t="s">
        <v>96</v>
      </c>
      <c r="FJ35" s="24100"/>
      <c r="FK35" s="24189"/>
      <c r="FL35" s="24189"/>
      <c r="FM35" s="24100"/>
      <c r="FN35" s="24189"/>
      <c r="FO35" s="24189"/>
      <c r="FP35" s="24100"/>
      <c r="FQ35" s="24100"/>
      <c r="FR35" s="24100"/>
      <c r="FS35" s="24189"/>
      <c r="GA35" s="1081">
        <v>14</v>
      </c>
    </row>
    <row r="36" spans="1:183" ht="1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c r="AL36" s="23947"/>
      <c r="AM36" s="23947"/>
      <c r="AN36" s="23947"/>
      <c r="AO36" s="23947"/>
      <c r="AP36" s="23947"/>
      <c r="AQ36" s="23947"/>
      <c r="AR36" s="24182" t="s">
        <v>529</v>
      </c>
      <c r="AS36" s="24182"/>
      <c r="AT36" s="24182"/>
      <c r="AU36" s="24182"/>
      <c r="AV36" s="24182"/>
      <c r="AW36" s="24182"/>
      <c r="AX36" s="24182"/>
      <c r="AY36" s="24182"/>
      <c r="AZ36" s="24182"/>
      <c r="BA36" s="24182"/>
      <c r="BB36" s="24182"/>
      <c r="BC36" s="24182" t="s">
        <v>529</v>
      </c>
      <c r="BD36" s="24182"/>
      <c r="BE36" s="24182"/>
      <c r="BF36" s="24182"/>
      <c r="BG36" s="24182"/>
      <c r="BH36" s="24182"/>
      <c r="BI36" s="24182"/>
      <c r="BJ36" s="24182"/>
      <c r="BK36" s="24182"/>
      <c r="BL36" s="24182"/>
      <c r="BM36" s="24182"/>
      <c r="BN36" s="23947" t="s">
        <v>529</v>
      </c>
      <c r="BO36" s="23947"/>
      <c r="BP36" s="24182"/>
      <c r="BQ36" s="24182"/>
      <c r="BR36" s="23947"/>
      <c r="BS36" s="24182"/>
      <c r="BT36" s="24182"/>
      <c r="BU36" s="24182"/>
      <c r="BV36" s="24182"/>
      <c r="BW36" s="24182"/>
      <c r="BX36" s="24182"/>
      <c r="BY36" s="24182" t="s">
        <v>529</v>
      </c>
      <c r="BZ36" s="24182"/>
      <c r="CA36" s="24182"/>
      <c r="CB36" s="24182"/>
      <c r="CC36" s="24182"/>
      <c r="CD36" s="24182"/>
      <c r="CE36" s="24182"/>
      <c r="CF36" s="24182"/>
      <c r="CG36" s="24182"/>
      <c r="CH36" s="24182"/>
      <c r="CI36" s="24182"/>
      <c r="CJ36" s="24182" t="s">
        <v>529</v>
      </c>
      <c r="CK36" s="24182"/>
      <c r="CL36" s="24182"/>
      <c r="CM36" s="24182"/>
      <c r="CN36" s="24182"/>
      <c r="CO36" s="24182"/>
      <c r="CP36" s="24182"/>
      <c r="CQ36" s="24182"/>
      <c r="CR36" s="24182"/>
      <c r="CS36" s="24182"/>
      <c r="CT36" s="24182"/>
      <c r="CU36" s="24182" t="s">
        <v>529</v>
      </c>
      <c r="CV36" s="24182"/>
      <c r="CW36" s="24182"/>
      <c r="CX36" s="24182"/>
      <c r="CY36" s="24182"/>
      <c r="CZ36" s="24182"/>
      <c r="DA36" s="24182"/>
      <c r="DB36" s="24182"/>
      <c r="DC36" s="24182"/>
      <c r="DD36" s="24182"/>
      <c r="DE36" s="24182"/>
      <c r="DF36" s="24182" t="s">
        <v>529</v>
      </c>
      <c r="DG36" s="24182"/>
      <c r="DH36" s="24182"/>
      <c r="DI36" s="24182"/>
      <c r="DJ36" s="24182"/>
      <c r="DK36" s="24182"/>
      <c r="DL36" s="24182"/>
      <c r="DM36" s="24182"/>
      <c r="DN36" s="24182"/>
      <c r="DO36" s="24182"/>
      <c r="DP36" s="24182"/>
      <c r="DQ36" s="24182" t="s">
        <v>529</v>
      </c>
      <c r="DR36" s="24182"/>
      <c r="DS36" s="24182"/>
      <c r="DT36" s="24182"/>
      <c r="DU36" s="24182"/>
      <c r="DV36" s="24182"/>
      <c r="DW36" s="24182"/>
      <c r="DX36" s="24182"/>
      <c r="DY36" s="24182"/>
      <c r="DZ36" s="24182"/>
      <c r="EA36" s="24182"/>
      <c r="EB36" s="24182" t="s">
        <v>529</v>
      </c>
      <c r="EC36" s="24182"/>
      <c r="ED36" s="24182"/>
      <c r="EE36" s="24182"/>
      <c r="EF36" s="24182"/>
      <c r="EG36" s="24182"/>
      <c r="EH36" s="24182"/>
      <c r="EI36" s="24182"/>
      <c r="EJ36" s="24182"/>
      <c r="EK36" s="24182"/>
      <c r="EL36" s="24182"/>
      <c r="EM36" s="24182" t="s">
        <v>529</v>
      </c>
      <c r="EN36" s="24182"/>
      <c r="EO36" s="24182"/>
      <c r="EP36" s="24182"/>
      <c r="EQ36" s="24182"/>
      <c r="ER36" s="24182"/>
      <c r="ES36" s="24182"/>
      <c r="ET36" s="24182"/>
      <c r="EU36" s="24182"/>
      <c r="EV36" s="24182"/>
      <c r="EW36" s="24182"/>
      <c r="EX36" s="23947" t="s">
        <v>529</v>
      </c>
      <c r="EY36" s="23947"/>
      <c r="EZ36" s="24182"/>
      <c r="FA36" s="24182"/>
      <c r="FB36" s="23947"/>
      <c r="FC36" s="24182"/>
      <c r="FD36" s="24182"/>
      <c r="FE36" s="24182"/>
      <c r="FF36" s="24182"/>
      <c r="FG36" s="24182"/>
      <c r="FH36" s="24182"/>
      <c r="FI36" s="23947" t="s">
        <v>529</v>
      </c>
      <c r="FJ36" s="23947"/>
      <c r="FK36" s="24182"/>
      <c r="FL36" s="24182"/>
      <c r="FM36" s="23947"/>
      <c r="FN36" s="24182"/>
      <c r="FO36" s="24182"/>
      <c r="FP36" s="23947"/>
      <c r="FQ36" s="23947"/>
      <c r="FR36" s="23947"/>
      <c r="FS36" s="24182"/>
      <c r="FT36" s="23947"/>
      <c r="FU36" s="23947"/>
      <c r="GA36" s="1081"/>
    </row>
    <row r="37" spans="1:183" ht="14.65" customHeight="1">
      <c r="Q37" s="312"/>
      <c r="R37" s="312"/>
      <c r="S37" s="24101" t="s">
        <v>79</v>
      </c>
      <c r="T37" s="24050" t="s">
        <v>655</v>
      </c>
      <c r="U37" s="237"/>
      <c r="V37" s="24102" t="s">
        <v>656</v>
      </c>
      <c r="W37" s="24118"/>
      <c r="X37" s="24118"/>
      <c r="Y37" s="24118"/>
      <c r="Z37" s="24118"/>
      <c r="AA37" s="24118"/>
      <c r="AB37" s="24118"/>
      <c r="AC37" s="24103"/>
      <c r="AD37" s="24103"/>
      <c r="AE37" s="24104"/>
      <c r="AF37" s="24105" t="s">
        <v>657</v>
      </c>
      <c r="AG37" s="24102" t="s">
        <v>656</v>
      </c>
      <c r="AH37" s="24103"/>
      <c r="AI37" s="24103"/>
      <c r="AJ37" s="24103"/>
      <c r="AK37" s="24103"/>
      <c r="AL37" s="24103"/>
      <c r="AM37" s="24103"/>
      <c r="AN37" s="24103"/>
      <c r="AO37" s="24103"/>
      <c r="AP37" s="24104"/>
      <c r="AQ37" s="24105" t="s">
        <v>658</v>
      </c>
      <c r="AR37" s="24190" t="s">
        <v>656</v>
      </c>
      <c r="AS37" s="24191"/>
      <c r="AT37" s="24191"/>
      <c r="AU37" s="24191"/>
      <c r="AV37" s="24191"/>
      <c r="AW37" s="24191"/>
      <c r="AX37" s="24191"/>
      <c r="AY37" s="24192"/>
      <c r="AZ37" s="24192"/>
      <c r="BA37" s="24193"/>
      <c r="BB37" s="24194" t="s">
        <v>657</v>
      </c>
      <c r="BC37" s="24190" t="s">
        <v>656</v>
      </c>
      <c r="BD37" s="24191"/>
      <c r="BE37" s="24191"/>
      <c r="BF37" s="24191"/>
      <c r="BG37" s="24191"/>
      <c r="BH37" s="24191"/>
      <c r="BI37" s="24191"/>
      <c r="BJ37" s="24192"/>
      <c r="BK37" s="24192"/>
      <c r="BL37" s="24193"/>
      <c r="BM37" s="24194" t="s">
        <v>657</v>
      </c>
      <c r="BN37" s="24102" t="s">
        <v>656</v>
      </c>
      <c r="BO37" s="24118"/>
      <c r="BP37" s="24191"/>
      <c r="BQ37" s="24191"/>
      <c r="BR37" s="24118"/>
      <c r="BS37" s="24191"/>
      <c r="BT37" s="24191"/>
      <c r="BU37" s="24192"/>
      <c r="BV37" s="24192"/>
      <c r="BW37" s="24193"/>
      <c r="BX37" s="24194" t="s">
        <v>657</v>
      </c>
      <c r="BY37" s="24190" t="s">
        <v>656</v>
      </c>
      <c r="BZ37" s="24191"/>
      <c r="CA37" s="24191"/>
      <c r="CB37" s="24191"/>
      <c r="CC37" s="24191"/>
      <c r="CD37" s="24191"/>
      <c r="CE37" s="24191"/>
      <c r="CF37" s="24192"/>
      <c r="CG37" s="24192"/>
      <c r="CH37" s="24193"/>
      <c r="CI37" s="24194" t="s">
        <v>657</v>
      </c>
      <c r="CJ37" s="24190" t="s">
        <v>656</v>
      </c>
      <c r="CK37" s="24191"/>
      <c r="CL37" s="24191"/>
      <c r="CM37" s="24191"/>
      <c r="CN37" s="24191"/>
      <c r="CO37" s="24191"/>
      <c r="CP37" s="24191"/>
      <c r="CQ37" s="24192"/>
      <c r="CR37" s="24192"/>
      <c r="CS37" s="24193"/>
      <c r="CT37" s="24194" t="s">
        <v>657</v>
      </c>
      <c r="CU37" s="24190" t="s">
        <v>656</v>
      </c>
      <c r="CV37" s="24191"/>
      <c r="CW37" s="24191"/>
      <c r="CX37" s="24191"/>
      <c r="CY37" s="24191"/>
      <c r="CZ37" s="24191"/>
      <c r="DA37" s="24191"/>
      <c r="DB37" s="24192"/>
      <c r="DC37" s="24192"/>
      <c r="DD37" s="24193"/>
      <c r="DE37" s="24194" t="s">
        <v>657</v>
      </c>
      <c r="DF37" s="24190" t="s">
        <v>656</v>
      </c>
      <c r="DG37" s="24191"/>
      <c r="DH37" s="24191"/>
      <c r="DI37" s="24191"/>
      <c r="DJ37" s="24191"/>
      <c r="DK37" s="24191"/>
      <c r="DL37" s="24191"/>
      <c r="DM37" s="24192"/>
      <c r="DN37" s="24192"/>
      <c r="DO37" s="24193"/>
      <c r="DP37" s="24194" t="s">
        <v>657</v>
      </c>
      <c r="DQ37" s="24190" t="s">
        <v>656</v>
      </c>
      <c r="DR37" s="24191"/>
      <c r="DS37" s="24191"/>
      <c r="DT37" s="24191"/>
      <c r="DU37" s="24191"/>
      <c r="DV37" s="24191"/>
      <c r="DW37" s="24191"/>
      <c r="DX37" s="24192"/>
      <c r="DY37" s="24192"/>
      <c r="DZ37" s="24193"/>
      <c r="EA37" s="24194" t="s">
        <v>657</v>
      </c>
      <c r="EB37" s="24190" t="s">
        <v>656</v>
      </c>
      <c r="EC37" s="24191"/>
      <c r="ED37" s="24191"/>
      <c r="EE37" s="24191"/>
      <c r="EF37" s="24191"/>
      <c r="EG37" s="24191"/>
      <c r="EH37" s="24191"/>
      <c r="EI37" s="24192"/>
      <c r="EJ37" s="24192"/>
      <c r="EK37" s="24193"/>
      <c r="EL37" s="24194" t="s">
        <v>657</v>
      </c>
      <c r="EM37" s="24190" t="s">
        <v>656</v>
      </c>
      <c r="EN37" s="24191"/>
      <c r="EO37" s="24191"/>
      <c r="EP37" s="24191"/>
      <c r="EQ37" s="24191"/>
      <c r="ER37" s="24191"/>
      <c r="ES37" s="24191"/>
      <c r="ET37" s="24192"/>
      <c r="EU37" s="24192"/>
      <c r="EV37" s="24193"/>
      <c r="EW37" s="24194" t="s">
        <v>657</v>
      </c>
      <c r="EX37" s="24102" t="s">
        <v>656</v>
      </c>
      <c r="EY37" s="24118"/>
      <c r="EZ37" s="24191"/>
      <c r="FA37" s="24191"/>
      <c r="FB37" s="24118"/>
      <c r="FC37" s="24191"/>
      <c r="FD37" s="24191"/>
      <c r="FE37" s="24192"/>
      <c r="FF37" s="24192"/>
      <c r="FG37" s="24193"/>
      <c r="FH37" s="24194" t="s">
        <v>657</v>
      </c>
      <c r="FI37" s="24102" t="s">
        <v>656</v>
      </c>
      <c r="FJ37" s="24118"/>
      <c r="FK37" s="24191"/>
      <c r="FL37" s="24191"/>
      <c r="FM37" s="24118"/>
      <c r="FN37" s="24191"/>
      <c r="FO37" s="24191"/>
      <c r="FP37" s="24103"/>
      <c r="FQ37" s="24103"/>
      <c r="FR37" s="24104"/>
      <c r="FS37" s="24194" t="s">
        <v>657</v>
      </c>
      <c r="FT37" s="24108" t="s">
        <v>659</v>
      </c>
      <c r="FU37" s="23947"/>
      <c r="GA37" s="1081">
        <v>14</v>
      </c>
    </row>
    <row r="38" spans="1:183" ht="19.899999999999999" customHeight="1">
      <c r="Q38" s="312"/>
      <c r="R38" s="312"/>
      <c r="S38" s="24101"/>
      <c r="T38" s="24050"/>
      <c r="U38" s="960"/>
      <c r="V38" s="23947" t="s">
        <v>758</v>
      </c>
      <c r="W38" s="24183" t="s">
        <v>759</v>
      </c>
      <c r="X38" s="24183"/>
      <c r="Y38" s="24183"/>
      <c r="Z38" s="24183" t="s">
        <v>760</v>
      </c>
      <c r="AA38" s="24183"/>
      <c r="AB38" s="24183"/>
      <c r="AC38" s="24023" t="s">
        <v>663</v>
      </c>
      <c r="AD38" s="24130"/>
      <c r="AE38" s="24024"/>
      <c r="AF38" s="24106"/>
      <c r="AG38" s="23947" t="s">
        <v>758</v>
      </c>
      <c r="AH38" s="24183" t="s">
        <v>759</v>
      </c>
      <c r="AI38" s="24183"/>
      <c r="AJ38" s="24183"/>
      <c r="AK38" s="24183" t="s">
        <v>760</v>
      </c>
      <c r="AL38" s="24183"/>
      <c r="AM38" s="24183"/>
      <c r="AN38" s="24023" t="s">
        <v>663</v>
      </c>
      <c r="AO38" s="24130"/>
      <c r="AP38" s="24024"/>
      <c r="AQ38" s="24106"/>
      <c r="AR38" s="24182" t="s">
        <v>758</v>
      </c>
      <c r="AS38" s="24183" t="s">
        <v>759</v>
      </c>
      <c r="AT38" s="24183"/>
      <c r="AU38" s="24183"/>
      <c r="AV38" s="24183" t="s">
        <v>760</v>
      </c>
      <c r="AW38" s="24183"/>
      <c r="AX38" s="24183"/>
      <c r="AY38" s="24197" t="s">
        <v>663</v>
      </c>
      <c r="AZ38" s="24198"/>
      <c r="BA38" s="24199"/>
      <c r="BB38" s="24195"/>
      <c r="BC38" s="24182" t="s">
        <v>758</v>
      </c>
      <c r="BD38" s="24183" t="s">
        <v>759</v>
      </c>
      <c r="BE38" s="24183"/>
      <c r="BF38" s="24183"/>
      <c r="BG38" s="24183" t="s">
        <v>760</v>
      </c>
      <c r="BH38" s="24183"/>
      <c r="BI38" s="24183"/>
      <c r="BJ38" s="24197" t="s">
        <v>663</v>
      </c>
      <c r="BK38" s="24198"/>
      <c r="BL38" s="24199"/>
      <c r="BM38" s="24195"/>
      <c r="BN38" s="23947" t="s">
        <v>758</v>
      </c>
      <c r="BO38" s="24183" t="s">
        <v>759</v>
      </c>
      <c r="BP38" s="24183"/>
      <c r="BQ38" s="24183"/>
      <c r="BR38" s="24183" t="s">
        <v>760</v>
      </c>
      <c r="BS38" s="24183"/>
      <c r="BT38" s="24183"/>
      <c r="BU38" s="24197" t="s">
        <v>663</v>
      </c>
      <c r="BV38" s="24198"/>
      <c r="BW38" s="24199"/>
      <c r="BX38" s="24195"/>
      <c r="BY38" s="24182" t="s">
        <v>758</v>
      </c>
      <c r="BZ38" s="24183" t="s">
        <v>759</v>
      </c>
      <c r="CA38" s="24183"/>
      <c r="CB38" s="24183"/>
      <c r="CC38" s="24183" t="s">
        <v>760</v>
      </c>
      <c r="CD38" s="24183"/>
      <c r="CE38" s="24183"/>
      <c r="CF38" s="24197" t="s">
        <v>663</v>
      </c>
      <c r="CG38" s="24198"/>
      <c r="CH38" s="24199"/>
      <c r="CI38" s="24195"/>
      <c r="CJ38" s="24182" t="s">
        <v>758</v>
      </c>
      <c r="CK38" s="24183" t="s">
        <v>759</v>
      </c>
      <c r="CL38" s="24183"/>
      <c r="CM38" s="24183"/>
      <c r="CN38" s="24183" t="s">
        <v>760</v>
      </c>
      <c r="CO38" s="24183"/>
      <c r="CP38" s="24183"/>
      <c r="CQ38" s="24197" t="s">
        <v>663</v>
      </c>
      <c r="CR38" s="24198"/>
      <c r="CS38" s="24199"/>
      <c r="CT38" s="24195"/>
      <c r="CU38" s="24182" t="s">
        <v>758</v>
      </c>
      <c r="CV38" s="24183" t="s">
        <v>759</v>
      </c>
      <c r="CW38" s="24183"/>
      <c r="CX38" s="24183"/>
      <c r="CY38" s="24183" t="s">
        <v>760</v>
      </c>
      <c r="CZ38" s="24183"/>
      <c r="DA38" s="24183"/>
      <c r="DB38" s="24197" t="s">
        <v>663</v>
      </c>
      <c r="DC38" s="24198"/>
      <c r="DD38" s="24199"/>
      <c r="DE38" s="24195"/>
      <c r="DF38" s="24182" t="s">
        <v>758</v>
      </c>
      <c r="DG38" s="24183" t="s">
        <v>759</v>
      </c>
      <c r="DH38" s="24183"/>
      <c r="DI38" s="24183"/>
      <c r="DJ38" s="24183" t="s">
        <v>760</v>
      </c>
      <c r="DK38" s="24183"/>
      <c r="DL38" s="24183"/>
      <c r="DM38" s="24197" t="s">
        <v>663</v>
      </c>
      <c r="DN38" s="24198"/>
      <c r="DO38" s="24199"/>
      <c r="DP38" s="24195"/>
      <c r="DQ38" s="24182" t="s">
        <v>758</v>
      </c>
      <c r="DR38" s="24183" t="s">
        <v>759</v>
      </c>
      <c r="DS38" s="24183"/>
      <c r="DT38" s="24183"/>
      <c r="DU38" s="24183" t="s">
        <v>760</v>
      </c>
      <c r="DV38" s="24183"/>
      <c r="DW38" s="24183"/>
      <c r="DX38" s="24197" t="s">
        <v>663</v>
      </c>
      <c r="DY38" s="24198"/>
      <c r="DZ38" s="24199"/>
      <c r="EA38" s="24195"/>
      <c r="EB38" s="24182" t="s">
        <v>758</v>
      </c>
      <c r="EC38" s="24183" t="s">
        <v>759</v>
      </c>
      <c r="ED38" s="24183"/>
      <c r="EE38" s="24183"/>
      <c r="EF38" s="24183" t="s">
        <v>760</v>
      </c>
      <c r="EG38" s="24183"/>
      <c r="EH38" s="24183"/>
      <c r="EI38" s="24197" t="s">
        <v>663</v>
      </c>
      <c r="EJ38" s="24198"/>
      <c r="EK38" s="24199"/>
      <c r="EL38" s="24195"/>
      <c r="EM38" s="24182" t="s">
        <v>758</v>
      </c>
      <c r="EN38" s="24183" t="s">
        <v>759</v>
      </c>
      <c r="EO38" s="24183"/>
      <c r="EP38" s="24183"/>
      <c r="EQ38" s="24183" t="s">
        <v>760</v>
      </c>
      <c r="ER38" s="24183"/>
      <c r="ES38" s="24183"/>
      <c r="ET38" s="24197" t="s">
        <v>663</v>
      </c>
      <c r="EU38" s="24198"/>
      <c r="EV38" s="24199"/>
      <c r="EW38" s="24195"/>
      <c r="EX38" s="23947" t="s">
        <v>758</v>
      </c>
      <c r="EY38" s="24183" t="s">
        <v>759</v>
      </c>
      <c r="EZ38" s="24183"/>
      <c r="FA38" s="24183"/>
      <c r="FB38" s="24183" t="s">
        <v>760</v>
      </c>
      <c r="FC38" s="24183"/>
      <c r="FD38" s="24183"/>
      <c r="FE38" s="24197" t="s">
        <v>663</v>
      </c>
      <c r="FF38" s="24198"/>
      <c r="FG38" s="24199"/>
      <c r="FH38" s="24195"/>
      <c r="FI38" s="23947" t="s">
        <v>758</v>
      </c>
      <c r="FJ38" s="24183" t="s">
        <v>759</v>
      </c>
      <c r="FK38" s="24183"/>
      <c r="FL38" s="24183"/>
      <c r="FM38" s="24183" t="s">
        <v>760</v>
      </c>
      <c r="FN38" s="24183"/>
      <c r="FO38" s="24183"/>
      <c r="FP38" s="24023" t="s">
        <v>663</v>
      </c>
      <c r="FQ38" s="24130"/>
      <c r="FR38" s="24024"/>
      <c r="FS38" s="24195"/>
      <c r="FT38" s="24109"/>
      <c r="FU38" s="23947"/>
      <c r="GA38" s="1081">
        <v>19</v>
      </c>
    </row>
    <row r="39" spans="1:183" s="1561" customFormat="1" ht="19.899999999999999" customHeight="1">
      <c r="A39" s="1292"/>
      <c r="B39" s="1292"/>
      <c r="C39" s="1292"/>
      <c r="D39" s="1292"/>
      <c r="E39" s="1292"/>
      <c r="F39" s="1292"/>
      <c r="G39" s="1292"/>
      <c r="H39" s="1292"/>
      <c r="I39" s="1292"/>
      <c r="J39" s="1292"/>
      <c r="K39" s="1292"/>
      <c r="L39" s="1845"/>
      <c r="M39" s="1288"/>
      <c r="N39" s="1288"/>
      <c r="O39" s="1288"/>
      <c r="P39" s="1859"/>
      <c r="Q39" s="312"/>
      <c r="R39" s="312"/>
      <c r="S39" s="24101"/>
      <c r="T39" s="24050"/>
      <c r="U39" s="960"/>
      <c r="V39" s="23947"/>
      <c r="W39" s="24183" t="s">
        <v>761</v>
      </c>
      <c r="X39" s="24183" t="s">
        <v>762</v>
      </c>
      <c r="Y39" s="24183"/>
      <c r="Z39" s="24183" t="s">
        <v>763</v>
      </c>
      <c r="AA39" s="24183" t="s">
        <v>762</v>
      </c>
      <c r="AB39" s="24183"/>
      <c r="AC39" s="24028"/>
      <c r="AD39" s="24131"/>
      <c r="AE39" s="24029"/>
      <c r="AF39" s="24106"/>
      <c r="AG39" s="23947"/>
      <c r="AH39" s="24183" t="s">
        <v>761</v>
      </c>
      <c r="AI39" s="24183" t="s">
        <v>762</v>
      </c>
      <c r="AJ39" s="24183"/>
      <c r="AK39" s="24183" t="s">
        <v>763</v>
      </c>
      <c r="AL39" s="24183" t="s">
        <v>762</v>
      </c>
      <c r="AM39" s="24183"/>
      <c r="AN39" s="24028"/>
      <c r="AO39" s="24131"/>
      <c r="AP39" s="24029"/>
      <c r="AQ39" s="24106"/>
      <c r="AR39" s="24182"/>
      <c r="AS39" s="24183" t="s">
        <v>761</v>
      </c>
      <c r="AT39" s="24183" t="s">
        <v>762</v>
      </c>
      <c r="AU39" s="24183"/>
      <c r="AV39" s="24183" t="s">
        <v>763</v>
      </c>
      <c r="AW39" s="24183" t="s">
        <v>762</v>
      </c>
      <c r="AX39" s="24183"/>
      <c r="AY39" s="24200"/>
      <c r="AZ39" s="24201"/>
      <c r="BA39" s="24202"/>
      <c r="BB39" s="24195"/>
      <c r="BC39" s="24182"/>
      <c r="BD39" s="24183" t="s">
        <v>761</v>
      </c>
      <c r="BE39" s="24183" t="s">
        <v>762</v>
      </c>
      <c r="BF39" s="24183"/>
      <c r="BG39" s="24183" t="s">
        <v>763</v>
      </c>
      <c r="BH39" s="24183" t="s">
        <v>762</v>
      </c>
      <c r="BI39" s="24183"/>
      <c r="BJ39" s="24200"/>
      <c r="BK39" s="24201"/>
      <c r="BL39" s="24202"/>
      <c r="BM39" s="24195"/>
      <c r="BN39" s="23947"/>
      <c r="BO39" s="24183" t="s">
        <v>761</v>
      </c>
      <c r="BP39" s="24183" t="s">
        <v>762</v>
      </c>
      <c r="BQ39" s="24183"/>
      <c r="BR39" s="24183" t="s">
        <v>763</v>
      </c>
      <c r="BS39" s="24183" t="s">
        <v>762</v>
      </c>
      <c r="BT39" s="24183"/>
      <c r="BU39" s="24200"/>
      <c r="BV39" s="24201"/>
      <c r="BW39" s="24202"/>
      <c r="BX39" s="24195"/>
      <c r="BY39" s="24182"/>
      <c r="BZ39" s="24183" t="s">
        <v>761</v>
      </c>
      <c r="CA39" s="24183" t="s">
        <v>762</v>
      </c>
      <c r="CB39" s="24183"/>
      <c r="CC39" s="24183" t="s">
        <v>763</v>
      </c>
      <c r="CD39" s="24183" t="s">
        <v>762</v>
      </c>
      <c r="CE39" s="24183"/>
      <c r="CF39" s="24200"/>
      <c r="CG39" s="24201"/>
      <c r="CH39" s="24202"/>
      <c r="CI39" s="24195"/>
      <c r="CJ39" s="24182"/>
      <c r="CK39" s="24183" t="s">
        <v>761</v>
      </c>
      <c r="CL39" s="24183" t="s">
        <v>762</v>
      </c>
      <c r="CM39" s="24183"/>
      <c r="CN39" s="24183" t="s">
        <v>763</v>
      </c>
      <c r="CO39" s="24183" t="s">
        <v>762</v>
      </c>
      <c r="CP39" s="24183"/>
      <c r="CQ39" s="24200"/>
      <c r="CR39" s="24201"/>
      <c r="CS39" s="24202"/>
      <c r="CT39" s="24195"/>
      <c r="CU39" s="24182"/>
      <c r="CV39" s="24183" t="s">
        <v>761</v>
      </c>
      <c r="CW39" s="24183" t="s">
        <v>762</v>
      </c>
      <c r="CX39" s="24183"/>
      <c r="CY39" s="24183" t="s">
        <v>763</v>
      </c>
      <c r="CZ39" s="24183" t="s">
        <v>762</v>
      </c>
      <c r="DA39" s="24183"/>
      <c r="DB39" s="24200"/>
      <c r="DC39" s="24201"/>
      <c r="DD39" s="24202"/>
      <c r="DE39" s="24195"/>
      <c r="DF39" s="24182"/>
      <c r="DG39" s="24183" t="s">
        <v>761</v>
      </c>
      <c r="DH39" s="24183" t="s">
        <v>762</v>
      </c>
      <c r="DI39" s="24183"/>
      <c r="DJ39" s="24183" t="s">
        <v>763</v>
      </c>
      <c r="DK39" s="24183" t="s">
        <v>762</v>
      </c>
      <c r="DL39" s="24183"/>
      <c r="DM39" s="24200"/>
      <c r="DN39" s="24201"/>
      <c r="DO39" s="24202"/>
      <c r="DP39" s="24195"/>
      <c r="DQ39" s="24182"/>
      <c r="DR39" s="24183" t="s">
        <v>761</v>
      </c>
      <c r="DS39" s="24183" t="s">
        <v>762</v>
      </c>
      <c r="DT39" s="24183"/>
      <c r="DU39" s="24183" t="s">
        <v>763</v>
      </c>
      <c r="DV39" s="24183" t="s">
        <v>762</v>
      </c>
      <c r="DW39" s="24183"/>
      <c r="DX39" s="24200"/>
      <c r="DY39" s="24201"/>
      <c r="DZ39" s="24202"/>
      <c r="EA39" s="24195"/>
      <c r="EB39" s="24182"/>
      <c r="EC39" s="24183" t="s">
        <v>761</v>
      </c>
      <c r="ED39" s="24183" t="s">
        <v>762</v>
      </c>
      <c r="EE39" s="24183"/>
      <c r="EF39" s="24183" t="s">
        <v>763</v>
      </c>
      <c r="EG39" s="24183" t="s">
        <v>762</v>
      </c>
      <c r="EH39" s="24183"/>
      <c r="EI39" s="24200"/>
      <c r="EJ39" s="24201"/>
      <c r="EK39" s="24202"/>
      <c r="EL39" s="24195"/>
      <c r="EM39" s="24182"/>
      <c r="EN39" s="24183" t="s">
        <v>761</v>
      </c>
      <c r="EO39" s="24183" t="s">
        <v>762</v>
      </c>
      <c r="EP39" s="24183"/>
      <c r="EQ39" s="24183" t="s">
        <v>763</v>
      </c>
      <c r="ER39" s="24183" t="s">
        <v>762</v>
      </c>
      <c r="ES39" s="24183"/>
      <c r="ET39" s="24200"/>
      <c r="EU39" s="24201"/>
      <c r="EV39" s="24202"/>
      <c r="EW39" s="24195"/>
      <c r="EX39" s="23947"/>
      <c r="EY39" s="24183" t="s">
        <v>761</v>
      </c>
      <c r="EZ39" s="24183" t="s">
        <v>762</v>
      </c>
      <c r="FA39" s="24183"/>
      <c r="FB39" s="24183" t="s">
        <v>763</v>
      </c>
      <c r="FC39" s="24183" t="s">
        <v>762</v>
      </c>
      <c r="FD39" s="24183"/>
      <c r="FE39" s="24200"/>
      <c r="FF39" s="24201"/>
      <c r="FG39" s="24202"/>
      <c r="FH39" s="24195"/>
      <c r="FI39" s="23947"/>
      <c r="FJ39" s="24183" t="s">
        <v>761</v>
      </c>
      <c r="FK39" s="24183" t="s">
        <v>762</v>
      </c>
      <c r="FL39" s="24183"/>
      <c r="FM39" s="24183" t="s">
        <v>763</v>
      </c>
      <c r="FN39" s="24183" t="s">
        <v>762</v>
      </c>
      <c r="FO39" s="24183"/>
      <c r="FP39" s="24028"/>
      <c r="FQ39" s="24131"/>
      <c r="FR39" s="24029"/>
      <c r="FS39" s="24195"/>
      <c r="FT39" s="24109"/>
      <c r="FU39" s="23947"/>
      <c r="FV39" s="1562"/>
      <c r="FW39" s="1562"/>
      <c r="FX39" s="1562"/>
      <c r="FY39" s="1562"/>
      <c r="FZ39" s="1562"/>
      <c r="GA39" s="1557">
        <v>19</v>
      </c>
    </row>
    <row r="40" spans="1:183" ht="61.9" customHeight="1">
      <c r="A40" s="1296"/>
      <c r="B40" s="1296" t="s">
        <v>241</v>
      </c>
      <c r="C40" s="1296" t="s">
        <v>242</v>
      </c>
      <c r="D40" s="1296" t="s">
        <v>243</v>
      </c>
      <c r="E40" s="1290" t="s">
        <v>664</v>
      </c>
      <c r="F40" s="1290" t="s">
        <v>665</v>
      </c>
      <c r="G40" s="1290" t="s">
        <v>666</v>
      </c>
      <c r="H40" s="1290"/>
      <c r="I40" s="1290" t="s">
        <v>716</v>
      </c>
      <c r="J40" s="1290" t="s">
        <v>669</v>
      </c>
      <c r="K40" s="1290" t="s">
        <v>717</v>
      </c>
      <c r="L40" s="1290" t="s">
        <v>645</v>
      </c>
      <c r="Q40" s="312"/>
      <c r="R40" s="312"/>
      <c r="S40" s="24101"/>
      <c r="T40" s="24050"/>
      <c r="U40" s="238"/>
      <c r="V40" s="23947"/>
      <c r="W40" s="24183"/>
      <c r="X40" s="1877" t="s">
        <v>764</v>
      </c>
      <c r="Y40" s="1877" t="s">
        <v>765</v>
      </c>
      <c r="Z40" s="24183"/>
      <c r="AA40" s="1877" t="s">
        <v>766</v>
      </c>
      <c r="AB40" s="1877" t="s">
        <v>767</v>
      </c>
      <c r="AC40" s="1415" t="s">
        <v>673</v>
      </c>
      <c r="AD40" s="24055" t="s">
        <v>674</v>
      </c>
      <c r="AE40" s="24068"/>
      <c r="AF40" s="24107"/>
      <c r="AG40" s="23947"/>
      <c r="AH40" s="24183"/>
      <c r="AI40" s="1877" t="s">
        <v>764</v>
      </c>
      <c r="AJ40" s="1877" t="s">
        <v>765</v>
      </c>
      <c r="AK40" s="24183"/>
      <c r="AL40" s="1877" t="s">
        <v>766</v>
      </c>
      <c r="AM40" s="1877" t="s">
        <v>767</v>
      </c>
      <c r="AN40" s="1415" t="s">
        <v>673</v>
      </c>
      <c r="AO40" s="24055" t="s">
        <v>674</v>
      </c>
      <c r="AP40" s="24068"/>
      <c r="AQ40" s="24107"/>
      <c r="AR40" s="24182"/>
      <c r="AS40" s="24183"/>
      <c r="AT40" s="1977" t="s">
        <v>764</v>
      </c>
      <c r="AU40" s="1977" t="s">
        <v>765</v>
      </c>
      <c r="AV40" s="24183"/>
      <c r="AW40" s="1977" t="s">
        <v>766</v>
      </c>
      <c r="AX40" s="1977" t="s">
        <v>767</v>
      </c>
      <c r="AY40" s="6352" t="s">
        <v>673</v>
      </c>
      <c r="AZ40" s="24203" t="s">
        <v>674</v>
      </c>
      <c r="BA40" s="24204"/>
      <c r="BB40" s="24196"/>
      <c r="BC40" s="24182"/>
      <c r="BD40" s="24183"/>
      <c r="BE40" s="1977" t="s">
        <v>764</v>
      </c>
      <c r="BF40" s="1977" t="s">
        <v>765</v>
      </c>
      <c r="BG40" s="24183"/>
      <c r="BH40" s="1977" t="s">
        <v>766</v>
      </c>
      <c r="BI40" s="1977" t="s">
        <v>767</v>
      </c>
      <c r="BJ40" s="6352" t="s">
        <v>673</v>
      </c>
      <c r="BK40" s="24203" t="s">
        <v>674</v>
      </c>
      <c r="BL40" s="24204"/>
      <c r="BM40" s="24196"/>
      <c r="BN40" s="23947"/>
      <c r="BO40" s="24183"/>
      <c r="BP40" s="1977" t="s">
        <v>764</v>
      </c>
      <c r="BQ40" s="1977" t="s">
        <v>765</v>
      </c>
      <c r="BR40" s="24183"/>
      <c r="BS40" s="1977" t="s">
        <v>766</v>
      </c>
      <c r="BT40" s="1977" t="s">
        <v>767</v>
      </c>
      <c r="BU40" s="6352" t="s">
        <v>673</v>
      </c>
      <c r="BV40" s="24203" t="s">
        <v>674</v>
      </c>
      <c r="BW40" s="24204"/>
      <c r="BX40" s="24196"/>
      <c r="BY40" s="24182"/>
      <c r="BZ40" s="24183"/>
      <c r="CA40" s="1977" t="s">
        <v>764</v>
      </c>
      <c r="CB40" s="1977" t="s">
        <v>765</v>
      </c>
      <c r="CC40" s="24183"/>
      <c r="CD40" s="1977" t="s">
        <v>766</v>
      </c>
      <c r="CE40" s="1977" t="s">
        <v>767</v>
      </c>
      <c r="CF40" s="6352" t="s">
        <v>673</v>
      </c>
      <c r="CG40" s="24203" t="s">
        <v>674</v>
      </c>
      <c r="CH40" s="24204"/>
      <c r="CI40" s="24196"/>
      <c r="CJ40" s="24182"/>
      <c r="CK40" s="24183"/>
      <c r="CL40" s="1977" t="s">
        <v>764</v>
      </c>
      <c r="CM40" s="1977" t="s">
        <v>765</v>
      </c>
      <c r="CN40" s="24183"/>
      <c r="CO40" s="1977" t="s">
        <v>766</v>
      </c>
      <c r="CP40" s="1977" t="s">
        <v>767</v>
      </c>
      <c r="CQ40" s="6352" t="s">
        <v>673</v>
      </c>
      <c r="CR40" s="24203" t="s">
        <v>674</v>
      </c>
      <c r="CS40" s="24204"/>
      <c r="CT40" s="24196"/>
      <c r="CU40" s="24182"/>
      <c r="CV40" s="24183"/>
      <c r="CW40" s="1977" t="s">
        <v>764</v>
      </c>
      <c r="CX40" s="1977" t="s">
        <v>765</v>
      </c>
      <c r="CY40" s="24183"/>
      <c r="CZ40" s="1977" t="s">
        <v>766</v>
      </c>
      <c r="DA40" s="1977" t="s">
        <v>767</v>
      </c>
      <c r="DB40" s="6352" t="s">
        <v>673</v>
      </c>
      <c r="DC40" s="24203" t="s">
        <v>674</v>
      </c>
      <c r="DD40" s="24204"/>
      <c r="DE40" s="24196"/>
      <c r="DF40" s="24182"/>
      <c r="DG40" s="24183"/>
      <c r="DH40" s="1977" t="s">
        <v>764</v>
      </c>
      <c r="DI40" s="1977" t="s">
        <v>765</v>
      </c>
      <c r="DJ40" s="24183"/>
      <c r="DK40" s="1977" t="s">
        <v>766</v>
      </c>
      <c r="DL40" s="1977" t="s">
        <v>767</v>
      </c>
      <c r="DM40" s="6352" t="s">
        <v>673</v>
      </c>
      <c r="DN40" s="24203" t="s">
        <v>674</v>
      </c>
      <c r="DO40" s="24204"/>
      <c r="DP40" s="24196"/>
      <c r="DQ40" s="24182"/>
      <c r="DR40" s="24183"/>
      <c r="DS40" s="1977" t="s">
        <v>764</v>
      </c>
      <c r="DT40" s="1977" t="s">
        <v>765</v>
      </c>
      <c r="DU40" s="24183"/>
      <c r="DV40" s="1977" t="s">
        <v>766</v>
      </c>
      <c r="DW40" s="1977" t="s">
        <v>767</v>
      </c>
      <c r="DX40" s="6352" t="s">
        <v>673</v>
      </c>
      <c r="DY40" s="24203" t="s">
        <v>674</v>
      </c>
      <c r="DZ40" s="24204"/>
      <c r="EA40" s="24196"/>
      <c r="EB40" s="24182"/>
      <c r="EC40" s="24183"/>
      <c r="ED40" s="1977" t="s">
        <v>764</v>
      </c>
      <c r="EE40" s="1977" t="s">
        <v>765</v>
      </c>
      <c r="EF40" s="24183"/>
      <c r="EG40" s="1977" t="s">
        <v>766</v>
      </c>
      <c r="EH40" s="1977" t="s">
        <v>767</v>
      </c>
      <c r="EI40" s="6352" t="s">
        <v>673</v>
      </c>
      <c r="EJ40" s="24203" t="s">
        <v>674</v>
      </c>
      <c r="EK40" s="24204"/>
      <c r="EL40" s="24196"/>
      <c r="EM40" s="24182"/>
      <c r="EN40" s="24183"/>
      <c r="EO40" s="1977" t="s">
        <v>764</v>
      </c>
      <c r="EP40" s="1977" t="s">
        <v>765</v>
      </c>
      <c r="EQ40" s="24183"/>
      <c r="ER40" s="1977" t="s">
        <v>766</v>
      </c>
      <c r="ES40" s="1977" t="s">
        <v>767</v>
      </c>
      <c r="ET40" s="6352" t="s">
        <v>673</v>
      </c>
      <c r="EU40" s="24203" t="s">
        <v>674</v>
      </c>
      <c r="EV40" s="24204"/>
      <c r="EW40" s="24196"/>
      <c r="EX40" s="23947"/>
      <c r="EY40" s="24183"/>
      <c r="EZ40" s="1977" t="s">
        <v>764</v>
      </c>
      <c r="FA40" s="1977" t="s">
        <v>765</v>
      </c>
      <c r="FB40" s="24183"/>
      <c r="FC40" s="1977" t="s">
        <v>766</v>
      </c>
      <c r="FD40" s="1977" t="s">
        <v>767</v>
      </c>
      <c r="FE40" s="6352" t="s">
        <v>673</v>
      </c>
      <c r="FF40" s="24203" t="s">
        <v>674</v>
      </c>
      <c r="FG40" s="24204"/>
      <c r="FH40" s="24196"/>
      <c r="FI40" s="23947"/>
      <c r="FJ40" s="24183"/>
      <c r="FK40" s="1977" t="s">
        <v>764</v>
      </c>
      <c r="FL40" s="1977" t="s">
        <v>765</v>
      </c>
      <c r="FM40" s="24183"/>
      <c r="FN40" s="1977" t="s">
        <v>766</v>
      </c>
      <c r="FO40" s="1977" t="s">
        <v>767</v>
      </c>
      <c r="FP40" s="1985" t="s">
        <v>673</v>
      </c>
      <c r="FQ40" s="24055" t="s">
        <v>674</v>
      </c>
      <c r="FR40" s="24068"/>
      <c r="FS40" s="24196"/>
      <c r="FT40" s="24110"/>
      <c r="FU40" s="23947"/>
      <c r="GA40" s="1081">
        <v>59</v>
      </c>
    </row>
    <row r="41" spans="1:183"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218</v>
      </c>
      <c r="T41" s="1181" t="s">
        <v>95</v>
      </c>
      <c r="U41" s="1171" t="str">
        <f ca="1">OFFSET(U41,0,-1)</f>
        <v>2</v>
      </c>
      <c r="V41" s="1408">
        <f ca="1">OFFSET(V41,0,-1)+1</f>
        <v>3</v>
      </c>
      <c r="W41" s="1267"/>
      <c r="X41" s="1267"/>
      <c r="Y41" s="1267"/>
      <c r="Z41" s="1267"/>
      <c r="AA41" s="1267"/>
      <c r="AB41" s="1267"/>
      <c r="AC41" s="1408">
        <f ca="1">OFFSET(AC41,0,-1)+1</f>
        <v>1</v>
      </c>
      <c r="AD41" s="24099">
        <f ca="1">OFFSET(AD41,0,-1)+1</f>
        <v>2</v>
      </c>
      <c r="AE41" s="24099"/>
      <c r="AF41" s="1408">
        <f ca="1">OFFSET(AF41,0,-2)+1</f>
        <v>3</v>
      </c>
      <c r="AG41" s="1408">
        <f ca="1">OFFSET(AG41,0,-1)+1</f>
        <v>4</v>
      </c>
      <c r="AH41" s="1850"/>
      <c r="AI41" s="1850"/>
      <c r="AJ41" s="1850"/>
      <c r="AK41" s="1850"/>
      <c r="AL41" s="1850"/>
      <c r="AM41" s="1408">
        <f ca="1">OFFSET(AM41,0,-1)+1</f>
        <v>1</v>
      </c>
      <c r="AN41" s="1408">
        <f ca="1">OFFSET(AN41,0,-1)+1</f>
        <v>2</v>
      </c>
      <c r="AO41" s="24099">
        <f ca="1">OFFSET(AO41,0,-1)+1</f>
        <v>3</v>
      </c>
      <c r="AP41" s="24099"/>
      <c r="AQ41" s="1408">
        <f ca="1">OFFSET(AQ41,0,-2)+1</f>
        <v>4</v>
      </c>
      <c r="AR41" s="5660">
        <f ca="1">OFFSET(AR41,0,-1)+1</f>
        <v>5</v>
      </c>
      <c r="AS41" s="6353"/>
      <c r="AT41" s="6353"/>
      <c r="AU41" s="6353"/>
      <c r="AV41" s="6353"/>
      <c r="AW41" s="6353"/>
      <c r="AX41" s="6353"/>
      <c r="AY41" s="5660">
        <f ca="1">OFFSET(AY41,0,-1)+1</f>
        <v>1</v>
      </c>
      <c r="AZ41" s="24184">
        <f ca="1">OFFSET(AZ41,0,-1)+1</f>
        <v>2</v>
      </c>
      <c r="BA41" s="24184"/>
      <c r="BB41" s="5660">
        <f ca="1">OFFSET(BB41,0,-2)+1</f>
        <v>3</v>
      </c>
      <c r="BC41" s="5660">
        <f ca="1">OFFSET(BC41,0,-1)+1</f>
        <v>4</v>
      </c>
      <c r="BD41" s="6353"/>
      <c r="BE41" s="6353"/>
      <c r="BF41" s="6353"/>
      <c r="BG41" s="6353"/>
      <c r="BH41" s="6353"/>
      <c r="BI41" s="6353"/>
      <c r="BJ41" s="5660">
        <f ca="1">OFFSET(BJ41,0,-1)+1</f>
        <v>1</v>
      </c>
      <c r="BK41" s="24184">
        <f ca="1">OFFSET(BK41,0,-1)+1</f>
        <v>2</v>
      </c>
      <c r="BL41" s="24184"/>
      <c r="BM41" s="5660">
        <f ca="1">OFFSET(BM41,0,-2)+1</f>
        <v>3</v>
      </c>
      <c r="BN41" s="1975">
        <f ca="1">OFFSET(BN41,0,-1)+1</f>
        <v>4</v>
      </c>
      <c r="BO41" s="1267"/>
      <c r="BP41" s="6353"/>
      <c r="BQ41" s="6353"/>
      <c r="BR41" s="1267"/>
      <c r="BS41" s="6353"/>
      <c r="BT41" s="6353"/>
      <c r="BU41" s="5660">
        <f ca="1">OFFSET(BU41,0,-1)+1</f>
        <v>1</v>
      </c>
      <c r="BV41" s="24184">
        <f ca="1">OFFSET(BV41,0,-1)+1</f>
        <v>2</v>
      </c>
      <c r="BW41" s="24184"/>
      <c r="BX41" s="5660">
        <f ca="1">OFFSET(BX41,0,-2)+1</f>
        <v>3</v>
      </c>
      <c r="BY41" s="5660">
        <f ca="1">OFFSET(BY41,0,-1)+1</f>
        <v>4</v>
      </c>
      <c r="BZ41" s="6353"/>
      <c r="CA41" s="6353"/>
      <c r="CB41" s="6353"/>
      <c r="CC41" s="6353"/>
      <c r="CD41" s="6353"/>
      <c r="CE41" s="6353"/>
      <c r="CF41" s="5660">
        <f ca="1">OFFSET(CF41,0,-1)+1</f>
        <v>1</v>
      </c>
      <c r="CG41" s="24184">
        <f ca="1">OFFSET(CG41,0,-1)+1</f>
        <v>2</v>
      </c>
      <c r="CH41" s="24184"/>
      <c r="CI41" s="5660">
        <f ca="1">OFFSET(CI41,0,-2)+1</f>
        <v>3</v>
      </c>
      <c r="CJ41" s="5660">
        <f ca="1">OFFSET(CJ41,0,-1)+1</f>
        <v>4</v>
      </c>
      <c r="CK41" s="6353"/>
      <c r="CL41" s="6353"/>
      <c r="CM41" s="6353"/>
      <c r="CN41" s="6353"/>
      <c r="CO41" s="6353"/>
      <c r="CP41" s="6353"/>
      <c r="CQ41" s="5660">
        <f ca="1">OFFSET(CQ41,0,-1)+1</f>
        <v>1</v>
      </c>
      <c r="CR41" s="24184">
        <f ca="1">OFFSET(CR41,0,-1)+1</f>
        <v>2</v>
      </c>
      <c r="CS41" s="24184"/>
      <c r="CT41" s="5660">
        <f ca="1">OFFSET(CT41,0,-2)+1</f>
        <v>3</v>
      </c>
      <c r="CU41" s="5660">
        <f ca="1">OFFSET(CU41,0,-1)+1</f>
        <v>4</v>
      </c>
      <c r="CV41" s="6353"/>
      <c r="CW41" s="6353"/>
      <c r="CX41" s="6353"/>
      <c r="CY41" s="6353"/>
      <c r="CZ41" s="6353"/>
      <c r="DA41" s="6353"/>
      <c r="DB41" s="5660">
        <f ca="1">OFFSET(DB41,0,-1)+1</f>
        <v>1</v>
      </c>
      <c r="DC41" s="24184">
        <f ca="1">OFFSET(DC41,0,-1)+1</f>
        <v>2</v>
      </c>
      <c r="DD41" s="24184"/>
      <c r="DE41" s="5660">
        <f ca="1">OFFSET(DE41,0,-2)+1</f>
        <v>3</v>
      </c>
      <c r="DF41" s="5660">
        <f ca="1">OFFSET(DF41,0,-1)+1</f>
        <v>4</v>
      </c>
      <c r="DG41" s="6353"/>
      <c r="DH41" s="6353"/>
      <c r="DI41" s="6353"/>
      <c r="DJ41" s="6353"/>
      <c r="DK41" s="6353"/>
      <c r="DL41" s="6353"/>
      <c r="DM41" s="5660">
        <f ca="1">OFFSET(DM41,0,-1)+1</f>
        <v>1</v>
      </c>
      <c r="DN41" s="24184">
        <f ca="1">OFFSET(DN41,0,-1)+1</f>
        <v>2</v>
      </c>
      <c r="DO41" s="24184"/>
      <c r="DP41" s="5660">
        <f ca="1">OFFSET(DP41,0,-2)+1</f>
        <v>3</v>
      </c>
      <c r="DQ41" s="5660">
        <f ca="1">OFFSET(DQ41,0,-1)+1</f>
        <v>4</v>
      </c>
      <c r="DR41" s="6353"/>
      <c r="DS41" s="6353"/>
      <c r="DT41" s="6353"/>
      <c r="DU41" s="6353"/>
      <c r="DV41" s="6353"/>
      <c r="DW41" s="6353"/>
      <c r="DX41" s="5660">
        <f ca="1">OFFSET(DX41,0,-1)+1</f>
        <v>1</v>
      </c>
      <c r="DY41" s="24184">
        <f ca="1">OFFSET(DY41,0,-1)+1</f>
        <v>2</v>
      </c>
      <c r="DZ41" s="24184"/>
      <c r="EA41" s="5660">
        <f ca="1">OFFSET(EA41,0,-2)+1</f>
        <v>3</v>
      </c>
      <c r="EB41" s="5660">
        <f ca="1">OFFSET(EB41,0,-1)+1</f>
        <v>4</v>
      </c>
      <c r="EC41" s="6353"/>
      <c r="ED41" s="6353"/>
      <c r="EE41" s="6353"/>
      <c r="EF41" s="6353"/>
      <c r="EG41" s="6353"/>
      <c r="EH41" s="6353"/>
      <c r="EI41" s="5660">
        <f ca="1">OFFSET(EI41,0,-1)+1</f>
        <v>1</v>
      </c>
      <c r="EJ41" s="24184">
        <f ca="1">OFFSET(EJ41,0,-1)+1</f>
        <v>2</v>
      </c>
      <c r="EK41" s="24184"/>
      <c r="EL41" s="5660">
        <f ca="1">OFFSET(EL41,0,-2)+1</f>
        <v>3</v>
      </c>
      <c r="EM41" s="5660">
        <f ca="1">OFFSET(EM41,0,-1)+1</f>
        <v>4</v>
      </c>
      <c r="EN41" s="6353"/>
      <c r="EO41" s="6353"/>
      <c r="EP41" s="6353"/>
      <c r="EQ41" s="6353"/>
      <c r="ER41" s="6353"/>
      <c r="ES41" s="6353"/>
      <c r="ET41" s="5660">
        <f ca="1">OFFSET(ET41,0,-1)+1</f>
        <v>1</v>
      </c>
      <c r="EU41" s="24184">
        <f ca="1">OFFSET(EU41,0,-1)+1</f>
        <v>2</v>
      </c>
      <c r="EV41" s="24184"/>
      <c r="EW41" s="5660">
        <f ca="1">OFFSET(EW41,0,-2)+1</f>
        <v>3</v>
      </c>
      <c r="EX41" s="1975">
        <f ca="1">OFFSET(EX41,0,-1)+1</f>
        <v>4</v>
      </c>
      <c r="EY41" s="1267"/>
      <c r="EZ41" s="6353"/>
      <c r="FA41" s="6353"/>
      <c r="FB41" s="1267"/>
      <c r="FC41" s="6353"/>
      <c r="FD41" s="6353"/>
      <c r="FE41" s="5660">
        <f ca="1">OFFSET(FE41,0,-1)+1</f>
        <v>1</v>
      </c>
      <c r="FF41" s="24184">
        <f ca="1">OFFSET(FF41,0,-1)+1</f>
        <v>2</v>
      </c>
      <c r="FG41" s="24184"/>
      <c r="FH41" s="5660">
        <f ca="1">OFFSET(FH41,0,-2)+1</f>
        <v>3</v>
      </c>
      <c r="FI41" s="1975">
        <f ca="1">OFFSET(FI41,0,-1)+1</f>
        <v>4</v>
      </c>
      <c r="FJ41" s="1267"/>
      <c r="FK41" s="6353"/>
      <c r="FL41" s="6353"/>
      <c r="FM41" s="1267"/>
      <c r="FN41" s="6353"/>
      <c r="FO41" s="6353"/>
      <c r="FP41" s="1975">
        <f ca="1">OFFSET(FP41,0,-1)+1</f>
        <v>1</v>
      </c>
      <c r="FQ41" s="24099">
        <f ca="1">OFFSET(FQ41,0,-1)+1</f>
        <v>2</v>
      </c>
      <c r="FR41" s="24099"/>
      <c r="FS41" s="5660">
        <f ca="1">OFFSET(FS41,0,-2)+1</f>
        <v>3</v>
      </c>
      <c r="FT41" s="1171">
        <f ca="1">OFFSET(FT41,0,-1)</f>
        <v>3</v>
      </c>
      <c r="FU41" s="1408">
        <f ca="1">OFFSET(FU41,0,-1)+1</f>
        <v>4</v>
      </c>
      <c r="FV41" s="447"/>
      <c r="FW41" s="447"/>
      <c r="FX41" s="447"/>
      <c r="FY41" s="447"/>
      <c r="FZ41" s="447"/>
      <c r="GA41" s="432">
        <v>0</v>
      </c>
    </row>
    <row r="42" spans="1:183" ht="24" customHeight="1">
      <c r="A42" s="1289" t="s">
        <v>352</v>
      </c>
      <c r="B42" s="1289"/>
      <c r="C42" s="1289"/>
      <c r="D42" s="1289"/>
      <c r="E42" s="24088">
        <v>1</v>
      </c>
      <c r="F42" s="1289"/>
      <c r="G42" s="1289"/>
      <c r="H42" s="1289"/>
      <c r="I42" s="1289"/>
      <c r="J42" s="1289"/>
      <c r="K42" s="1289"/>
      <c r="L42" s="1290"/>
      <c r="M42" s="1291"/>
      <c r="N42" s="1291"/>
      <c r="O42" s="1291"/>
      <c r="P42" s="297"/>
      <c r="Q42" s="296"/>
      <c r="R42" s="291"/>
      <c r="S42" s="1419">
        <f>INDEX(PT_DIFFERENTIATION_NUM_NTAR,MATCH(A42,PT_DIFFERENTIATION_NTAR_ID,0))</f>
        <v>1</v>
      </c>
      <c r="T42" s="234" t="s">
        <v>229</v>
      </c>
      <c r="U42" s="236"/>
      <c r="V42" s="24082"/>
      <c r="W42" s="24083"/>
      <c r="X42" s="24083"/>
      <c r="Y42" s="24083"/>
      <c r="Z42" s="24083"/>
      <c r="AA42" s="24083"/>
      <c r="AB42" s="24083"/>
      <c r="AC42" s="24083"/>
      <c r="AD42" s="24083"/>
      <c r="AE42" s="24083"/>
      <c r="AF42" s="24084"/>
      <c r="AG42" s="24082" t="str">
        <f>INDEX(PT_DIFFERENTIATION_NTAR,MATCH(A42,PT_DIFFERENTIATION_NTAR_ID,0))</f>
        <v>Тариф на горячую воду с использованием закрытой системы горячего водоснабжения</v>
      </c>
      <c r="AH42" s="24083"/>
      <c r="AI42" s="24083"/>
      <c r="AJ42" s="24083"/>
      <c r="AK42" s="24083"/>
      <c r="AL42" s="24083"/>
      <c r="AM42" s="24083"/>
      <c r="AN42" s="24083"/>
      <c r="AO42" s="24083"/>
      <c r="AP42" s="24083"/>
      <c r="AQ42" s="24083"/>
      <c r="AR42" s="24173"/>
      <c r="AS42" s="24174"/>
      <c r="AT42" s="24174"/>
      <c r="AU42" s="24174"/>
      <c r="AV42" s="24174"/>
      <c r="AW42" s="24174"/>
      <c r="AX42" s="24174"/>
      <c r="AY42" s="24174"/>
      <c r="AZ42" s="24174"/>
      <c r="BA42" s="24174"/>
      <c r="BB42" s="24175"/>
      <c r="BC42" s="24173"/>
      <c r="BD42" s="24174"/>
      <c r="BE42" s="24174"/>
      <c r="BF42" s="24174"/>
      <c r="BG42" s="24174"/>
      <c r="BH42" s="24174"/>
      <c r="BI42" s="24174"/>
      <c r="BJ42" s="24174"/>
      <c r="BK42" s="24174"/>
      <c r="BL42" s="24174"/>
      <c r="BM42" s="24175"/>
      <c r="BN42" s="24082"/>
      <c r="BO42" s="24083"/>
      <c r="BP42" s="24174"/>
      <c r="BQ42" s="24174"/>
      <c r="BR42" s="24083"/>
      <c r="BS42" s="24174"/>
      <c r="BT42" s="24174"/>
      <c r="BU42" s="24174"/>
      <c r="BV42" s="24174"/>
      <c r="BW42" s="24174"/>
      <c r="BX42" s="24175"/>
      <c r="BY42" s="24173"/>
      <c r="BZ42" s="24174"/>
      <c r="CA42" s="24174"/>
      <c r="CB42" s="24174"/>
      <c r="CC42" s="24174"/>
      <c r="CD42" s="24174"/>
      <c r="CE42" s="24174"/>
      <c r="CF42" s="24174"/>
      <c r="CG42" s="24174"/>
      <c r="CH42" s="24174"/>
      <c r="CI42" s="24175"/>
      <c r="CJ42" s="24173"/>
      <c r="CK42" s="24174"/>
      <c r="CL42" s="24174"/>
      <c r="CM42" s="24174"/>
      <c r="CN42" s="24174"/>
      <c r="CO42" s="24174"/>
      <c r="CP42" s="24174"/>
      <c r="CQ42" s="24174"/>
      <c r="CR42" s="24174"/>
      <c r="CS42" s="24174"/>
      <c r="CT42" s="24175"/>
      <c r="CU42" s="24173"/>
      <c r="CV42" s="24174"/>
      <c r="CW42" s="24174"/>
      <c r="CX42" s="24174"/>
      <c r="CY42" s="24174"/>
      <c r="CZ42" s="24174"/>
      <c r="DA42" s="24174"/>
      <c r="DB42" s="24174"/>
      <c r="DC42" s="24174"/>
      <c r="DD42" s="24174"/>
      <c r="DE42" s="24175"/>
      <c r="DF42" s="24173"/>
      <c r="DG42" s="24174"/>
      <c r="DH42" s="24174"/>
      <c r="DI42" s="24174"/>
      <c r="DJ42" s="24174"/>
      <c r="DK42" s="24174"/>
      <c r="DL42" s="24174"/>
      <c r="DM42" s="24174"/>
      <c r="DN42" s="24174"/>
      <c r="DO42" s="24174"/>
      <c r="DP42" s="24175"/>
      <c r="DQ42" s="24173"/>
      <c r="DR42" s="24174"/>
      <c r="DS42" s="24174"/>
      <c r="DT42" s="24174"/>
      <c r="DU42" s="24174"/>
      <c r="DV42" s="24174"/>
      <c r="DW42" s="24174"/>
      <c r="DX42" s="24174"/>
      <c r="DY42" s="24174"/>
      <c r="DZ42" s="24174"/>
      <c r="EA42" s="24175"/>
      <c r="EB42" s="24173"/>
      <c r="EC42" s="24174"/>
      <c r="ED42" s="24174"/>
      <c r="EE42" s="24174"/>
      <c r="EF42" s="24174"/>
      <c r="EG42" s="24174"/>
      <c r="EH42" s="24174"/>
      <c r="EI42" s="24174"/>
      <c r="EJ42" s="24174"/>
      <c r="EK42" s="24174"/>
      <c r="EL42" s="24175"/>
      <c r="EM42" s="24173"/>
      <c r="EN42" s="24174"/>
      <c r="EO42" s="24174"/>
      <c r="EP42" s="24174"/>
      <c r="EQ42" s="24174"/>
      <c r="ER42" s="24174"/>
      <c r="ES42" s="24174"/>
      <c r="ET42" s="24174"/>
      <c r="EU42" s="24174"/>
      <c r="EV42" s="24174"/>
      <c r="EW42" s="24175"/>
      <c r="EX42" s="24082"/>
      <c r="EY42" s="24083"/>
      <c r="EZ42" s="24174"/>
      <c r="FA42" s="24174"/>
      <c r="FB42" s="24083"/>
      <c r="FC42" s="24174"/>
      <c r="FD42" s="24174"/>
      <c r="FE42" s="24174"/>
      <c r="FF42" s="24174"/>
      <c r="FG42" s="24174"/>
      <c r="FH42" s="24175"/>
      <c r="FI42" s="24082"/>
      <c r="FJ42" s="24083"/>
      <c r="FK42" s="24174"/>
      <c r="FL42" s="24174"/>
      <c r="FM42" s="24083"/>
      <c r="FN42" s="24174"/>
      <c r="FO42" s="24174"/>
      <c r="FP42" s="24083"/>
      <c r="FQ42" s="24083"/>
      <c r="FR42" s="24083"/>
      <c r="FS42" s="24175"/>
      <c r="FT42" s="24084"/>
      <c r="FU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W42" s="436"/>
      <c r="FX42" s="436" t="str">
        <f t="shared" ref="FX42:FX105" si="1">IF(T42="","",T42)</f>
        <v>Наименование тарифа</v>
      </c>
      <c r="FY42" s="436"/>
      <c r="FZ42" s="436"/>
      <c r="GA42" s="1081">
        <v>23</v>
      </c>
    </row>
    <row r="43" spans="1:183" ht="24" customHeight="1">
      <c r="A43" s="1289" t="s">
        <v>352</v>
      </c>
      <c r="B43" s="1289" t="s">
        <v>353</v>
      </c>
      <c r="C43" s="1289"/>
      <c r="D43" s="1289"/>
      <c r="E43" s="24089"/>
      <c r="F43" s="24088">
        <v>1</v>
      </c>
      <c r="G43" s="1289"/>
      <c r="H43" s="1289"/>
      <c r="I43" s="1289"/>
      <c r="J43" s="1289"/>
      <c r="K43" s="1289"/>
      <c r="L43" s="1290"/>
      <c r="M43" s="1291"/>
      <c r="N43" s="1291"/>
      <c r="O43" s="1291"/>
      <c r="P43" s="1413"/>
      <c r="Q43" s="288"/>
      <c r="R43" s="289"/>
      <c r="S43" s="1419" t="str">
        <f>INDEX(PT_DIFFERENTIATION_NUM_TER,MATCH(B43,PT_DIFFERENTIATION_TER_ID,0))</f>
        <v>1.1</v>
      </c>
      <c r="T43" s="244" t="s">
        <v>626</v>
      </c>
      <c r="U43" s="236"/>
      <c r="V43" s="24082"/>
      <c r="W43" s="24083"/>
      <c r="X43" s="24083"/>
      <c r="Y43" s="24083"/>
      <c r="Z43" s="24083"/>
      <c r="AA43" s="24083"/>
      <c r="AB43" s="24083"/>
      <c r="AC43" s="24083"/>
      <c r="AD43" s="24083"/>
      <c r="AE43" s="24083"/>
      <c r="AF43" s="24084"/>
      <c r="AG43" s="24082" t="str">
        <f>INDEX(PT_DIFFERENTIATION_TER,MATCH(B43,PT_DIFFERENTIATION_TER_ID,0))</f>
        <v>Территория 1</v>
      </c>
      <c r="AH43" s="24083"/>
      <c r="AI43" s="24083"/>
      <c r="AJ43" s="24083"/>
      <c r="AK43" s="24083"/>
      <c r="AL43" s="24083"/>
      <c r="AM43" s="24083"/>
      <c r="AN43" s="24083"/>
      <c r="AO43" s="24083"/>
      <c r="AP43" s="24083"/>
      <c r="AQ43" s="24083"/>
      <c r="AR43" s="24173"/>
      <c r="AS43" s="24174"/>
      <c r="AT43" s="24174"/>
      <c r="AU43" s="24174"/>
      <c r="AV43" s="24174"/>
      <c r="AW43" s="24174"/>
      <c r="AX43" s="24174"/>
      <c r="AY43" s="24174"/>
      <c r="AZ43" s="24174"/>
      <c r="BA43" s="24174"/>
      <c r="BB43" s="24175"/>
      <c r="BC43" s="24173"/>
      <c r="BD43" s="24174"/>
      <c r="BE43" s="24174"/>
      <c r="BF43" s="24174"/>
      <c r="BG43" s="24174"/>
      <c r="BH43" s="24174"/>
      <c r="BI43" s="24174"/>
      <c r="BJ43" s="24174"/>
      <c r="BK43" s="24174"/>
      <c r="BL43" s="24174"/>
      <c r="BM43" s="24175"/>
      <c r="BN43" s="24082"/>
      <c r="BO43" s="24083"/>
      <c r="BP43" s="24174"/>
      <c r="BQ43" s="24174"/>
      <c r="BR43" s="24083"/>
      <c r="BS43" s="24174"/>
      <c r="BT43" s="24174"/>
      <c r="BU43" s="24174"/>
      <c r="BV43" s="24174"/>
      <c r="BW43" s="24174"/>
      <c r="BX43" s="24175"/>
      <c r="BY43" s="24173"/>
      <c r="BZ43" s="24174"/>
      <c r="CA43" s="24174"/>
      <c r="CB43" s="24174"/>
      <c r="CC43" s="24174"/>
      <c r="CD43" s="24174"/>
      <c r="CE43" s="24174"/>
      <c r="CF43" s="24174"/>
      <c r="CG43" s="24174"/>
      <c r="CH43" s="24174"/>
      <c r="CI43" s="24175"/>
      <c r="CJ43" s="24173"/>
      <c r="CK43" s="24174"/>
      <c r="CL43" s="24174"/>
      <c r="CM43" s="24174"/>
      <c r="CN43" s="24174"/>
      <c r="CO43" s="24174"/>
      <c r="CP43" s="24174"/>
      <c r="CQ43" s="24174"/>
      <c r="CR43" s="24174"/>
      <c r="CS43" s="24174"/>
      <c r="CT43" s="24175"/>
      <c r="CU43" s="24173"/>
      <c r="CV43" s="24174"/>
      <c r="CW43" s="24174"/>
      <c r="CX43" s="24174"/>
      <c r="CY43" s="24174"/>
      <c r="CZ43" s="24174"/>
      <c r="DA43" s="24174"/>
      <c r="DB43" s="24174"/>
      <c r="DC43" s="24174"/>
      <c r="DD43" s="24174"/>
      <c r="DE43" s="24175"/>
      <c r="DF43" s="24173"/>
      <c r="DG43" s="24174"/>
      <c r="DH43" s="24174"/>
      <c r="DI43" s="24174"/>
      <c r="DJ43" s="24174"/>
      <c r="DK43" s="24174"/>
      <c r="DL43" s="24174"/>
      <c r="DM43" s="24174"/>
      <c r="DN43" s="24174"/>
      <c r="DO43" s="24174"/>
      <c r="DP43" s="24175"/>
      <c r="DQ43" s="24173"/>
      <c r="DR43" s="24174"/>
      <c r="DS43" s="24174"/>
      <c r="DT43" s="24174"/>
      <c r="DU43" s="24174"/>
      <c r="DV43" s="24174"/>
      <c r="DW43" s="24174"/>
      <c r="DX43" s="24174"/>
      <c r="DY43" s="24174"/>
      <c r="DZ43" s="24174"/>
      <c r="EA43" s="24175"/>
      <c r="EB43" s="24173"/>
      <c r="EC43" s="24174"/>
      <c r="ED43" s="24174"/>
      <c r="EE43" s="24174"/>
      <c r="EF43" s="24174"/>
      <c r="EG43" s="24174"/>
      <c r="EH43" s="24174"/>
      <c r="EI43" s="24174"/>
      <c r="EJ43" s="24174"/>
      <c r="EK43" s="24174"/>
      <c r="EL43" s="24175"/>
      <c r="EM43" s="24173"/>
      <c r="EN43" s="24174"/>
      <c r="EO43" s="24174"/>
      <c r="EP43" s="24174"/>
      <c r="EQ43" s="24174"/>
      <c r="ER43" s="24174"/>
      <c r="ES43" s="24174"/>
      <c r="ET43" s="24174"/>
      <c r="EU43" s="24174"/>
      <c r="EV43" s="24174"/>
      <c r="EW43" s="24175"/>
      <c r="EX43" s="24082"/>
      <c r="EY43" s="24083"/>
      <c r="EZ43" s="24174"/>
      <c r="FA43" s="24174"/>
      <c r="FB43" s="24083"/>
      <c r="FC43" s="24174"/>
      <c r="FD43" s="24174"/>
      <c r="FE43" s="24174"/>
      <c r="FF43" s="24174"/>
      <c r="FG43" s="24174"/>
      <c r="FH43" s="24175"/>
      <c r="FI43" s="24082"/>
      <c r="FJ43" s="24083"/>
      <c r="FK43" s="24174"/>
      <c r="FL43" s="24174"/>
      <c r="FM43" s="24083"/>
      <c r="FN43" s="24174"/>
      <c r="FO43" s="24174"/>
      <c r="FP43" s="24083"/>
      <c r="FQ43" s="24083"/>
      <c r="FR43" s="24083"/>
      <c r="FS43" s="24175"/>
      <c r="FT43" s="24084"/>
      <c r="FU43" s="1184" t="s">
        <v>627</v>
      </c>
      <c r="FW43" s="436"/>
      <c r="FX43" s="436" t="str">
        <f t="shared" si="1"/>
        <v>Территория действия тарифа</v>
      </c>
      <c r="FY43" s="436"/>
      <c r="FZ43" s="436"/>
      <c r="GA43" s="1081">
        <v>23</v>
      </c>
    </row>
    <row r="44" spans="1:183" ht="24" customHeight="1">
      <c r="A44" s="1289" t="s">
        <v>352</v>
      </c>
      <c r="B44" s="1289" t="s">
        <v>353</v>
      </c>
      <c r="C44" s="1289" t="s">
        <v>354</v>
      </c>
      <c r="D44" s="1289"/>
      <c r="E44" s="24089"/>
      <c r="F44" s="24089"/>
      <c r="G44" s="24088">
        <v>1</v>
      </c>
      <c r="H44" s="1289"/>
      <c r="I44" s="1289"/>
      <c r="J44" s="1289"/>
      <c r="K44" s="1289"/>
      <c r="L44" s="1290"/>
      <c r="M44" s="1291"/>
      <c r="N44" s="1291"/>
      <c r="O44" s="1291"/>
      <c r="P44" s="290"/>
      <c r="Q44" s="288"/>
      <c r="R44" s="289"/>
      <c r="S44" s="1419" t="str">
        <f>INDEX(PT_DIFFERENTIATION_NUM_CS,MATCH(C44,PT_DIFFERENTIATION_CS_ID,0))</f>
        <v>1.1.1</v>
      </c>
      <c r="T44" s="245" t="s">
        <v>756</v>
      </c>
      <c r="U44" s="236"/>
      <c r="V44" s="24082"/>
      <c r="W44" s="24083"/>
      <c r="X44" s="24083"/>
      <c r="Y44" s="24083"/>
      <c r="Z44" s="24083"/>
      <c r="AA44" s="24083"/>
      <c r="AB44" s="24083"/>
      <c r="AC44" s="24083"/>
      <c r="AD44" s="24083"/>
      <c r="AE44" s="24083"/>
      <c r="AF44" s="24084"/>
      <c r="AG44" s="24082" t="str">
        <f>INDEX(PT_DIFFERENTIATION_CS,MATCH(C44,PT_DIFFERENTIATION_CS_ID,0))</f>
        <v>г. Вязьма Вяземского муниципального округа Смоленской области</v>
      </c>
      <c r="AH44" s="24083"/>
      <c r="AI44" s="24083"/>
      <c r="AJ44" s="24083"/>
      <c r="AK44" s="24083"/>
      <c r="AL44" s="24083"/>
      <c r="AM44" s="24083"/>
      <c r="AN44" s="24083"/>
      <c r="AO44" s="24083"/>
      <c r="AP44" s="24083"/>
      <c r="AQ44" s="24083"/>
      <c r="AR44" s="24173"/>
      <c r="AS44" s="24174"/>
      <c r="AT44" s="24174"/>
      <c r="AU44" s="24174"/>
      <c r="AV44" s="24174"/>
      <c r="AW44" s="24174"/>
      <c r="AX44" s="24174"/>
      <c r="AY44" s="24174"/>
      <c r="AZ44" s="24174"/>
      <c r="BA44" s="24174"/>
      <c r="BB44" s="24175"/>
      <c r="BC44" s="24173"/>
      <c r="BD44" s="24174"/>
      <c r="BE44" s="24174"/>
      <c r="BF44" s="24174"/>
      <c r="BG44" s="24174"/>
      <c r="BH44" s="24174"/>
      <c r="BI44" s="24174"/>
      <c r="BJ44" s="24174"/>
      <c r="BK44" s="24174"/>
      <c r="BL44" s="24174"/>
      <c r="BM44" s="24175"/>
      <c r="BN44" s="24082"/>
      <c r="BO44" s="24083"/>
      <c r="BP44" s="24174"/>
      <c r="BQ44" s="24174"/>
      <c r="BR44" s="24083"/>
      <c r="BS44" s="24174"/>
      <c r="BT44" s="24174"/>
      <c r="BU44" s="24174"/>
      <c r="BV44" s="24174"/>
      <c r="BW44" s="24174"/>
      <c r="BX44" s="24175"/>
      <c r="BY44" s="24173"/>
      <c r="BZ44" s="24174"/>
      <c r="CA44" s="24174"/>
      <c r="CB44" s="24174"/>
      <c r="CC44" s="24174"/>
      <c r="CD44" s="24174"/>
      <c r="CE44" s="24174"/>
      <c r="CF44" s="24174"/>
      <c r="CG44" s="24174"/>
      <c r="CH44" s="24174"/>
      <c r="CI44" s="24175"/>
      <c r="CJ44" s="24173"/>
      <c r="CK44" s="24174"/>
      <c r="CL44" s="24174"/>
      <c r="CM44" s="24174"/>
      <c r="CN44" s="24174"/>
      <c r="CO44" s="24174"/>
      <c r="CP44" s="24174"/>
      <c r="CQ44" s="24174"/>
      <c r="CR44" s="24174"/>
      <c r="CS44" s="24174"/>
      <c r="CT44" s="24175"/>
      <c r="CU44" s="24173"/>
      <c r="CV44" s="24174"/>
      <c r="CW44" s="24174"/>
      <c r="CX44" s="24174"/>
      <c r="CY44" s="24174"/>
      <c r="CZ44" s="24174"/>
      <c r="DA44" s="24174"/>
      <c r="DB44" s="24174"/>
      <c r="DC44" s="24174"/>
      <c r="DD44" s="24174"/>
      <c r="DE44" s="24175"/>
      <c r="DF44" s="24173"/>
      <c r="DG44" s="24174"/>
      <c r="DH44" s="24174"/>
      <c r="DI44" s="24174"/>
      <c r="DJ44" s="24174"/>
      <c r="DK44" s="24174"/>
      <c r="DL44" s="24174"/>
      <c r="DM44" s="24174"/>
      <c r="DN44" s="24174"/>
      <c r="DO44" s="24174"/>
      <c r="DP44" s="24175"/>
      <c r="DQ44" s="24173"/>
      <c r="DR44" s="24174"/>
      <c r="DS44" s="24174"/>
      <c r="DT44" s="24174"/>
      <c r="DU44" s="24174"/>
      <c r="DV44" s="24174"/>
      <c r="DW44" s="24174"/>
      <c r="DX44" s="24174"/>
      <c r="DY44" s="24174"/>
      <c r="DZ44" s="24174"/>
      <c r="EA44" s="24175"/>
      <c r="EB44" s="24173"/>
      <c r="EC44" s="24174"/>
      <c r="ED44" s="24174"/>
      <c r="EE44" s="24174"/>
      <c r="EF44" s="24174"/>
      <c r="EG44" s="24174"/>
      <c r="EH44" s="24174"/>
      <c r="EI44" s="24174"/>
      <c r="EJ44" s="24174"/>
      <c r="EK44" s="24174"/>
      <c r="EL44" s="24175"/>
      <c r="EM44" s="24173"/>
      <c r="EN44" s="24174"/>
      <c r="EO44" s="24174"/>
      <c r="EP44" s="24174"/>
      <c r="EQ44" s="24174"/>
      <c r="ER44" s="24174"/>
      <c r="ES44" s="24174"/>
      <c r="ET44" s="24174"/>
      <c r="EU44" s="24174"/>
      <c r="EV44" s="24174"/>
      <c r="EW44" s="24175"/>
      <c r="EX44" s="24082"/>
      <c r="EY44" s="24083"/>
      <c r="EZ44" s="24174"/>
      <c r="FA44" s="24174"/>
      <c r="FB44" s="24083"/>
      <c r="FC44" s="24174"/>
      <c r="FD44" s="24174"/>
      <c r="FE44" s="24174"/>
      <c r="FF44" s="24174"/>
      <c r="FG44" s="24174"/>
      <c r="FH44" s="24175"/>
      <c r="FI44" s="24082"/>
      <c r="FJ44" s="24083"/>
      <c r="FK44" s="24174"/>
      <c r="FL44" s="24174"/>
      <c r="FM44" s="24083"/>
      <c r="FN44" s="24174"/>
      <c r="FO44" s="24174"/>
      <c r="FP44" s="24083"/>
      <c r="FQ44" s="24083"/>
      <c r="FR44" s="24083"/>
      <c r="FS44" s="24175"/>
      <c r="FT44" s="24084"/>
      <c r="FU44" s="1184" t="s">
        <v>757</v>
      </c>
      <c r="FW44" s="436"/>
      <c r="FX44" s="436" t="str">
        <f t="shared" si="1"/>
        <v>Наименование централизованной системы горячего водоснабжения</v>
      </c>
      <c r="FY44" s="436"/>
      <c r="FZ44" s="436"/>
      <c r="GA44" s="1081">
        <v>23</v>
      </c>
    </row>
    <row r="45" spans="1:183" ht="24" customHeight="1">
      <c r="A45" s="1289" t="s">
        <v>352</v>
      </c>
      <c r="B45" s="1289" t="s">
        <v>353</v>
      </c>
      <c r="C45" s="1289" t="s">
        <v>354</v>
      </c>
      <c r="D45" s="1289" t="s">
        <v>768</v>
      </c>
      <c r="E45" s="24089"/>
      <c r="F45" s="24089"/>
      <c r="G45" s="24089"/>
      <c r="H45" s="24089"/>
      <c r="I45" s="24090" t="str">
        <f>S44&amp;".1"</f>
        <v>1.1.1.1</v>
      </c>
      <c r="J45" s="1289"/>
      <c r="K45" s="1289"/>
      <c r="L45" s="1290"/>
      <c r="P45" s="24092">
        <v>1</v>
      </c>
      <c r="Q45" s="1407"/>
      <c r="R45" s="292"/>
      <c r="S45" s="1419" t="str">
        <f>$I45</f>
        <v>1.1.1.1</v>
      </c>
      <c r="T45" s="221" t="s">
        <v>709</v>
      </c>
      <c r="U45" s="236"/>
      <c r="V45" s="24156"/>
      <c r="W45" s="24157"/>
      <c r="X45" s="24157"/>
      <c r="Y45" s="24157"/>
      <c r="Z45" s="24157"/>
      <c r="AA45" s="24157"/>
      <c r="AB45" s="24157"/>
      <c r="AC45" s="24157"/>
      <c r="AD45" s="24157"/>
      <c r="AE45" s="24157"/>
      <c r="AF45" s="24158"/>
      <c r="AG45" s="24159"/>
      <c r="AH45" s="24160"/>
      <c r="AI45" s="24160"/>
      <c r="AJ45" s="24160"/>
      <c r="AK45" s="24160"/>
      <c r="AL45" s="24160"/>
      <c r="AM45" s="24160"/>
      <c r="AN45" s="24160"/>
      <c r="AO45" s="24160"/>
      <c r="AP45" s="24160"/>
      <c r="AQ45" s="24160"/>
      <c r="AR45" s="24176"/>
      <c r="AS45" s="24177"/>
      <c r="AT45" s="24177"/>
      <c r="AU45" s="24177"/>
      <c r="AV45" s="24177"/>
      <c r="AW45" s="24177"/>
      <c r="AX45" s="24177"/>
      <c r="AY45" s="24177"/>
      <c r="AZ45" s="24177"/>
      <c r="BA45" s="24177"/>
      <c r="BB45" s="24178"/>
      <c r="BC45" s="24176"/>
      <c r="BD45" s="24177"/>
      <c r="BE45" s="24177"/>
      <c r="BF45" s="24177"/>
      <c r="BG45" s="24177"/>
      <c r="BH45" s="24177"/>
      <c r="BI45" s="24177"/>
      <c r="BJ45" s="24177"/>
      <c r="BK45" s="24177"/>
      <c r="BL45" s="24177"/>
      <c r="BM45" s="24178"/>
      <c r="BN45" s="24156"/>
      <c r="BO45" s="24157"/>
      <c r="BP45" s="24177"/>
      <c r="BQ45" s="24177"/>
      <c r="BR45" s="24157"/>
      <c r="BS45" s="24177"/>
      <c r="BT45" s="24177"/>
      <c r="BU45" s="24177"/>
      <c r="BV45" s="24177"/>
      <c r="BW45" s="24177"/>
      <c r="BX45" s="24178"/>
      <c r="BY45" s="24176"/>
      <c r="BZ45" s="24177"/>
      <c r="CA45" s="24177"/>
      <c r="CB45" s="24177"/>
      <c r="CC45" s="24177"/>
      <c r="CD45" s="24177"/>
      <c r="CE45" s="24177"/>
      <c r="CF45" s="24177"/>
      <c r="CG45" s="24177"/>
      <c r="CH45" s="24177"/>
      <c r="CI45" s="24178"/>
      <c r="CJ45" s="24176"/>
      <c r="CK45" s="24177"/>
      <c r="CL45" s="24177"/>
      <c r="CM45" s="24177"/>
      <c r="CN45" s="24177"/>
      <c r="CO45" s="24177"/>
      <c r="CP45" s="24177"/>
      <c r="CQ45" s="24177"/>
      <c r="CR45" s="24177"/>
      <c r="CS45" s="24177"/>
      <c r="CT45" s="24178"/>
      <c r="CU45" s="24176"/>
      <c r="CV45" s="24177"/>
      <c r="CW45" s="24177"/>
      <c r="CX45" s="24177"/>
      <c r="CY45" s="24177"/>
      <c r="CZ45" s="24177"/>
      <c r="DA45" s="24177"/>
      <c r="DB45" s="24177"/>
      <c r="DC45" s="24177"/>
      <c r="DD45" s="24177"/>
      <c r="DE45" s="24178"/>
      <c r="DF45" s="24176"/>
      <c r="DG45" s="24177"/>
      <c r="DH45" s="24177"/>
      <c r="DI45" s="24177"/>
      <c r="DJ45" s="24177"/>
      <c r="DK45" s="24177"/>
      <c r="DL45" s="24177"/>
      <c r="DM45" s="24177"/>
      <c r="DN45" s="24177"/>
      <c r="DO45" s="24177"/>
      <c r="DP45" s="24178"/>
      <c r="DQ45" s="24176"/>
      <c r="DR45" s="24177"/>
      <c r="DS45" s="24177"/>
      <c r="DT45" s="24177"/>
      <c r="DU45" s="24177"/>
      <c r="DV45" s="24177"/>
      <c r="DW45" s="24177"/>
      <c r="DX45" s="24177"/>
      <c r="DY45" s="24177"/>
      <c r="DZ45" s="24177"/>
      <c r="EA45" s="24178"/>
      <c r="EB45" s="24176"/>
      <c r="EC45" s="24177"/>
      <c r="ED45" s="24177"/>
      <c r="EE45" s="24177"/>
      <c r="EF45" s="24177"/>
      <c r="EG45" s="24177"/>
      <c r="EH45" s="24177"/>
      <c r="EI45" s="24177"/>
      <c r="EJ45" s="24177"/>
      <c r="EK45" s="24177"/>
      <c r="EL45" s="24178"/>
      <c r="EM45" s="24176"/>
      <c r="EN45" s="24177"/>
      <c r="EO45" s="24177"/>
      <c r="EP45" s="24177"/>
      <c r="EQ45" s="24177"/>
      <c r="ER45" s="24177"/>
      <c r="ES45" s="24177"/>
      <c r="ET45" s="24177"/>
      <c r="EU45" s="24177"/>
      <c r="EV45" s="24177"/>
      <c r="EW45" s="24178"/>
      <c r="EX45" s="24156"/>
      <c r="EY45" s="24157"/>
      <c r="EZ45" s="24177"/>
      <c r="FA45" s="24177"/>
      <c r="FB45" s="24157"/>
      <c r="FC45" s="24177"/>
      <c r="FD45" s="24177"/>
      <c r="FE45" s="24177"/>
      <c r="FF45" s="24177"/>
      <c r="FG45" s="24177"/>
      <c r="FH45" s="24178"/>
      <c r="FI45" s="24156"/>
      <c r="FJ45" s="24157"/>
      <c r="FK45" s="24177"/>
      <c r="FL45" s="24177"/>
      <c r="FM45" s="24157"/>
      <c r="FN45" s="24177"/>
      <c r="FO45" s="24177"/>
      <c r="FP45" s="24157"/>
      <c r="FQ45" s="24157"/>
      <c r="FR45" s="24157"/>
      <c r="FS45" s="24178"/>
      <c r="FT45" s="24161"/>
      <c r="FU45" s="1184" t="s">
        <v>710</v>
      </c>
      <c r="FW45" s="436"/>
      <c r="FX45" s="436" t="str">
        <f t="shared" si="1"/>
        <v>Наименование признака дифференциации</v>
      </c>
      <c r="FY45" s="436"/>
      <c r="FZ45" s="436"/>
      <c r="GA45" s="1081">
        <v>23</v>
      </c>
    </row>
    <row r="46" spans="1:183" ht="24" customHeight="1">
      <c r="A46" s="1289" t="s">
        <v>352</v>
      </c>
      <c r="B46" s="1289" t="s">
        <v>353</v>
      </c>
      <c r="C46" s="1289" t="s">
        <v>354</v>
      </c>
      <c r="D46" s="1289" t="s">
        <v>768</v>
      </c>
      <c r="E46" s="24089"/>
      <c r="F46" s="24089"/>
      <c r="G46" s="24089"/>
      <c r="H46" s="24089"/>
      <c r="I46" s="24091"/>
      <c r="J46" s="24090" t="str">
        <f>I45&amp;".1"</f>
        <v>1.1.1.1.1</v>
      </c>
      <c r="K46" s="1289"/>
      <c r="L46" s="1290" t="s">
        <v>635</v>
      </c>
      <c r="P46" s="24092"/>
      <c r="Q46" s="24092">
        <v>1</v>
      </c>
      <c r="R46" s="293"/>
      <c r="S46" s="1419" t="str">
        <f>$J46</f>
        <v>1.1.1.1.1</v>
      </c>
      <c r="T46" s="222" t="s">
        <v>636</v>
      </c>
      <c r="U46" s="236"/>
      <c r="V46" s="24076"/>
      <c r="W46" s="24077"/>
      <c r="X46" s="24077"/>
      <c r="Y46" s="24077"/>
      <c r="Z46" s="24077"/>
      <c r="AA46" s="24077"/>
      <c r="AB46" s="24077"/>
      <c r="AC46" s="24077"/>
      <c r="AD46" s="24077"/>
      <c r="AE46" s="24077"/>
      <c r="AF46" s="24078"/>
      <c r="AG46" s="24076" t="s">
        <v>769</v>
      </c>
      <c r="AH46" s="24077"/>
      <c r="AI46" s="24077"/>
      <c r="AJ46" s="24077"/>
      <c r="AK46" s="24077"/>
      <c r="AL46" s="24077"/>
      <c r="AM46" s="24077"/>
      <c r="AN46" s="24077"/>
      <c r="AO46" s="24077"/>
      <c r="AP46" s="24077"/>
      <c r="AQ46" s="24077"/>
      <c r="AR46" s="24179"/>
      <c r="AS46" s="24180"/>
      <c r="AT46" s="24180"/>
      <c r="AU46" s="24180"/>
      <c r="AV46" s="24180"/>
      <c r="AW46" s="24180"/>
      <c r="AX46" s="24180"/>
      <c r="AY46" s="24180"/>
      <c r="AZ46" s="24180"/>
      <c r="BA46" s="24180"/>
      <c r="BB46" s="24181"/>
      <c r="BC46" s="24179"/>
      <c r="BD46" s="24180"/>
      <c r="BE46" s="24180"/>
      <c r="BF46" s="24180"/>
      <c r="BG46" s="24180"/>
      <c r="BH46" s="24180"/>
      <c r="BI46" s="24180"/>
      <c r="BJ46" s="24180"/>
      <c r="BK46" s="24180"/>
      <c r="BL46" s="24180"/>
      <c r="BM46" s="24181"/>
      <c r="BN46" s="24076"/>
      <c r="BO46" s="24077"/>
      <c r="BP46" s="24180"/>
      <c r="BQ46" s="24180"/>
      <c r="BR46" s="24077"/>
      <c r="BS46" s="24180"/>
      <c r="BT46" s="24180"/>
      <c r="BU46" s="24180"/>
      <c r="BV46" s="24180"/>
      <c r="BW46" s="24180"/>
      <c r="BX46" s="24181"/>
      <c r="BY46" s="24179"/>
      <c r="BZ46" s="24180"/>
      <c r="CA46" s="24180"/>
      <c r="CB46" s="24180"/>
      <c r="CC46" s="24180"/>
      <c r="CD46" s="24180"/>
      <c r="CE46" s="24180"/>
      <c r="CF46" s="24180"/>
      <c r="CG46" s="24180"/>
      <c r="CH46" s="24180"/>
      <c r="CI46" s="24181"/>
      <c r="CJ46" s="24179"/>
      <c r="CK46" s="24180"/>
      <c r="CL46" s="24180"/>
      <c r="CM46" s="24180"/>
      <c r="CN46" s="24180"/>
      <c r="CO46" s="24180"/>
      <c r="CP46" s="24180"/>
      <c r="CQ46" s="24180"/>
      <c r="CR46" s="24180"/>
      <c r="CS46" s="24180"/>
      <c r="CT46" s="24181"/>
      <c r="CU46" s="24179"/>
      <c r="CV46" s="24180"/>
      <c r="CW46" s="24180"/>
      <c r="CX46" s="24180"/>
      <c r="CY46" s="24180"/>
      <c r="CZ46" s="24180"/>
      <c r="DA46" s="24180"/>
      <c r="DB46" s="24180"/>
      <c r="DC46" s="24180"/>
      <c r="DD46" s="24180"/>
      <c r="DE46" s="24181"/>
      <c r="DF46" s="24179"/>
      <c r="DG46" s="24180"/>
      <c r="DH46" s="24180"/>
      <c r="DI46" s="24180"/>
      <c r="DJ46" s="24180"/>
      <c r="DK46" s="24180"/>
      <c r="DL46" s="24180"/>
      <c r="DM46" s="24180"/>
      <c r="DN46" s="24180"/>
      <c r="DO46" s="24180"/>
      <c r="DP46" s="24181"/>
      <c r="DQ46" s="24179"/>
      <c r="DR46" s="24180"/>
      <c r="DS46" s="24180"/>
      <c r="DT46" s="24180"/>
      <c r="DU46" s="24180"/>
      <c r="DV46" s="24180"/>
      <c r="DW46" s="24180"/>
      <c r="DX46" s="24180"/>
      <c r="DY46" s="24180"/>
      <c r="DZ46" s="24180"/>
      <c r="EA46" s="24181"/>
      <c r="EB46" s="24179"/>
      <c r="EC46" s="24180"/>
      <c r="ED46" s="24180"/>
      <c r="EE46" s="24180"/>
      <c r="EF46" s="24180"/>
      <c r="EG46" s="24180"/>
      <c r="EH46" s="24180"/>
      <c r="EI46" s="24180"/>
      <c r="EJ46" s="24180"/>
      <c r="EK46" s="24180"/>
      <c r="EL46" s="24181"/>
      <c r="EM46" s="24179"/>
      <c r="EN46" s="24180"/>
      <c r="EO46" s="24180"/>
      <c r="EP46" s="24180"/>
      <c r="EQ46" s="24180"/>
      <c r="ER46" s="24180"/>
      <c r="ES46" s="24180"/>
      <c r="ET46" s="24180"/>
      <c r="EU46" s="24180"/>
      <c r="EV46" s="24180"/>
      <c r="EW46" s="24181"/>
      <c r="EX46" s="24076"/>
      <c r="EY46" s="24077"/>
      <c r="EZ46" s="24180"/>
      <c r="FA46" s="24180"/>
      <c r="FB46" s="24077"/>
      <c r="FC46" s="24180"/>
      <c r="FD46" s="24180"/>
      <c r="FE46" s="24180"/>
      <c r="FF46" s="24180"/>
      <c r="FG46" s="24180"/>
      <c r="FH46" s="24181"/>
      <c r="FI46" s="24076"/>
      <c r="FJ46" s="24077"/>
      <c r="FK46" s="24180"/>
      <c r="FL46" s="24180"/>
      <c r="FM46" s="24077"/>
      <c r="FN46" s="24180"/>
      <c r="FO46" s="24180"/>
      <c r="FP46" s="24077"/>
      <c r="FQ46" s="24077"/>
      <c r="FR46" s="24077"/>
      <c r="FS46" s="24181"/>
      <c r="FT46" s="24078"/>
      <c r="FU46" s="1233" t="s">
        <v>711</v>
      </c>
      <c r="FW46" s="436"/>
      <c r="FX46" s="436" t="str">
        <f t="shared" si="1"/>
        <v>Группа потребителей</v>
      </c>
      <c r="FY46" s="436"/>
      <c r="FZ46" s="436"/>
      <c r="GA46" s="1081">
        <v>23</v>
      </c>
    </row>
    <row r="47" spans="1:183" ht="37.5" customHeight="1">
      <c r="A47" s="1289" t="s">
        <v>352</v>
      </c>
      <c r="B47" s="1289" t="s">
        <v>353</v>
      </c>
      <c r="C47" s="1289" t="s">
        <v>354</v>
      </c>
      <c r="D47" s="1289" t="s">
        <v>768</v>
      </c>
      <c r="E47" s="24089"/>
      <c r="F47" s="24089"/>
      <c r="G47" s="24089"/>
      <c r="H47" s="24089"/>
      <c r="I47" s="24091"/>
      <c r="J47" s="24091"/>
      <c r="K47" s="24090" t="str">
        <f>J46&amp;".1"</f>
        <v>1.1.1.1.1.1</v>
      </c>
      <c r="L47" s="1290"/>
      <c r="P47" s="24092"/>
      <c r="Q47" s="24092"/>
      <c r="R47" s="293">
        <v>1</v>
      </c>
      <c r="S47" s="1419" t="str">
        <f>$K47</f>
        <v>1.1.1.1.1.1</v>
      </c>
      <c r="T47" s="1363"/>
      <c r="U47" s="236"/>
      <c r="V47" s="1286"/>
      <c r="W47" s="1286"/>
      <c r="X47" s="1286"/>
      <c r="Y47" s="1286"/>
      <c r="Z47" s="1286"/>
      <c r="AA47" s="1286"/>
      <c r="AB47" s="1286"/>
      <c r="AC47" s="24086"/>
      <c r="AD47" s="24085" t="s">
        <v>59</v>
      </c>
      <c r="AE47" s="24086"/>
      <c r="AF47" s="24085" t="s">
        <v>59</v>
      </c>
      <c r="AG47" s="687">
        <v>243.05</v>
      </c>
      <c r="AH47" s="687">
        <v>38.840000000000003</v>
      </c>
      <c r="AI47" s="687"/>
      <c r="AJ47" s="687"/>
      <c r="AK47" s="687">
        <v>3133.44</v>
      </c>
      <c r="AL47" s="687"/>
      <c r="AM47" s="687"/>
      <c r="AN47" s="24093" t="s">
        <v>9</v>
      </c>
      <c r="AO47" s="23957" t="s">
        <v>59</v>
      </c>
      <c r="AP47" s="24095" t="s">
        <v>770</v>
      </c>
      <c r="AQ47" s="23957" t="s">
        <v>59</v>
      </c>
      <c r="AR47" s="6310">
        <v>270.82</v>
      </c>
      <c r="AS47" s="6310">
        <v>42.72</v>
      </c>
      <c r="AT47" s="6310"/>
      <c r="AU47" s="6310"/>
      <c r="AV47" s="6310">
        <v>3500.05</v>
      </c>
      <c r="AW47" s="6310"/>
      <c r="AX47" s="6310"/>
      <c r="AY47" s="24185">
        <v>45474.576493055552</v>
      </c>
      <c r="AZ47" s="24205" t="s">
        <v>59</v>
      </c>
      <c r="BA47" s="24207">
        <v>45657.576643518521</v>
      </c>
      <c r="BB47" s="24205" t="s">
        <v>59</v>
      </c>
      <c r="BC47" s="6310">
        <f>AR47</f>
        <v>270.82</v>
      </c>
      <c r="BD47" s="6310">
        <f>AS47</f>
        <v>42.72</v>
      </c>
      <c r="BE47" s="687"/>
      <c r="BF47" s="687"/>
      <c r="BG47" s="687">
        <f>AV47</f>
        <v>3500.05</v>
      </c>
      <c r="BH47" s="687"/>
      <c r="BI47" s="687"/>
      <c r="BJ47" s="24093">
        <v>45658.576851851853</v>
      </c>
      <c r="BK47" s="23957" t="s">
        <v>59</v>
      </c>
      <c r="BL47" s="24095">
        <v>45838.576932870368</v>
      </c>
      <c r="BM47" s="23957" t="s">
        <v>59</v>
      </c>
      <c r="BN47" s="687">
        <v>306.5</v>
      </c>
      <c r="BO47" s="687">
        <v>51.26</v>
      </c>
      <c r="BP47" s="687"/>
      <c r="BQ47" s="687"/>
      <c r="BR47" s="687">
        <v>3916.55</v>
      </c>
      <c r="BS47" s="687"/>
      <c r="BT47" s="687"/>
      <c r="BU47" s="24093">
        <v>45839.577233796299</v>
      </c>
      <c r="BV47" s="23957" t="s">
        <v>59</v>
      </c>
      <c r="BW47" s="24095">
        <v>46022.577326388891</v>
      </c>
      <c r="BX47" s="23957" t="s">
        <v>59</v>
      </c>
      <c r="BY47" s="687">
        <v>299.45999999999998</v>
      </c>
      <c r="BZ47" s="687">
        <v>44.22</v>
      </c>
      <c r="CA47" s="687"/>
      <c r="CB47" s="687"/>
      <c r="CC47" s="687">
        <v>3916.55</v>
      </c>
      <c r="CD47" s="687"/>
      <c r="CE47" s="687"/>
      <c r="CF47" s="24185">
        <v>46023.577615740738</v>
      </c>
      <c r="CG47" s="23957" t="s">
        <v>59</v>
      </c>
      <c r="CH47" s="24207">
        <v>46295.577696759261</v>
      </c>
      <c r="CI47" s="23957" t="s">
        <v>59</v>
      </c>
      <c r="CJ47" s="687">
        <v>326.45999999999998</v>
      </c>
      <c r="CK47" s="687">
        <v>44.22</v>
      </c>
      <c r="CL47" s="687"/>
      <c r="CM47" s="687"/>
      <c r="CN47" s="687">
        <v>4330.76</v>
      </c>
      <c r="CO47" s="687"/>
      <c r="CP47" s="687"/>
      <c r="CQ47" s="24093">
        <v>46296.577916666669</v>
      </c>
      <c r="CR47" s="23957" t="s">
        <v>59</v>
      </c>
      <c r="CS47" s="24095">
        <v>46387.577986111108</v>
      </c>
      <c r="CT47" s="23957" t="s">
        <v>59</v>
      </c>
      <c r="CU47" s="687">
        <v>326.27999999999997</v>
      </c>
      <c r="CV47" s="687">
        <v>44.04</v>
      </c>
      <c r="CW47" s="687"/>
      <c r="CX47" s="687"/>
      <c r="CY47" s="687">
        <v>4330.76</v>
      </c>
      <c r="CZ47" s="687"/>
      <c r="DA47" s="687"/>
      <c r="DB47" s="24093">
        <v>46388.578263888892</v>
      </c>
      <c r="DC47" s="23957" t="s">
        <v>59</v>
      </c>
      <c r="DD47" s="24095">
        <v>46568.578356481485</v>
      </c>
      <c r="DE47" s="23957" t="s">
        <v>59</v>
      </c>
      <c r="DF47" s="687">
        <v>349.45</v>
      </c>
      <c r="DG47" s="687">
        <v>44.04</v>
      </c>
      <c r="DH47" s="687"/>
      <c r="DI47" s="687"/>
      <c r="DJ47" s="687">
        <v>4686.3900000000003</v>
      </c>
      <c r="DK47" s="687"/>
      <c r="DL47" s="687"/>
      <c r="DM47" s="24093">
        <v>46569.578773148147</v>
      </c>
      <c r="DN47" s="23957" t="s">
        <v>59</v>
      </c>
      <c r="DO47" s="24095">
        <v>46752.578923611109</v>
      </c>
      <c r="DP47" s="23957" t="s">
        <v>59</v>
      </c>
      <c r="DQ47" s="687">
        <v>305.41000000000003</v>
      </c>
      <c r="DR47" s="687"/>
      <c r="DS47" s="687"/>
      <c r="DT47" s="687"/>
      <c r="DU47" s="687">
        <v>4686.3900000000003</v>
      </c>
      <c r="DV47" s="687"/>
      <c r="DW47" s="687"/>
      <c r="DX47" s="24093">
        <v>46753.579212962963</v>
      </c>
      <c r="DY47" s="23957" t="s">
        <v>59</v>
      </c>
      <c r="DZ47" s="24095">
        <v>46934.579293981478</v>
      </c>
      <c r="EA47" s="23957" t="s">
        <v>59</v>
      </c>
      <c r="EB47" s="687">
        <v>326.45999999999998</v>
      </c>
      <c r="EC47" s="687"/>
      <c r="ED47" s="687"/>
      <c r="EE47" s="687"/>
      <c r="EF47" s="687">
        <v>5009.37</v>
      </c>
      <c r="EG47" s="687"/>
      <c r="EH47" s="687"/>
      <c r="EI47" s="24093">
        <v>46935.579571759263</v>
      </c>
      <c r="EJ47" s="23957" t="s">
        <v>59</v>
      </c>
      <c r="EK47" s="24095">
        <v>47118.579687500001</v>
      </c>
      <c r="EL47" s="23957" t="s">
        <v>6</v>
      </c>
      <c r="EM47" s="1286"/>
      <c r="EN47" s="1286"/>
      <c r="EO47" s="1286"/>
      <c r="EP47" s="1286"/>
      <c r="EQ47" s="1286"/>
      <c r="ER47" s="1286"/>
      <c r="ES47" s="1286"/>
      <c r="ET47" s="24086"/>
      <c r="EU47" s="24085" t="s">
        <v>59</v>
      </c>
      <c r="EV47" s="24086"/>
      <c r="EW47" s="24085" t="s">
        <v>59</v>
      </c>
      <c r="EX47" s="1286"/>
      <c r="EY47" s="1286"/>
      <c r="EZ47" s="1286"/>
      <c r="FA47" s="1286"/>
      <c r="FB47" s="1286"/>
      <c r="FC47" s="1286"/>
      <c r="FD47" s="1286"/>
      <c r="FE47" s="24086"/>
      <c r="FF47" s="24085" t="s">
        <v>59</v>
      </c>
      <c r="FG47" s="24086"/>
      <c r="FH47" s="24208" t="s">
        <v>59</v>
      </c>
      <c r="FI47" s="1286"/>
      <c r="FJ47" s="1286"/>
      <c r="FK47" s="1286"/>
      <c r="FL47" s="1286"/>
      <c r="FM47" s="1286"/>
      <c r="FN47" s="1286"/>
      <c r="FO47" s="1286"/>
      <c r="FP47" s="24086"/>
      <c r="FQ47" s="24085" t="s">
        <v>59</v>
      </c>
      <c r="FR47" s="24086"/>
      <c r="FS47" s="24085" t="s">
        <v>59</v>
      </c>
      <c r="FT47" s="1364"/>
      <c r="FU4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7" s="447" t="e">
        <f ca="1">STRCHECKDATE(V48:FT48)</f>
        <v>#NAME?</v>
      </c>
      <c r="FW47" s="436"/>
      <c r="FX47" s="436" t="str">
        <f t="shared" si="1"/>
        <v/>
      </c>
      <c r="FY47" s="436"/>
      <c r="FZ47" s="436"/>
      <c r="GA47" s="1081">
        <v>23</v>
      </c>
    </row>
    <row r="48" spans="1:183" ht="4.5" customHeight="1">
      <c r="A48" s="1289" t="s">
        <v>352</v>
      </c>
      <c r="B48" s="1289" t="s">
        <v>353</v>
      </c>
      <c r="C48" s="1289" t="s">
        <v>354</v>
      </c>
      <c r="D48" s="1289" t="s">
        <v>768</v>
      </c>
      <c r="E48" s="24089"/>
      <c r="F48" s="24089"/>
      <c r="G48" s="24089"/>
      <c r="H48" s="24089"/>
      <c r="I48" s="24091"/>
      <c r="J48" s="24091"/>
      <c r="K48" s="24090"/>
      <c r="L48" s="1290"/>
      <c r="P48" s="24092"/>
      <c r="Q48" s="24092"/>
      <c r="R48" s="293"/>
      <c r="S48" s="1416"/>
      <c r="T48" s="236"/>
      <c r="U48" s="236"/>
      <c r="V48" s="1286"/>
      <c r="W48" s="1286"/>
      <c r="X48" s="1286"/>
      <c r="Y48" s="1286"/>
      <c r="Z48" s="1286"/>
      <c r="AA48" s="1286"/>
      <c r="AB48" s="1286"/>
      <c r="AC48" s="24085"/>
      <c r="AD48" s="24085"/>
      <c r="AE48" s="24085"/>
      <c r="AF48" s="24085"/>
      <c r="AG48" s="261"/>
      <c r="AH48" s="261"/>
      <c r="AI48" s="261"/>
      <c r="AJ48" s="261"/>
      <c r="AK48" s="261"/>
      <c r="AL48" s="261"/>
      <c r="AM48" s="261"/>
      <c r="AN48" s="24094"/>
      <c r="AO48" s="23957"/>
      <c r="AP48" s="24096"/>
      <c r="AQ48" s="23957"/>
      <c r="AR48" s="6311"/>
      <c r="AS48" s="6311"/>
      <c r="AT48" s="6311"/>
      <c r="AU48" s="6311"/>
      <c r="AV48" s="6311"/>
      <c r="AW48" s="6311"/>
      <c r="AX48" s="6311"/>
      <c r="AY48" s="24186"/>
      <c r="AZ48" s="24205"/>
      <c r="BA48" s="24209"/>
      <c r="BB48" s="24205"/>
      <c r="BC48" s="6311"/>
      <c r="BD48" s="6311"/>
      <c r="BE48" s="261"/>
      <c r="BF48" s="261"/>
      <c r="BG48" s="261"/>
      <c r="BH48" s="261"/>
      <c r="BI48" s="261"/>
      <c r="BJ48" s="24094"/>
      <c r="BK48" s="23957"/>
      <c r="BL48" s="24096"/>
      <c r="BM48" s="23957"/>
      <c r="BN48" s="261"/>
      <c r="BO48" s="261"/>
      <c r="BP48" s="261"/>
      <c r="BQ48" s="261"/>
      <c r="BR48" s="261"/>
      <c r="BS48" s="261"/>
      <c r="BT48" s="261"/>
      <c r="BU48" s="24094"/>
      <c r="BV48" s="23957"/>
      <c r="BW48" s="24096"/>
      <c r="BX48" s="23957"/>
      <c r="BY48" s="261"/>
      <c r="BZ48" s="261"/>
      <c r="CA48" s="261"/>
      <c r="CB48" s="261"/>
      <c r="CC48" s="261"/>
      <c r="CD48" s="261"/>
      <c r="CE48" s="261"/>
      <c r="CF48" s="24094"/>
      <c r="CG48" s="23957"/>
      <c r="CH48" s="24096"/>
      <c r="CI48" s="23957"/>
      <c r="CJ48" s="261"/>
      <c r="CK48" s="261"/>
      <c r="CL48" s="261"/>
      <c r="CM48" s="261"/>
      <c r="CN48" s="261"/>
      <c r="CO48" s="261"/>
      <c r="CP48" s="261"/>
      <c r="CQ48" s="24094"/>
      <c r="CR48" s="23957"/>
      <c r="CS48" s="24096"/>
      <c r="CT48" s="23957"/>
      <c r="CU48" s="261"/>
      <c r="CV48" s="261"/>
      <c r="CW48" s="261"/>
      <c r="CX48" s="261"/>
      <c r="CY48" s="261"/>
      <c r="CZ48" s="261"/>
      <c r="DA48" s="261"/>
      <c r="DB48" s="24094"/>
      <c r="DC48" s="23957"/>
      <c r="DD48" s="24096"/>
      <c r="DE48" s="23957"/>
      <c r="DF48" s="261"/>
      <c r="DG48" s="261"/>
      <c r="DH48" s="261"/>
      <c r="DI48" s="261"/>
      <c r="DJ48" s="261"/>
      <c r="DK48" s="261"/>
      <c r="DL48" s="261"/>
      <c r="DM48" s="24094"/>
      <c r="DN48" s="23957"/>
      <c r="DO48" s="24096"/>
      <c r="DP48" s="23957"/>
      <c r="DQ48" s="261"/>
      <c r="DR48" s="261"/>
      <c r="DS48" s="261"/>
      <c r="DT48" s="261"/>
      <c r="DU48" s="261"/>
      <c r="DV48" s="261"/>
      <c r="DW48" s="261"/>
      <c r="DX48" s="24094"/>
      <c r="DY48" s="23957"/>
      <c r="DZ48" s="24096"/>
      <c r="EA48" s="23957"/>
      <c r="EB48" s="261"/>
      <c r="EC48" s="261"/>
      <c r="ED48" s="261"/>
      <c r="EE48" s="261"/>
      <c r="EF48" s="261"/>
      <c r="EG48" s="261"/>
      <c r="EH48" s="261"/>
      <c r="EI48" s="24094"/>
      <c r="EJ48" s="23957"/>
      <c r="EK48" s="24096"/>
      <c r="EL48" s="23957"/>
      <c r="EM48" s="1286"/>
      <c r="EN48" s="1286"/>
      <c r="EO48" s="1286"/>
      <c r="EP48" s="1286"/>
      <c r="EQ48" s="1286"/>
      <c r="ER48" s="1286"/>
      <c r="ES48" s="1286"/>
      <c r="ET48" s="24085"/>
      <c r="EU48" s="24085"/>
      <c r="EV48" s="24085"/>
      <c r="EW48" s="24085"/>
      <c r="EX48" s="1286"/>
      <c r="EY48" s="1286"/>
      <c r="EZ48" s="1286"/>
      <c r="FA48" s="1286"/>
      <c r="FB48" s="1286"/>
      <c r="FC48" s="1286"/>
      <c r="FD48" s="1286"/>
      <c r="FE48" s="24085"/>
      <c r="FF48" s="24085"/>
      <c r="FG48" s="24085"/>
      <c r="FH48" s="24208"/>
      <c r="FI48" s="1286"/>
      <c r="FJ48" s="1286"/>
      <c r="FK48" s="1286"/>
      <c r="FL48" s="1286"/>
      <c r="FM48" s="1286"/>
      <c r="FN48" s="1286"/>
      <c r="FO48" s="1286"/>
      <c r="FP48" s="24085"/>
      <c r="FQ48" s="24085"/>
      <c r="FR48" s="24085"/>
      <c r="FS48" s="24085"/>
      <c r="FT48" s="1365"/>
      <c r="FU48" s="24162"/>
      <c r="FW48" s="436"/>
      <c r="FX48" s="436" t="str">
        <f t="shared" si="1"/>
        <v/>
      </c>
      <c r="FY48" s="436"/>
      <c r="FZ48" s="436"/>
      <c r="GA48" s="1081">
        <v>0</v>
      </c>
    </row>
    <row r="49" spans="1:183" ht="21" customHeight="1">
      <c r="A49" s="1289" t="s">
        <v>352</v>
      </c>
      <c r="B49" s="1289" t="s">
        <v>353</v>
      </c>
      <c r="C49" s="1289" t="s">
        <v>354</v>
      </c>
      <c r="D49" s="1289" t="s">
        <v>768</v>
      </c>
      <c r="E49" s="24089"/>
      <c r="F49" s="24089"/>
      <c r="G49" s="24089"/>
      <c r="H49" s="24089"/>
      <c r="I49" s="24091"/>
      <c r="J49" s="24090"/>
      <c r="K49" s="1289"/>
      <c r="L49" s="1290"/>
      <c r="P49" s="24092"/>
      <c r="Q49" s="24092"/>
      <c r="R49" s="292"/>
      <c r="S49" s="1204"/>
      <c r="T49" s="223" t="s">
        <v>712</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6355"/>
      <c r="AS49" s="6356"/>
      <c r="AT49" s="6357"/>
      <c r="AU49" s="6358"/>
      <c r="AV49" s="6359"/>
      <c r="AW49" s="6360"/>
      <c r="AX49" s="6361"/>
      <c r="AY49" s="6362"/>
      <c r="AZ49" s="6363"/>
      <c r="BA49" s="6364"/>
      <c r="BB49" s="6365"/>
      <c r="BC49" s="6366"/>
      <c r="BD49" s="6367"/>
      <c r="BE49" s="8509"/>
      <c r="BF49" s="8510"/>
      <c r="BG49" s="21821"/>
      <c r="BH49" s="8511"/>
      <c r="BI49" s="8512"/>
      <c r="BJ49" s="8513"/>
      <c r="BK49" s="8514"/>
      <c r="BL49" s="8515"/>
      <c r="BM49" s="8516"/>
      <c r="BN49" s="2055"/>
      <c r="BO49" s="2056"/>
      <c r="BP49" s="8517"/>
      <c r="BQ49" s="8518"/>
      <c r="BR49" s="2057"/>
      <c r="BS49" s="8519"/>
      <c r="BT49" s="8520"/>
      <c r="BU49" s="8521"/>
      <c r="BV49" s="8522"/>
      <c r="BW49" s="8523"/>
      <c r="BX49" s="8524"/>
      <c r="BY49" s="8525"/>
      <c r="BZ49" s="8526"/>
      <c r="CA49" s="8527"/>
      <c r="CB49" s="8528"/>
      <c r="CC49" s="8529"/>
      <c r="CD49" s="8530"/>
      <c r="CE49" s="8531"/>
      <c r="CF49" s="8532"/>
      <c r="CG49" s="8533"/>
      <c r="CH49" s="8534"/>
      <c r="CI49" s="8535"/>
      <c r="CJ49" s="8536"/>
      <c r="CK49" s="8537"/>
      <c r="CL49" s="8538"/>
      <c r="CM49" s="8539"/>
      <c r="CN49" s="8540"/>
      <c r="CO49" s="8541"/>
      <c r="CP49" s="8542"/>
      <c r="CQ49" s="8543"/>
      <c r="CR49" s="8544"/>
      <c r="CS49" s="8545"/>
      <c r="CT49" s="8546"/>
      <c r="CU49" s="8547"/>
      <c r="CV49" s="8548"/>
      <c r="CW49" s="8549"/>
      <c r="CX49" s="8550"/>
      <c r="CY49" s="8551"/>
      <c r="CZ49" s="8552"/>
      <c r="DA49" s="8553"/>
      <c r="DB49" s="8554"/>
      <c r="DC49" s="8555"/>
      <c r="DD49" s="8556"/>
      <c r="DE49" s="8557"/>
      <c r="DF49" s="8558"/>
      <c r="DG49" s="8559"/>
      <c r="DH49" s="8560"/>
      <c r="DI49" s="8561"/>
      <c r="DJ49" s="8562"/>
      <c r="DK49" s="8563"/>
      <c r="DL49" s="8564"/>
      <c r="DM49" s="8565"/>
      <c r="DN49" s="8566"/>
      <c r="DO49" s="8567"/>
      <c r="DP49" s="8568"/>
      <c r="DQ49" s="8569"/>
      <c r="DR49" s="8570"/>
      <c r="DS49" s="8571"/>
      <c r="DT49" s="8572"/>
      <c r="DU49" s="8573"/>
      <c r="DV49" s="8574"/>
      <c r="DW49" s="8575"/>
      <c r="DX49" s="8576"/>
      <c r="DY49" s="8577"/>
      <c r="DZ49" s="8578"/>
      <c r="EA49" s="8579"/>
      <c r="EB49" s="8580"/>
      <c r="EC49" s="8581"/>
      <c r="ED49" s="8582"/>
      <c r="EE49" s="8583"/>
      <c r="EF49" s="8584"/>
      <c r="EG49" s="8585"/>
      <c r="EH49" s="8586"/>
      <c r="EI49" s="8587"/>
      <c r="EJ49" s="8588"/>
      <c r="EK49" s="8589"/>
      <c r="EL49" s="8590"/>
      <c r="EM49" s="21419"/>
      <c r="EN49" s="21420"/>
      <c r="EO49" s="8591"/>
      <c r="EP49" s="8592"/>
      <c r="EQ49" s="21421"/>
      <c r="ER49" s="8593"/>
      <c r="ES49" s="8594"/>
      <c r="ET49" s="8595"/>
      <c r="EU49" s="8596"/>
      <c r="EV49" s="8597"/>
      <c r="EW49" s="8598"/>
      <c r="EX49" s="2058"/>
      <c r="EY49" s="2059"/>
      <c r="EZ49" s="8599"/>
      <c r="FA49" s="8600"/>
      <c r="FB49" s="2060"/>
      <c r="FC49" s="8601"/>
      <c r="FD49" s="8602"/>
      <c r="FE49" s="8603"/>
      <c r="FF49" s="8604"/>
      <c r="FG49" s="8605"/>
      <c r="FH49" s="5661"/>
      <c r="FI49" s="22416"/>
      <c r="FJ49" s="22417"/>
      <c r="FK49" s="23247"/>
      <c r="FL49" s="23248"/>
      <c r="FM49" s="22418"/>
      <c r="FN49" s="23249"/>
      <c r="FO49" s="23250"/>
      <c r="FP49" s="22419"/>
      <c r="FQ49" s="22420"/>
      <c r="FR49" s="22421"/>
      <c r="FS49" s="23251"/>
      <c r="FT49" s="303"/>
      <c r="FU49" s="1184" t="s">
        <v>713</v>
      </c>
      <c r="FW49" s="436"/>
      <c r="FX49" s="436" t="str">
        <f t="shared" si="1"/>
        <v>Добавить значение признака дифференциации</v>
      </c>
      <c r="FY49" s="436"/>
      <c r="FZ49" s="436"/>
      <c r="GA49" s="1081">
        <v>20</v>
      </c>
    </row>
    <row r="50" spans="1:183" s="1747" customFormat="1" ht="23.25" customHeight="1">
      <c r="A50" s="1289"/>
      <c r="B50" s="1289"/>
      <c r="C50" s="1289"/>
      <c r="D50" s="1289"/>
      <c r="E50" s="24089"/>
      <c r="F50" s="24089"/>
      <c r="G50" s="24089"/>
      <c r="H50" s="24089"/>
      <c r="I50" s="24091"/>
      <c r="J50" s="24090" t="str">
        <f>I45&amp;".2"</f>
        <v>1.1.1.1.2</v>
      </c>
      <c r="K50" s="1289"/>
      <c r="L50" s="1295" t="s">
        <v>635</v>
      </c>
      <c r="M50" s="1674"/>
      <c r="N50" s="1674"/>
      <c r="O50" s="1674"/>
      <c r="P50" s="24092"/>
      <c r="Q50" s="24206" t="s">
        <v>96</v>
      </c>
      <c r="R50" s="293"/>
      <c r="S50" s="1976" t="str">
        <f>$J50</f>
        <v>1.1.1.1.2</v>
      </c>
      <c r="T50" s="222" t="s">
        <v>636</v>
      </c>
      <c r="U50" s="236"/>
      <c r="V50" s="24076"/>
      <c r="W50" s="24077"/>
      <c r="X50" s="24077"/>
      <c r="Y50" s="24077"/>
      <c r="Z50" s="24077"/>
      <c r="AA50" s="24077"/>
      <c r="AB50" s="24077"/>
      <c r="AC50" s="24077"/>
      <c r="AD50" s="24077"/>
      <c r="AE50" s="24077"/>
      <c r="AF50" s="24078"/>
      <c r="AG50" s="24076" t="s">
        <v>771</v>
      </c>
      <c r="AH50" s="24077"/>
      <c r="AI50" s="24077"/>
      <c r="AJ50" s="24077"/>
      <c r="AK50" s="24077"/>
      <c r="AL50" s="24077"/>
      <c r="AM50" s="24077"/>
      <c r="AN50" s="24077"/>
      <c r="AO50" s="24077"/>
      <c r="AP50" s="24077"/>
      <c r="AQ50" s="24077"/>
      <c r="AR50" s="24179"/>
      <c r="AS50" s="24180"/>
      <c r="AT50" s="24180"/>
      <c r="AU50" s="24180"/>
      <c r="AV50" s="24180"/>
      <c r="AW50" s="24180"/>
      <c r="AX50" s="24180"/>
      <c r="AY50" s="24180"/>
      <c r="AZ50" s="24180"/>
      <c r="BA50" s="24180"/>
      <c r="BB50" s="24181"/>
      <c r="BC50" s="24179"/>
      <c r="BD50" s="24180"/>
      <c r="BE50" s="24180"/>
      <c r="BF50" s="24180"/>
      <c r="BG50" s="24180"/>
      <c r="BH50" s="24180"/>
      <c r="BI50" s="24180"/>
      <c r="BJ50" s="24180"/>
      <c r="BK50" s="24180"/>
      <c r="BL50" s="24180"/>
      <c r="BM50" s="24181"/>
      <c r="BN50" s="24076"/>
      <c r="BO50" s="24077"/>
      <c r="BP50" s="24180"/>
      <c r="BQ50" s="24180"/>
      <c r="BR50" s="24077"/>
      <c r="BS50" s="24180"/>
      <c r="BT50" s="24180"/>
      <c r="BU50" s="24180"/>
      <c r="BV50" s="24180"/>
      <c r="BW50" s="24180"/>
      <c r="BX50" s="24181"/>
      <c r="BY50" s="24179"/>
      <c r="BZ50" s="24180"/>
      <c r="CA50" s="24180"/>
      <c r="CB50" s="24180"/>
      <c r="CC50" s="24180"/>
      <c r="CD50" s="24180"/>
      <c r="CE50" s="24180"/>
      <c r="CF50" s="24180"/>
      <c r="CG50" s="24180"/>
      <c r="CH50" s="24180"/>
      <c r="CI50" s="24181"/>
      <c r="CJ50" s="24179"/>
      <c r="CK50" s="24180"/>
      <c r="CL50" s="24180"/>
      <c r="CM50" s="24180"/>
      <c r="CN50" s="24180"/>
      <c r="CO50" s="24180"/>
      <c r="CP50" s="24180"/>
      <c r="CQ50" s="24180"/>
      <c r="CR50" s="24180"/>
      <c r="CS50" s="24180"/>
      <c r="CT50" s="24181"/>
      <c r="CU50" s="24179"/>
      <c r="CV50" s="24180"/>
      <c r="CW50" s="24180"/>
      <c r="CX50" s="24180"/>
      <c r="CY50" s="24180"/>
      <c r="CZ50" s="24180"/>
      <c r="DA50" s="24180"/>
      <c r="DB50" s="24180"/>
      <c r="DC50" s="24180"/>
      <c r="DD50" s="24180"/>
      <c r="DE50" s="24181"/>
      <c r="DF50" s="24179"/>
      <c r="DG50" s="24180"/>
      <c r="DH50" s="24180"/>
      <c r="DI50" s="24180"/>
      <c r="DJ50" s="24180"/>
      <c r="DK50" s="24180"/>
      <c r="DL50" s="24180"/>
      <c r="DM50" s="24180"/>
      <c r="DN50" s="24180"/>
      <c r="DO50" s="24180"/>
      <c r="DP50" s="24181"/>
      <c r="DQ50" s="24179"/>
      <c r="DR50" s="24180"/>
      <c r="DS50" s="24180"/>
      <c r="DT50" s="24180"/>
      <c r="DU50" s="24180"/>
      <c r="DV50" s="24180"/>
      <c r="DW50" s="24180"/>
      <c r="DX50" s="24180"/>
      <c r="DY50" s="24180"/>
      <c r="DZ50" s="24180"/>
      <c r="EA50" s="24181"/>
      <c r="EB50" s="24179"/>
      <c r="EC50" s="24180"/>
      <c r="ED50" s="24180"/>
      <c r="EE50" s="24180"/>
      <c r="EF50" s="24180"/>
      <c r="EG50" s="24180"/>
      <c r="EH50" s="24180"/>
      <c r="EI50" s="24180"/>
      <c r="EJ50" s="24180"/>
      <c r="EK50" s="24180"/>
      <c r="EL50" s="24181"/>
      <c r="EM50" s="24179"/>
      <c r="EN50" s="24180"/>
      <c r="EO50" s="24180"/>
      <c r="EP50" s="24180"/>
      <c r="EQ50" s="24180"/>
      <c r="ER50" s="24180"/>
      <c r="ES50" s="24180"/>
      <c r="ET50" s="24180"/>
      <c r="EU50" s="24180"/>
      <c r="EV50" s="24180"/>
      <c r="EW50" s="24181"/>
      <c r="EX50" s="24076"/>
      <c r="EY50" s="24077"/>
      <c r="EZ50" s="24180"/>
      <c r="FA50" s="24180"/>
      <c r="FB50" s="24077"/>
      <c r="FC50" s="24180"/>
      <c r="FD50" s="24180"/>
      <c r="FE50" s="24180"/>
      <c r="FF50" s="24180"/>
      <c r="FG50" s="24180"/>
      <c r="FH50" s="24181"/>
      <c r="FI50" s="24076"/>
      <c r="FJ50" s="24077"/>
      <c r="FK50" s="24180"/>
      <c r="FL50" s="24180"/>
      <c r="FM50" s="24077"/>
      <c r="FN50" s="24180"/>
      <c r="FO50" s="24180"/>
      <c r="FP50" s="24077"/>
      <c r="FQ50" s="24077"/>
      <c r="FR50" s="24077"/>
      <c r="FS50" s="24181"/>
      <c r="FT50" s="24078"/>
      <c r="FU50" s="1233" t="s">
        <v>711</v>
      </c>
      <c r="FV50" s="1568"/>
      <c r="FW50" s="1550"/>
      <c r="FX50" s="1550" t="str">
        <f t="shared" si="1"/>
        <v>Группа потребителей</v>
      </c>
      <c r="FY50" s="1550"/>
      <c r="FZ50" s="1550"/>
      <c r="GA50" s="1561">
        <v>0</v>
      </c>
    </row>
    <row r="51" spans="1:183" s="1747" customFormat="1" ht="23.25" customHeight="1">
      <c r="A51" s="1289"/>
      <c r="B51" s="1289"/>
      <c r="C51" s="1289"/>
      <c r="D51" s="1289"/>
      <c r="E51" s="24089"/>
      <c r="F51" s="24089"/>
      <c r="G51" s="24089"/>
      <c r="H51" s="24089"/>
      <c r="I51" s="24091"/>
      <c r="J51" s="24091" t="str">
        <f>I45&amp;".1"</f>
        <v>1.1.1.1.1</v>
      </c>
      <c r="K51" s="24090" t="str">
        <f>J50&amp;".1"</f>
        <v>1.1.1.1.2.1</v>
      </c>
      <c r="L51" s="1295"/>
      <c r="M51" s="1674"/>
      <c r="N51" s="1674"/>
      <c r="O51" s="1674"/>
      <c r="P51" s="24092"/>
      <c r="Q51" s="24092"/>
      <c r="R51" s="293">
        <v>1</v>
      </c>
      <c r="S51" s="1976" t="str">
        <f>$K51</f>
        <v>1.1.1.1.2.1</v>
      </c>
      <c r="T51" s="1363"/>
      <c r="U51" s="236"/>
      <c r="V51" s="1286"/>
      <c r="W51" s="1286"/>
      <c r="X51" s="1286"/>
      <c r="Y51" s="1286"/>
      <c r="Z51" s="1286"/>
      <c r="AA51" s="1286"/>
      <c r="AB51" s="1286"/>
      <c r="AC51" s="24086"/>
      <c r="AD51" s="24085" t="s">
        <v>59</v>
      </c>
      <c r="AE51" s="24086"/>
      <c r="AF51" s="24085" t="s">
        <v>59</v>
      </c>
      <c r="AG51" s="687">
        <v>214.14</v>
      </c>
      <c r="AH51" s="687">
        <v>46.61</v>
      </c>
      <c r="AI51" s="687"/>
      <c r="AJ51" s="687"/>
      <c r="AK51" s="687">
        <v>2570.6999999999998</v>
      </c>
      <c r="AL51" s="687"/>
      <c r="AM51" s="687"/>
      <c r="AN51" s="24093" t="s">
        <v>9</v>
      </c>
      <c r="AO51" s="23957" t="s">
        <v>59</v>
      </c>
      <c r="AP51" s="24095" t="s">
        <v>770</v>
      </c>
      <c r="AQ51" s="23957" t="s">
        <v>59</v>
      </c>
      <c r="AR51" s="687">
        <v>235.55</v>
      </c>
      <c r="AS51" s="687">
        <v>51.26</v>
      </c>
      <c r="AT51" s="687"/>
      <c r="AU51" s="687"/>
      <c r="AV51" s="687">
        <v>2827.78</v>
      </c>
      <c r="AW51" s="687"/>
      <c r="AX51" s="687"/>
      <c r="AY51" s="24093" t="s">
        <v>772</v>
      </c>
      <c r="AZ51" s="23957" t="s">
        <v>59</v>
      </c>
      <c r="BA51" s="24093" t="s">
        <v>773</v>
      </c>
      <c r="BB51" s="23957" t="s">
        <v>59</v>
      </c>
      <c r="BC51" s="687">
        <v>235.55</v>
      </c>
      <c r="BD51" s="687">
        <v>51.26</v>
      </c>
      <c r="BE51" s="687"/>
      <c r="BF51" s="687"/>
      <c r="BG51" s="687">
        <v>2827.78</v>
      </c>
      <c r="BH51" s="687"/>
      <c r="BI51" s="687"/>
      <c r="BJ51" s="24093" t="s">
        <v>774</v>
      </c>
      <c r="BK51" s="23957" t="s">
        <v>59</v>
      </c>
      <c r="BL51" s="24093" t="s">
        <v>775</v>
      </c>
      <c r="BM51" s="23957" t="s">
        <v>59</v>
      </c>
      <c r="BN51" s="687">
        <v>262.38</v>
      </c>
      <c r="BO51" s="687">
        <v>61.51</v>
      </c>
      <c r="BP51" s="687"/>
      <c r="BQ51" s="687"/>
      <c r="BR51" s="687">
        <v>3082.27</v>
      </c>
      <c r="BS51" s="687"/>
      <c r="BT51" s="687"/>
      <c r="BU51" s="24093" t="s">
        <v>776</v>
      </c>
      <c r="BV51" s="23957" t="s">
        <v>59</v>
      </c>
      <c r="BW51" s="24093" t="s">
        <v>777</v>
      </c>
      <c r="BX51" s="23957" t="s">
        <v>59</v>
      </c>
      <c r="BY51" s="687">
        <v>266.85000000000002</v>
      </c>
      <c r="BZ51" s="687">
        <v>53.95</v>
      </c>
      <c r="CA51" s="687"/>
      <c r="CB51" s="687"/>
      <c r="CC51" s="687">
        <v>3266.79</v>
      </c>
      <c r="CD51" s="687"/>
      <c r="CE51" s="687"/>
      <c r="CF51" s="24093" t="s">
        <v>778</v>
      </c>
      <c r="CG51" s="23957" t="s">
        <v>59</v>
      </c>
      <c r="CH51" s="24185">
        <v>46295</v>
      </c>
      <c r="CI51" s="23957" t="s">
        <v>59</v>
      </c>
      <c r="CJ51" s="687">
        <v>298.77999999999997</v>
      </c>
      <c r="CK51" s="687">
        <v>53.95</v>
      </c>
      <c r="CL51" s="687"/>
      <c r="CM51" s="687"/>
      <c r="CN51" s="687">
        <v>3756.82</v>
      </c>
      <c r="CO51" s="687"/>
      <c r="CP51" s="687"/>
      <c r="CQ51" s="24093">
        <v>46296</v>
      </c>
      <c r="CR51" s="23957" t="s">
        <v>59</v>
      </c>
      <c r="CS51" s="24093" t="s">
        <v>779</v>
      </c>
      <c r="CT51" s="23957" t="s">
        <v>59</v>
      </c>
      <c r="CU51" s="687">
        <v>298.56</v>
      </c>
      <c r="CV51" s="687">
        <v>53.73</v>
      </c>
      <c r="CW51" s="687"/>
      <c r="CX51" s="687"/>
      <c r="CY51" s="687">
        <v>3756.82</v>
      </c>
      <c r="CZ51" s="687"/>
      <c r="DA51" s="687"/>
      <c r="DB51" s="24093" t="s">
        <v>780</v>
      </c>
      <c r="DC51" s="23957" t="s">
        <v>59</v>
      </c>
      <c r="DD51" s="24093" t="s">
        <v>781</v>
      </c>
      <c r="DE51" s="23957" t="s">
        <v>59</v>
      </c>
      <c r="DF51" s="687">
        <v>319.86</v>
      </c>
      <c r="DG51" s="687">
        <v>53.73</v>
      </c>
      <c r="DH51" s="687"/>
      <c r="DI51" s="687"/>
      <c r="DJ51" s="687">
        <v>4083.66</v>
      </c>
      <c r="DK51" s="687"/>
      <c r="DL51" s="687"/>
      <c r="DM51" s="24093" t="s">
        <v>782</v>
      </c>
      <c r="DN51" s="23957" t="s">
        <v>59</v>
      </c>
      <c r="DO51" s="24093" t="s">
        <v>783</v>
      </c>
      <c r="DP51" s="23957" t="s">
        <v>59</v>
      </c>
      <c r="DQ51" s="687">
        <v>266.13</v>
      </c>
      <c r="DR51" s="687">
        <v>0</v>
      </c>
      <c r="DS51" s="687"/>
      <c r="DT51" s="687"/>
      <c r="DU51" s="687">
        <v>4083.66</v>
      </c>
      <c r="DV51" s="687"/>
      <c r="DW51" s="687"/>
      <c r="DX51" s="24093" t="s">
        <v>784</v>
      </c>
      <c r="DY51" s="23957" t="s">
        <v>59</v>
      </c>
      <c r="DZ51" s="24093" t="s">
        <v>785</v>
      </c>
      <c r="EA51" s="23957" t="s">
        <v>59</v>
      </c>
      <c r="EB51" s="687">
        <v>285.02999999999997</v>
      </c>
      <c r="EC51" s="687">
        <v>0</v>
      </c>
      <c r="ED51" s="687"/>
      <c r="EE51" s="687"/>
      <c r="EF51" s="687">
        <v>4373.6000000000004</v>
      </c>
      <c r="EG51" s="687"/>
      <c r="EH51" s="687"/>
      <c r="EI51" s="24093" t="s">
        <v>786</v>
      </c>
      <c r="EJ51" s="23957" t="s">
        <v>59</v>
      </c>
      <c r="EK51" s="24093" t="s">
        <v>787</v>
      </c>
      <c r="EL51" s="23957" t="s">
        <v>6</v>
      </c>
      <c r="EM51" s="1286"/>
      <c r="EN51" s="1286"/>
      <c r="EO51" s="1286"/>
      <c r="EP51" s="1286"/>
      <c r="EQ51" s="1286"/>
      <c r="ER51" s="1286"/>
      <c r="ES51" s="1286"/>
      <c r="ET51" s="24086"/>
      <c r="EU51" s="24085" t="s">
        <v>59</v>
      </c>
      <c r="EV51" s="24086"/>
      <c r="EW51" s="24085" t="s">
        <v>59</v>
      </c>
      <c r="EX51" s="1286"/>
      <c r="EY51" s="1286"/>
      <c r="EZ51" s="1286"/>
      <c r="FA51" s="1286"/>
      <c r="FB51" s="1286"/>
      <c r="FC51" s="1286"/>
      <c r="FD51" s="1286"/>
      <c r="FE51" s="24086"/>
      <c r="FF51" s="24085" t="s">
        <v>59</v>
      </c>
      <c r="FG51" s="24086"/>
      <c r="FH51" s="24085" t="s">
        <v>59</v>
      </c>
      <c r="FI51" s="1286"/>
      <c r="FJ51" s="1286"/>
      <c r="FK51" s="1286"/>
      <c r="FL51" s="1286"/>
      <c r="FM51" s="1286"/>
      <c r="FN51" s="1286"/>
      <c r="FO51" s="1286"/>
      <c r="FP51" s="24086"/>
      <c r="FQ51" s="24085" t="s">
        <v>59</v>
      </c>
      <c r="FR51" s="24086"/>
      <c r="FS51" s="24085" t="s">
        <v>59</v>
      </c>
      <c r="FT51" s="1364"/>
      <c r="FU5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51" s="1568" t="e">
        <f ca="1">STRCHECKDATE(V52:FT52)</f>
        <v>#NAME?</v>
      </c>
      <c r="FW51" s="1550"/>
      <c r="FX51" s="1550" t="str">
        <f t="shared" si="1"/>
        <v/>
      </c>
      <c r="FY51" s="1550"/>
      <c r="FZ51" s="1550"/>
      <c r="GA51" s="1561">
        <v>0</v>
      </c>
    </row>
    <row r="52" spans="1:183" s="1747" customFormat="1" ht="14.25" customHeight="1">
      <c r="A52" s="1289"/>
      <c r="B52" s="1289"/>
      <c r="C52" s="1289"/>
      <c r="D52" s="1289"/>
      <c r="E52" s="24089"/>
      <c r="F52" s="24089"/>
      <c r="G52" s="24089"/>
      <c r="H52" s="24089"/>
      <c r="I52" s="24091"/>
      <c r="J52" s="24091" t="str">
        <f>I45&amp;".1"</f>
        <v>1.1.1.1.1</v>
      </c>
      <c r="K52" s="24090"/>
      <c r="L52" s="1295"/>
      <c r="M52" s="1674"/>
      <c r="N52" s="1674"/>
      <c r="O52" s="1674"/>
      <c r="P52" s="24092"/>
      <c r="Q52" s="24092"/>
      <c r="R52" s="293"/>
      <c r="S52" s="1982"/>
      <c r="T52" s="236"/>
      <c r="U52" s="236"/>
      <c r="V52" s="1286"/>
      <c r="W52" s="1286"/>
      <c r="X52" s="1286"/>
      <c r="Y52" s="1286"/>
      <c r="Z52" s="1286"/>
      <c r="AA52" s="1286"/>
      <c r="AB52" s="1286"/>
      <c r="AC52" s="24085"/>
      <c r="AD52" s="24085"/>
      <c r="AE52" s="24085"/>
      <c r="AF52" s="24085"/>
      <c r="AG52" s="261"/>
      <c r="AH52" s="261"/>
      <c r="AI52" s="261"/>
      <c r="AJ52" s="261"/>
      <c r="AK52" s="261"/>
      <c r="AL52" s="261"/>
      <c r="AM52" s="261"/>
      <c r="AN52" s="24094"/>
      <c r="AO52" s="23957"/>
      <c r="AP52" s="24096"/>
      <c r="AQ52" s="23957"/>
      <c r="AR52" s="261"/>
      <c r="AS52" s="261"/>
      <c r="AT52" s="261"/>
      <c r="AU52" s="261"/>
      <c r="AV52" s="261"/>
      <c r="AW52" s="261"/>
      <c r="AX52" s="261"/>
      <c r="AY52" s="24094"/>
      <c r="AZ52" s="23957"/>
      <c r="BA52" s="24094"/>
      <c r="BB52" s="23957"/>
      <c r="BC52" s="261"/>
      <c r="BD52" s="261"/>
      <c r="BE52" s="261"/>
      <c r="BF52" s="261"/>
      <c r="BG52" s="261"/>
      <c r="BH52" s="261"/>
      <c r="BI52" s="261"/>
      <c r="BJ52" s="24094"/>
      <c r="BK52" s="23957"/>
      <c r="BL52" s="24094"/>
      <c r="BM52" s="23957"/>
      <c r="BN52" s="261"/>
      <c r="BO52" s="261"/>
      <c r="BP52" s="261"/>
      <c r="BQ52" s="261"/>
      <c r="BR52" s="261"/>
      <c r="BS52" s="261"/>
      <c r="BT52" s="261"/>
      <c r="BU52" s="24094"/>
      <c r="BV52" s="23957"/>
      <c r="BW52" s="24094"/>
      <c r="BX52" s="23957"/>
      <c r="BY52" s="261"/>
      <c r="BZ52" s="261"/>
      <c r="CA52" s="261"/>
      <c r="CB52" s="261"/>
      <c r="CC52" s="261"/>
      <c r="CD52" s="261"/>
      <c r="CE52" s="261"/>
      <c r="CF52" s="24094"/>
      <c r="CG52" s="23957"/>
      <c r="CH52" s="24094"/>
      <c r="CI52" s="23957"/>
      <c r="CJ52" s="261"/>
      <c r="CK52" s="261"/>
      <c r="CL52" s="261"/>
      <c r="CM52" s="261"/>
      <c r="CN52" s="261"/>
      <c r="CO52" s="261"/>
      <c r="CP52" s="261"/>
      <c r="CQ52" s="24094"/>
      <c r="CR52" s="23957"/>
      <c r="CS52" s="24094"/>
      <c r="CT52" s="23957"/>
      <c r="CU52" s="261"/>
      <c r="CV52" s="261"/>
      <c r="CW52" s="261"/>
      <c r="CX52" s="261"/>
      <c r="CY52" s="261"/>
      <c r="CZ52" s="261"/>
      <c r="DA52" s="261"/>
      <c r="DB52" s="24094"/>
      <c r="DC52" s="23957"/>
      <c r="DD52" s="24094"/>
      <c r="DE52" s="23957"/>
      <c r="DF52" s="261"/>
      <c r="DG52" s="261"/>
      <c r="DH52" s="261"/>
      <c r="DI52" s="261"/>
      <c r="DJ52" s="261"/>
      <c r="DK52" s="261"/>
      <c r="DL52" s="261"/>
      <c r="DM52" s="24094"/>
      <c r="DN52" s="23957"/>
      <c r="DO52" s="24094"/>
      <c r="DP52" s="23957"/>
      <c r="DQ52" s="261"/>
      <c r="DR52" s="261"/>
      <c r="DS52" s="261"/>
      <c r="DT52" s="261"/>
      <c r="DU52" s="261"/>
      <c r="DV52" s="261"/>
      <c r="DW52" s="261"/>
      <c r="DX52" s="24094"/>
      <c r="DY52" s="23957"/>
      <c r="DZ52" s="24094"/>
      <c r="EA52" s="23957"/>
      <c r="EB52" s="261"/>
      <c r="EC52" s="261"/>
      <c r="ED52" s="261"/>
      <c r="EE52" s="261"/>
      <c r="EF52" s="261"/>
      <c r="EG52" s="261"/>
      <c r="EH52" s="261"/>
      <c r="EI52" s="24094"/>
      <c r="EJ52" s="23957"/>
      <c r="EK52" s="24094"/>
      <c r="EL52" s="23957"/>
      <c r="EM52" s="1286"/>
      <c r="EN52" s="1286"/>
      <c r="EO52" s="1286"/>
      <c r="EP52" s="1286"/>
      <c r="EQ52" s="1286"/>
      <c r="ER52" s="1286"/>
      <c r="ES52" s="1286"/>
      <c r="ET52" s="24085"/>
      <c r="EU52" s="24085"/>
      <c r="EV52" s="24085"/>
      <c r="EW52" s="24085"/>
      <c r="EX52" s="1286"/>
      <c r="EY52" s="1286"/>
      <c r="EZ52" s="1286"/>
      <c r="FA52" s="1286"/>
      <c r="FB52" s="1286"/>
      <c r="FC52" s="1286"/>
      <c r="FD52" s="1286"/>
      <c r="FE52" s="24085"/>
      <c r="FF52" s="24085"/>
      <c r="FG52" s="24085"/>
      <c r="FH52" s="24085"/>
      <c r="FI52" s="1286"/>
      <c r="FJ52" s="1286"/>
      <c r="FK52" s="1286"/>
      <c r="FL52" s="1286"/>
      <c r="FM52" s="1286"/>
      <c r="FN52" s="1286"/>
      <c r="FO52" s="1286"/>
      <c r="FP52" s="24085"/>
      <c r="FQ52" s="24085"/>
      <c r="FR52" s="24085"/>
      <c r="FS52" s="24085"/>
      <c r="FT52" s="1365"/>
      <c r="FU52" s="24162"/>
      <c r="FV52" s="1568"/>
      <c r="FW52" s="1550"/>
      <c r="FX52" s="1550" t="str">
        <f t="shared" si="1"/>
        <v/>
      </c>
      <c r="FY52" s="1550"/>
      <c r="FZ52" s="1550"/>
      <c r="GA52" s="1561">
        <v>0</v>
      </c>
    </row>
    <row r="53" spans="1:183" s="1747" customFormat="1" ht="21" customHeight="1">
      <c r="A53" s="1289"/>
      <c r="B53" s="1289"/>
      <c r="C53" s="1289"/>
      <c r="D53" s="1289"/>
      <c r="E53" s="24089"/>
      <c r="F53" s="24089"/>
      <c r="G53" s="24089"/>
      <c r="H53" s="24089"/>
      <c r="I53" s="24091"/>
      <c r="J53" s="24090" t="str">
        <f>I45&amp;".1"</f>
        <v>1.1.1.1.1</v>
      </c>
      <c r="K53" s="1289"/>
      <c r="L53" s="1295"/>
      <c r="M53" s="1674"/>
      <c r="N53" s="1674"/>
      <c r="O53" s="1674"/>
      <c r="P53" s="24092"/>
      <c r="Q53" s="24092"/>
      <c r="R53" s="292"/>
      <c r="S53" s="2061"/>
      <c r="T53" s="2062" t="s">
        <v>712</v>
      </c>
      <c r="U53" s="2063"/>
      <c r="V53" s="2064"/>
      <c r="W53" s="2065"/>
      <c r="X53" s="2066"/>
      <c r="Y53" s="2067"/>
      <c r="Z53" s="2068"/>
      <c r="AA53" s="2069"/>
      <c r="AB53" s="2070"/>
      <c r="AC53" s="2071"/>
      <c r="AD53" s="2072"/>
      <c r="AE53" s="2073"/>
      <c r="AF53" s="2074"/>
      <c r="AG53" s="2075"/>
      <c r="AH53" s="2076"/>
      <c r="AI53" s="2077"/>
      <c r="AJ53" s="2078"/>
      <c r="AK53" s="2079"/>
      <c r="AL53" s="2080"/>
      <c r="AM53" s="2081"/>
      <c r="AN53" s="2082"/>
      <c r="AO53" s="2083"/>
      <c r="AP53" s="2084"/>
      <c r="AQ53" s="2085"/>
      <c r="AR53" s="6368"/>
      <c r="AS53" s="6369"/>
      <c r="AT53" s="6370"/>
      <c r="AU53" s="6371"/>
      <c r="AV53" s="6372"/>
      <c r="AW53" s="6373"/>
      <c r="AX53" s="6374"/>
      <c r="AY53" s="6375"/>
      <c r="AZ53" s="6376"/>
      <c r="BA53" s="6377"/>
      <c r="BB53" s="6378"/>
      <c r="BC53" s="6379"/>
      <c r="BD53" s="6380"/>
      <c r="BE53" s="8606"/>
      <c r="BF53" s="8607"/>
      <c r="BG53" s="21822"/>
      <c r="BH53" s="8608"/>
      <c r="BI53" s="8609"/>
      <c r="BJ53" s="8610"/>
      <c r="BK53" s="8611"/>
      <c r="BL53" s="8612"/>
      <c r="BM53" s="8613"/>
      <c r="BN53" s="2086"/>
      <c r="BO53" s="2087"/>
      <c r="BP53" s="8614"/>
      <c r="BQ53" s="8615"/>
      <c r="BR53" s="2088"/>
      <c r="BS53" s="8616"/>
      <c r="BT53" s="8617"/>
      <c r="BU53" s="8618"/>
      <c r="BV53" s="8619"/>
      <c r="BW53" s="8620"/>
      <c r="BX53" s="8621"/>
      <c r="BY53" s="8622"/>
      <c r="BZ53" s="8623"/>
      <c r="CA53" s="8624"/>
      <c r="CB53" s="8625"/>
      <c r="CC53" s="8626"/>
      <c r="CD53" s="8627"/>
      <c r="CE53" s="8628"/>
      <c r="CF53" s="8629"/>
      <c r="CG53" s="8630"/>
      <c r="CH53" s="8631"/>
      <c r="CI53" s="8632"/>
      <c r="CJ53" s="8633"/>
      <c r="CK53" s="8634"/>
      <c r="CL53" s="8635"/>
      <c r="CM53" s="8636"/>
      <c r="CN53" s="8637"/>
      <c r="CO53" s="8638"/>
      <c r="CP53" s="8639"/>
      <c r="CQ53" s="8640"/>
      <c r="CR53" s="8641"/>
      <c r="CS53" s="8642"/>
      <c r="CT53" s="8643"/>
      <c r="CU53" s="8644"/>
      <c r="CV53" s="8645"/>
      <c r="CW53" s="8646"/>
      <c r="CX53" s="8647"/>
      <c r="CY53" s="8648"/>
      <c r="CZ53" s="8649"/>
      <c r="DA53" s="8650"/>
      <c r="DB53" s="8651"/>
      <c r="DC53" s="8652"/>
      <c r="DD53" s="8653"/>
      <c r="DE53" s="8654"/>
      <c r="DF53" s="8655"/>
      <c r="DG53" s="8656"/>
      <c r="DH53" s="8657"/>
      <c r="DI53" s="8658"/>
      <c r="DJ53" s="8659"/>
      <c r="DK53" s="8660"/>
      <c r="DL53" s="8661"/>
      <c r="DM53" s="8662"/>
      <c r="DN53" s="8663"/>
      <c r="DO53" s="8664"/>
      <c r="DP53" s="8665"/>
      <c r="DQ53" s="8666"/>
      <c r="DR53" s="8667"/>
      <c r="DS53" s="8668"/>
      <c r="DT53" s="8669"/>
      <c r="DU53" s="8670"/>
      <c r="DV53" s="8671"/>
      <c r="DW53" s="8672"/>
      <c r="DX53" s="8673"/>
      <c r="DY53" s="8674"/>
      <c r="DZ53" s="8675"/>
      <c r="EA53" s="8676"/>
      <c r="EB53" s="8677"/>
      <c r="EC53" s="8678"/>
      <c r="ED53" s="8679"/>
      <c r="EE53" s="8680"/>
      <c r="EF53" s="8681"/>
      <c r="EG53" s="8682"/>
      <c r="EH53" s="8683"/>
      <c r="EI53" s="8684"/>
      <c r="EJ53" s="8685"/>
      <c r="EK53" s="8686"/>
      <c r="EL53" s="8687"/>
      <c r="EM53" s="21422"/>
      <c r="EN53" s="21423"/>
      <c r="EO53" s="8688"/>
      <c r="EP53" s="8689"/>
      <c r="EQ53" s="21424"/>
      <c r="ER53" s="8690"/>
      <c r="ES53" s="8691"/>
      <c r="ET53" s="8692"/>
      <c r="EU53" s="8693"/>
      <c r="EV53" s="8694"/>
      <c r="EW53" s="8695"/>
      <c r="EX53" s="2089"/>
      <c r="EY53" s="2090"/>
      <c r="EZ53" s="8696"/>
      <c r="FA53" s="8697"/>
      <c r="FB53" s="2091"/>
      <c r="FC53" s="8698"/>
      <c r="FD53" s="8699"/>
      <c r="FE53" s="8700"/>
      <c r="FF53" s="8701"/>
      <c r="FG53" s="8702"/>
      <c r="FH53" s="5662"/>
      <c r="FI53" s="22422"/>
      <c r="FJ53" s="22423"/>
      <c r="FK53" s="23252"/>
      <c r="FL53" s="23253"/>
      <c r="FM53" s="22424"/>
      <c r="FN53" s="23254"/>
      <c r="FO53" s="23255"/>
      <c r="FP53" s="22425"/>
      <c r="FQ53" s="22426"/>
      <c r="FR53" s="22427"/>
      <c r="FS53" s="23256"/>
      <c r="FT53" s="2092"/>
      <c r="FU53" s="1184" t="s">
        <v>713</v>
      </c>
      <c r="FV53" s="1568"/>
      <c r="FW53" s="1550"/>
      <c r="FX53" s="1550" t="str">
        <f t="shared" si="1"/>
        <v>Добавить значение признака дифференциации</v>
      </c>
      <c r="FY53" s="1550"/>
      <c r="FZ53" s="1550"/>
      <c r="GA53" s="1561">
        <v>0</v>
      </c>
    </row>
    <row r="54" spans="1:183" ht="21.95" customHeight="1">
      <c r="A54" s="1289" t="s">
        <v>352</v>
      </c>
      <c r="B54" s="1289" t="s">
        <v>353</v>
      </c>
      <c r="C54" s="1289" t="s">
        <v>354</v>
      </c>
      <c r="D54" s="1289" t="s">
        <v>768</v>
      </c>
      <c r="E54" s="24089"/>
      <c r="F54" s="24089"/>
      <c r="G54" s="24089"/>
      <c r="H54" s="24089"/>
      <c r="I54" s="24090"/>
      <c r="J54" s="1289"/>
      <c r="K54" s="1289"/>
      <c r="L54" s="1290"/>
      <c r="P54" s="24092"/>
      <c r="Q54" s="1407"/>
      <c r="R54" s="292"/>
      <c r="S54" s="1204"/>
      <c r="T54" s="301" t="s">
        <v>641</v>
      </c>
      <c r="U54" s="303"/>
      <c r="V54" s="303"/>
      <c r="W54" s="536"/>
      <c r="X54" s="536"/>
      <c r="Y54" s="536"/>
      <c r="Z54" s="536"/>
      <c r="AA54" s="536"/>
      <c r="AB54" s="536"/>
      <c r="AC54" s="303"/>
      <c r="AD54" s="303"/>
      <c r="AE54" s="303"/>
      <c r="AF54" s="302"/>
      <c r="AG54" s="303"/>
      <c r="AH54" s="536"/>
      <c r="AI54" s="536"/>
      <c r="AJ54" s="536"/>
      <c r="AK54" s="536"/>
      <c r="AL54" s="536"/>
      <c r="AM54" s="303"/>
      <c r="AN54" s="303"/>
      <c r="AO54" s="303"/>
      <c r="AP54" s="303"/>
      <c r="AQ54" s="302"/>
      <c r="AR54" s="6381"/>
      <c r="AS54" s="6382"/>
      <c r="AT54" s="6383"/>
      <c r="AU54" s="6384"/>
      <c r="AV54" s="6385"/>
      <c r="AW54" s="6386"/>
      <c r="AX54" s="6387"/>
      <c r="AY54" s="6388"/>
      <c r="AZ54" s="6389"/>
      <c r="BA54" s="6390"/>
      <c r="BB54" s="6391"/>
      <c r="BC54" s="6392"/>
      <c r="BD54" s="6393"/>
      <c r="BE54" s="8703"/>
      <c r="BF54" s="8704"/>
      <c r="BG54" s="21823"/>
      <c r="BH54" s="8705"/>
      <c r="BI54" s="8706"/>
      <c r="BJ54" s="8707"/>
      <c r="BK54" s="8708"/>
      <c r="BL54" s="8709"/>
      <c r="BM54" s="8710"/>
      <c r="BN54" s="2093"/>
      <c r="BO54" s="2094"/>
      <c r="BP54" s="8711"/>
      <c r="BQ54" s="8712"/>
      <c r="BR54" s="2095"/>
      <c r="BS54" s="8713"/>
      <c r="BT54" s="8714"/>
      <c r="BU54" s="8715"/>
      <c r="BV54" s="8716"/>
      <c r="BW54" s="8717"/>
      <c r="BX54" s="8718"/>
      <c r="BY54" s="8719"/>
      <c r="BZ54" s="8720"/>
      <c r="CA54" s="8721"/>
      <c r="CB54" s="8722"/>
      <c r="CC54" s="8723"/>
      <c r="CD54" s="8724"/>
      <c r="CE54" s="8725"/>
      <c r="CF54" s="8726"/>
      <c r="CG54" s="8727"/>
      <c r="CH54" s="8728"/>
      <c r="CI54" s="8729"/>
      <c r="CJ54" s="8730"/>
      <c r="CK54" s="8731"/>
      <c r="CL54" s="8732"/>
      <c r="CM54" s="8733"/>
      <c r="CN54" s="8734"/>
      <c r="CO54" s="8735"/>
      <c r="CP54" s="8736"/>
      <c r="CQ54" s="8737"/>
      <c r="CR54" s="8738"/>
      <c r="CS54" s="8739"/>
      <c r="CT54" s="8740"/>
      <c r="CU54" s="8741"/>
      <c r="CV54" s="8742"/>
      <c r="CW54" s="8743"/>
      <c r="CX54" s="8744"/>
      <c r="CY54" s="8745"/>
      <c r="CZ54" s="8746"/>
      <c r="DA54" s="8747"/>
      <c r="DB54" s="8748"/>
      <c r="DC54" s="8749"/>
      <c r="DD54" s="8750"/>
      <c r="DE54" s="8751"/>
      <c r="DF54" s="8752"/>
      <c r="DG54" s="8753"/>
      <c r="DH54" s="8754"/>
      <c r="DI54" s="8755"/>
      <c r="DJ54" s="8756"/>
      <c r="DK54" s="8757"/>
      <c r="DL54" s="8758"/>
      <c r="DM54" s="8759"/>
      <c r="DN54" s="8760"/>
      <c r="DO54" s="8761"/>
      <c r="DP54" s="8762"/>
      <c r="DQ54" s="8763"/>
      <c r="DR54" s="8764"/>
      <c r="DS54" s="8765"/>
      <c r="DT54" s="8766"/>
      <c r="DU54" s="8767"/>
      <c r="DV54" s="8768"/>
      <c r="DW54" s="8769"/>
      <c r="DX54" s="8770"/>
      <c r="DY54" s="8771"/>
      <c r="DZ54" s="8772"/>
      <c r="EA54" s="8773"/>
      <c r="EB54" s="8774"/>
      <c r="EC54" s="8775"/>
      <c r="ED54" s="8776"/>
      <c r="EE54" s="8777"/>
      <c r="EF54" s="8778"/>
      <c r="EG54" s="8779"/>
      <c r="EH54" s="8780"/>
      <c r="EI54" s="8781"/>
      <c r="EJ54" s="8782"/>
      <c r="EK54" s="8783"/>
      <c r="EL54" s="8784"/>
      <c r="EM54" s="21425"/>
      <c r="EN54" s="21426"/>
      <c r="EO54" s="8785"/>
      <c r="EP54" s="8786"/>
      <c r="EQ54" s="21427"/>
      <c r="ER54" s="8787"/>
      <c r="ES54" s="8788"/>
      <c r="ET54" s="8789"/>
      <c r="EU54" s="8790"/>
      <c r="EV54" s="8791"/>
      <c r="EW54" s="8792"/>
      <c r="EX54" s="2096"/>
      <c r="EY54" s="2097"/>
      <c r="EZ54" s="8793"/>
      <c r="FA54" s="8794"/>
      <c r="FB54" s="2098"/>
      <c r="FC54" s="8795"/>
      <c r="FD54" s="8796"/>
      <c r="FE54" s="8797"/>
      <c r="FF54" s="8798"/>
      <c r="FG54" s="8799"/>
      <c r="FH54" s="5663"/>
      <c r="FI54" s="22428"/>
      <c r="FJ54" s="22429"/>
      <c r="FK54" s="23257"/>
      <c r="FL54" s="23258"/>
      <c r="FM54" s="22430"/>
      <c r="FN54" s="23259"/>
      <c r="FO54" s="23260"/>
      <c r="FP54" s="22431"/>
      <c r="FQ54" s="22432"/>
      <c r="FR54" s="22433"/>
      <c r="FS54" s="23261"/>
      <c r="FT54" s="303"/>
      <c r="FU54" s="1366"/>
      <c r="FW54" s="436"/>
      <c r="FX54" s="436" t="str">
        <f t="shared" si="1"/>
        <v>Добавить группу потребителей</v>
      </c>
      <c r="FY54" s="436"/>
      <c r="FZ54" s="436"/>
      <c r="GA54" s="1081">
        <v>21</v>
      </c>
    </row>
    <row r="55" spans="1:183" ht="21.95" customHeight="1">
      <c r="A55" s="1289" t="s">
        <v>352</v>
      </c>
      <c r="B55" s="1289" t="s">
        <v>353</v>
      </c>
      <c r="C55" s="1289" t="s">
        <v>354</v>
      </c>
      <c r="D55" s="1289" t="s">
        <v>768</v>
      </c>
      <c r="E55" s="24089"/>
      <c r="F55" s="24089"/>
      <c r="G55" s="24089"/>
      <c r="H55" s="24088"/>
      <c r="I55" s="1289"/>
      <c r="J55" s="1289"/>
      <c r="K55" s="1289"/>
      <c r="L55" s="1290"/>
      <c r="M55" s="1291"/>
      <c r="N55" s="1291"/>
      <c r="O55" s="473"/>
      <c r="P55" s="296"/>
      <c r="Q55" s="311"/>
      <c r="R55" s="291"/>
      <c r="S55" s="1204"/>
      <c r="T55" s="308" t="s">
        <v>714</v>
      </c>
      <c r="U55" s="303"/>
      <c r="V55" s="303"/>
      <c r="W55" s="536"/>
      <c r="X55" s="536"/>
      <c r="Y55" s="536"/>
      <c r="Z55" s="536"/>
      <c r="AA55" s="536"/>
      <c r="AB55" s="536"/>
      <c r="AC55" s="303"/>
      <c r="AD55" s="303"/>
      <c r="AE55" s="303"/>
      <c r="AF55" s="302"/>
      <c r="AG55" s="303"/>
      <c r="AH55" s="536"/>
      <c r="AI55" s="536"/>
      <c r="AJ55" s="536"/>
      <c r="AK55" s="536"/>
      <c r="AL55" s="536"/>
      <c r="AM55" s="303"/>
      <c r="AN55" s="303"/>
      <c r="AO55" s="303"/>
      <c r="AP55" s="303"/>
      <c r="AQ55" s="302"/>
      <c r="AR55" s="6394"/>
      <c r="AS55" s="6395"/>
      <c r="AT55" s="6396"/>
      <c r="AU55" s="6397"/>
      <c r="AV55" s="6398"/>
      <c r="AW55" s="6399"/>
      <c r="AX55" s="6400"/>
      <c r="AY55" s="6401"/>
      <c r="AZ55" s="6402"/>
      <c r="BA55" s="6403"/>
      <c r="BB55" s="6404"/>
      <c r="BC55" s="6405"/>
      <c r="BD55" s="6406"/>
      <c r="BE55" s="8800"/>
      <c r="BF55" s="8801"/>
      <c r="BG55" s="21824"/>
      <c r="BH55" s="8802"/>
      <c r="BI55" s="8803"/>
      <c r="BJ55" s="8804"/>
      <c r="BK55" s="8805"/>
      <c r="BL55" s="8806"/>
      <c r="BM55" s="8807"/>
      <c r="BN55" s="2099"/>
      <c r="BO55" s="2100"/>
      <c r="BP55" s="8808"/>
      <c r="BQ55" s="8809"/>
      <c r="BR55" s="2101"/>
      <c r="BS55" s="8810"/>
      <c r="BT55" s="8811"/>
      <c r="BU55" s="8812"/>
      <c r="BV55" s="8813"/>
      <c r="BW55" s="8814"/>
      <c r="BX55" s="8815"/>
      <c r="BY55" s="8816"/>
      <c r="BZ55" s="8817"/>
      <c r="CA55" s="8818"/>
      <c r="CB55" s="8819"/>
      <c r="CC55" s="8820"/>
      <c r="CD55" s="8821"/>
      <c r="CE55" s="8822"/>
      <c r="CF55" s="8823"/>
      <c r="CG55" s="8824"/>
      <c r="CH55" s="8825"/>
      <c r="CI55" s="8826"/>
      <c r="CJ55" s="8827"/>
      <c r="CK55" s="8828"/>
      <c r="CL55" s="8829"/>
      <c r="CM55" s="8830"/>
      <c r="CN55" s="8831"/>
      <c r="CO55" s="8832"/>
      <c r="CP55" s="8833"/>
      <c r="CQ55" s="8834"/>
      <c r="CR55" s="8835"/>
      <c r="CS55" s="8836"/>
      <c r="CT55" s="8837"/>
      <c r="CU55" s="8838"/>
      <c r="CV55" s="8839"/>
      <c r="CW55" s="8840"/>
      <c r="CX55" s="8841"/>
      <c r="CY55" s="8842"/>
      <c r="CZ55" s="8843"/>
      <c r="DA55" s="8844"/>
      <c r="DB55" s="8845"/>
      <c r="DC55" s="8846"/>
      <c r="DD55" s="8847"/>
      <c r="DE55" s="8848"/>
      <c r="DF55" s="8849"/>
      <c r="DG55" s="8850"/>
      <c r="DH55" s="8851"/>
      <c r="DI55" s="8852"/>
      <c r="DJ55" s="8853"/>
      <c r="DK55" s="8854"/>
      <c r="DL55" s="8855"/>
      <c r="DM55" s="8856"/>
      <c r="DN55" s="8857"/>
      <c r="DO55" s="8858"/>
      <c r="DP55" s="8859"/>
      <c r="DQ55" s="8860"/>
      <c r="DR55" s="8861"/>
      <c r="DS55" s="8862"/>
      <c r="DT55" s="8863"/>
      <c r="DU55" s="8864"/>
      <c r="DV55" s="8865"/>
      <c r="DW55" s="8866"/>
      <c r="DX55" s="8867"/>
      <c r="DY55" s="8868"/>
      <c r="DZ55" s="8869"/>
      <c r="EA55" s="8870"/>
      <c r="EB55" s="8871"/>
      <c r="EC55" s="8872"/>
      <c r="ED55" s="8873"/>
      <c r="EE55" s="8874"/>
      <c r="EF55" s="8875"/>
      <c r="EG55" s="8876"/>
      <c r="EH55" s="8877"/>
      <c r="EI55" s="8878"/>
      <c r="EJ55" s="8879"/>
      <c r="EK55" s="8880"/>
      <c r="EL55" s="8881"/>
      <c r="EM55" s="21428"/>
      <c r="EN55" s="21429"/>
      <c r="EO55" s="8882"/>
      <c r="EP55" s="8883"/>
      <c r="EQ55" s="21430"/>
      <c r="ER55" s="8884"/>
      <c r="ES55" s="8885"/>
      <c r="ET55" s="8886"/>
      <c r="EU55" s="8887"/>
      <c r="EV55" s="8888"/>
      <c r="EW55" s="8889"/>
      <c r="EX55" s="2102"/>
      <c r="EY55" s="2103"/>
      <c r="EZ55" s="8890"/>
      <c r="FA55" s="8891"/>
      <c r="FB55" s="2104"/>
      <c r="FC55" s="8892"/>
      <c r="FD55" s="8893"/>
      <c r="FE55" s="8894"/>
      <c r="FF55" s="8895"/>
      <c r="FG55" s="8896"/>
      <c r="FH55" s="5664"/>
      <c r="FI55" s="22434"/>
      <c r="FJ55" s="22435"/>
      <c r="FK55" s="23262"/>
      <c r="FL55" s="23263"/>
      <c r="FM55" s="22436"/>
      <c r="FN55" s="23264"/>
      <c r="FO55" s="23265"/>
      <c r="FP55" s="22437"/>
      <c r="FQ55" s="22438"/>
      <c r="FR55" s="22439"/>
      <c r="FS55" s="23266"/>
      <c r="FT55" s="303"/>
      <c r="FU55" s="239"/>
      <c r="FW55" s="436"/>
      <c r="FX55" s="436" t="str">
        <f t="shared" si="1"/>
        <v>Добавить наименование признака дифференциации</v>
      </c>
      <c r="FY55" s="436"/>
      <c r="FZ55" s="436"/>
      <c r="GA55" s="1081">
        <v>21</v>
      </c>
    </row>
    <row r="56" spans="1:183" s="1747" customFormat="1" ht="23.25" customHeight="1">
      <c r="A56" s="1289"/>
      <c r="B56" s="1289"/>
      <c r="C56" s="1289" t="s">
        <v>356</v>
      </c>
      <c r="D56" s="1289"/>
      <c r="E56" s="24089"/>
      <c r="F56" s="24089"/>
      <c r="G56" s="24088" t="s">
        <v>95</v>
      </c>
      <c r="H56" s="1289"/>
      <c r="I56" s="1289"/>
      <c r="J56" s="1289"/>
      <c r="K56" s="1289"/>
      <c r="L56" s="1295"/>
      <c r="M56" s="1291"/>
      <c r="N56" s="1291"/>
      <c r="O56" s="1291"/>
      <c r="P56" s="290"/>
      <c r="Q56" s="288"/>
      <c r="R56" s="289"/>
      <c r="S56" s="1976" t="str">
        <f>INDEX(PT_DIFFERENTIATION_NUM_CS,MATCH(C56,PT_DIFFERENTIATION_CS_ID,0))</f>
        <v>1.1.2</v>
      </c>
      <c r="T56" s="245" t="s">
        <v>756</v>
      </c>
      <c r="U56" s="236"/>
      <c r="V56" s="24082"/>
      <c r="W56" s="24083"/>
      <c r="X56" s="24083"/>
      <c r="Y56" s="24083"/>
      <c r="Z56" s="24083"/>
      <c r="AA56" s="24083"/>
      <c r="AB56" s="24083"/>
      <c r="AC56" s="24083"/>
      <c r="AD56" s="24083"/>
      <c r="AE56" s="24083"/>
      <c r="AF56" s="24084"/>
      <c r="AG56" s="24082" t="str">
        <f>INDEX(PT_DIFFERENTIATION_CS,MATCH(C56,PT_DIFFERENTIATION_CS_ID,0))</f>
        <v>г.Вязьма  (для потребителей нагрузки, которых переведены с котельной  ОАО «БэтЭлТранс»)</v>
      </c>
      <c r="AH56" s="24083"/>
      <c r="AI56" s="24083"/>
      <c r="AJ56" s="24083"/>
      <c r="AK56" s="24083"/>
      <c r="AL56" s="24083"/>
      <c r="AM56" s="24083"/>
      <c r="AN56" s="24083"/>
      <c r="AO56" s="24083"/>
      <c r="AP56" s="24083"/>
      <c r="AQ56" s="24083"/>
      <c r="AR56" s="24173"/>
      <c r="AS56" s="24174"/>
      <c r="AT56" s="24174"/>
      <c r="AU56" s="24174"/>
      <c r="AV56" s="24174"/>
      <c r="AW56" s="24174"/>
      <c r="AX56" s="24174"/>
      <c r="AY56" s="24174"/>
      <c r="AZ56" s="24174"/>
      <c r="BA56" s="24174"/>
      <c r="BB56" s="24175"/>
      <c r="BC56" s="24173"/>
      <c r="BD56" s="24174"/>
      <c r="BE56" s="24174"/>
      <c r="BF56" s="24174"/>
      <c r="BG56" s="24174"/>
      <c r="BH56" s="24174"/>
      <c r="BI56" s="24174"/>
      <c r="BJ56" s="24174"/>
      <c r="BK56" s="24174"/>
      <c r="BL56" s="24174"/>
      <c r="BM56" s="24175"/>
      <c r="BN56" s="24082"/>
      <c r="BO56" s="24083"/>
      <c r="BP56" s="24174"/>
      <c r="BQ56" s="24174"/>
      <c r="BR56" s="24083"/>
      <c r="BS56" s="24174"/>
      <c r="BT56" s="24174"/>
      <c r="BU56" s="24174"/>
      <c r="BV56" s="24174"/>
      <c r="BW56" s="24174"/>
      <c r="BX56" s="24175"/>
      <c r="BY56" s="24173"/>
      <c r="BZ56" s="24174"/>
      <c r="CA56" s="24174"/>
      <c r="CB56" s="24174"/>
      <c r="CC56" s="24174"/>
      <c r="CD56" s="24174"/>
      <c r="CE56" s="24174"/>
      <c r="CF56" s="24174"/>
      <c r="CG56" s="24174"/>
      <c r="CH56" s="24174"/>
      <c r="CI56" s="24175"/>
      <c r="CJ56" s="24173"/>
      <c r="CK56" s="24174"/>
      <c r="CL56" s="24174"/>
      <c r="CM56" s="24174"/>
      <c r="CN56" s="24174"/>
      <c r="CO56" s="24174"/>
      <c r="CP56" s="24174"/>
      <c r="CQ56" s="24174"/>
      <c r="CR56" s="24174"/>
      <c r="CS56" s="24174"/>
      <c r="CT56" s="24175"/>
      <c r="CU56" s="24173"/>
      <c r="CV56" s="24174"/>
      <c r="CW56" s="24174"/>
      <c r="CX56" s="24174"/>
      <c r="CY56" s="24174"/>
      <c r="CZ56" s="24174"/>
      <c r="DA56" s="24174"/>
      <c r="DB56" s="24174"/>
      <c r="DC56" s="24174"/>
      <c r="DD56" s="24174"/>
      <c r="DE56" s="24175"/>
      <c r="DF56" s="24173"/>
      <c r="DG56" s="24174"/>
      <c r="DH56" s="24174"/>
      <c r="DI56" s="24174"/>
      <c r="DJ56" s="24174"/>
      <c r="DK56" s="24174"/>
      <c r="DL56" s="24174"/>
      <c r="DM56" s="24174"/>
      <c r="DN56" s="24174"/>
      <c r="DO56" s="24174"/>
      <c r="DP56" s="24175"/>
      <c r="DQ56" s="24173"/>
      <c r="DR56" s="24174"/>
      <c r="DS56" s="24174"/>
      <c r="DT56" s="24174"/>
      <c r="DU56" s="24174"/>
      <c r="DV56" s="24174"/>
      <c r="DW56" s="24174"/>
      <c r="DX56" s="24174"/>
      <c r="DY56" s="24174"/>
      <c r="DZ56" s="24174"/>
      <c r="EA56" s="24175"/>
      <c r="EB56" s="24173"/>
      <c r="EC56" s="24174"/>
      <c r="ED56" s="24174"/>
      <c r="EE56" s="24174"/>
      <c r="EF56" s="24174"/>
      <c r="EG56" s="24174"/>
      <c r="EH56" s="24174"/>
      <c r="EI56" s="24174"/>
      <c r="EJ56" s="24174"/>
      <c r="EK56" s="24174"/>
      <c r="EL56" s="24175"/>
      <c r="EM56" s="24173"/>
      <c r="EN56" s="24174"/>
      <c r="EO56" s="24174"/>
      <c r="EP56" s="24174"/>
      <c r="EQ56" s="24174"/>
      <c r="ER56" s="24174"/>
      <c r="ES56" s="24174"/>
      <c r="ET56" s="24174"/>
      <c r="EU56" s="24174"/>
      <c r="EV56" s="24174"/>
      <c r="EW56" s="24175"/>
      <c r="EX56" s="24082"/>
      <c r="EY56" s="24083"/>
      <c r="EZ56" s="24174"/>
      <c r="FA56" s="24174"/>
      <c r="FB56" s="24083"/>
      <c r="FC56" s="24174"/>
      <c r="FD56" s="24174"/>
      <c r="FE56" s="24174"/>
      <c r="FF56" s="24174"/>
      <c r="FG56" s="24174"/>
      <c r="FH56" s="24175"/>
      <c r="FI56" s="24082"/>
      <c r="FJ56" s="24083"/>
      <c r="FK56" s="24174"/>
      <c r="FL56" s="24174"/>
      <c r="FM56" s="24083"/>
      <c r="FN56" s="24174"/>
      <c r="FO56" s="24174"/>
      <c r="FP56" s="24083"/>
      <c r="FQ56" s="24083"/>
      <c r="FR56" s="24083"/>
      <c r="FS56" s="24175"/>
      <c r="FT56" s="24084"/>
      <c r="FU56" s="1184" t="s">
        <v>757</v>
      </c>
      <c r="FV56" s="1568"/>
      <c r="FW56" s="1550"/>
      <c r="FX56" s="1550" t="str">
        <f t="shared" si="1"/>
        <v>Наименование централизованной системы горячего водоснабжения</v>
      </c>
      <c r="FY56" s="1550"/>
      <c r="FZ56" s="1550"/>
      <c r="GA56" s="1561">
        <v>0</v>
      </c>
    </row>
    <row r="57" spans="1:183" s="1747" customFormat="1" ht="23.25" customHeight="1">
      <c r="A57" s="1289"/>
      <c r="B57" s="1289"/>
      <c r="C57" s="1289"/>
      <c r="D57" s="1289"/>
      <c r="E57" s="24089"/>
      <c r="F57" s="24089"/>
      <c r="G57" s="24089">
        <v>1</v>
      </c>
      <c r="H57" s="24089"/>
      <c r="I57" s="24090" t="str">
        <f>S56&amp;".1"</f>
        <v>1.1.2.1</v>
      </c>
      <c r="J57" s="1289"/>
      <c r="K57" s="1289"/>
      <c r="L57" s="1295"/>
      <c r="M57" s="1674"/>
      <c r="N57" s="1674"/>
      <c r="O57" s="1674"/>
      <c r="P57" s="24092">
        <v>1</v>
      </c>
      <c r="Q57" s="1978"/>
      <c r="R57" s="292"/>
      <c r="S57" s="1976" t="str">
        <f>$I57</f>
        <v>1.1.2.1</v>
      </c>
      <c r="T57" s="221" t="s">
        <v>709</v>
      </c>
      <c r="U57" s="236"/>
      <c r="V57" s="24156"/>
      <c r="W57" s="24157"/>
      <c r="X57" s="24157"/>
      <c r="Y57" s="24157"/>
      <c r="Z57" s="24157"/>
      <c r="AA57" s="24157"/>
      <c r="AB57" s="24157"/>
      <c r="AC57" s="24157"/>
      <c r="AD57" s="24157"/>
      <c r="AE57" s="24157"/>
      <c r="AF57" s="24158"/>
      <c r="AG57" s="24159"/>
      <c r="AH57" s="24160"/>
      <c r="AI57" s="24160"/>
      <c r="AJ57" s="24160"/>
      <c r="AK57" s="24160"/>
      <c r="AL57" s="24160"/>
      <c r="AM57" s="24160"/>
      <c r="AN57" s="24160"/>
      <c r="AO57" s="24160"/>
      <c r="AP57" s="24160"/>
      <c r="AQ57" s="24160"/>
      <c r="AR57" s="24176"/>
      <c r="AS57" s="24177"/>
      <c r="AT57" s="24177"/>
      <c r="AU57" s="24177"/>
      <c r="AV57" s="24177"/>
      <c r="AW57" s="24177"/>
      <c r="AX57" s="24177"/>
      <c r="AY57" s="24177"/>
      <c r="AZ57" s="24177"/>
      <c r="BA57" s="24177"/>
      <c r="BB57" s="24178"/>
      <c r="BC57" s="24176"/>
      <c r="BD57" s="24177"/>
      <c r="BE57" s="24177"/>
      <c r="BF57" s="24177"/>
      <c r="BG57" s="24177"/>
      <c r="BH57" s="24177"/>
      <c r="BI57" s="24177"/>
      <c r="BJ57" s="24177"/>
      <c r="BK57" s="24177"/>
      <c r="BL57" s="24177"/>
      <c r="BM57" s="24178"/>
      <c r="BN57" s="24156"/>
      <c r="BO57" s="24157"/>
      <c r="BP57" s="24177"/>
      <c r="BQ57" s="24177"/>
      <c r="BR57" s="24157"/>
      <c r="BS57" s="24177"/>
      <c r="BT57" s="24177"/>
      <c r="BU57" s="24177"/>
      <c r="BV57" s="24177"/>
      <c r="BW57" s="24177"/>
      <c r="BX57" s="24178"/>
      <c r="BY57" s="24176"/>
      <c r="BZ57" s="24177"/>
      <c r="CA57" s="24177"/>
      <c r="CB57" s="24177"/>
      <c r="CC57" s="24177"/>
      <c r="CD57" s="24177"/>
      <c r="CE57" s="24177"/>
      <c r="CF57" s="24177"/>
      <c r="CG57" s="24177"/>
      <c r="CH57" s="24177"/>
      <c r="CI57" s="24178"/>
      <c r="CJ57" s="24176"/>
      <c r="CK57" s="24177"/>
      <c r="CL57" s="24177"/>
      <c r="CM57" s="24177"/>
      <c r="CN57" s="24177"/>
      <c r="CO57" s="24177"/>
      <c r="CP57" s="24177"/>
      <c r="CQ57" s="24177"/>
      <c r="CR57" s="24177"/>
      <c r="CS57" s="24177"/>
      <c r="CT57" s="24178"/>
      <c r="CU57" s="24176"/>
      <c r="CV57" s="24177"/>
      <c r="CW57" s="24177"/>
      <c r="CX57" s="24177"/>
      <c r="CY57" s="24177"/>
      <c r="CZ57" s="24177"/>
      <c r="DA57" s="24177"/>
      <c r="DB57" s="24177"/>
      <c r="DC57" s="24177"/>
      <c r="DD57" s="24177"/>
      <c r="DE57" s="24178"/>
      <c r="DF57" s="24176"/>
      <c r="DG57" s="24177"/>
      <c r="DH57" s="24177"/>
      <c r="DI57" s="24177"/>
      <c r="DJ57" s="24177"/>
      <c r="DK57" s="24177"/>
      <c r="DL57" s="24177"/>
      <c r="DM57" s="24177"/>
      <c r="DN57" s="24177"/>
      <c r="DO57" s="24177"/>
      <c r="DP57" s="24178"/>
      <c r="DQ57" s="24176"/>
      <c r="DR57" s="24177"/>
      <c r="DS57" s="24177"/>
      <c r="DT57" s="24177"/>
      <c r="DU57" s="24177"/>
      <c r="DV57" s="24177"/>
      <c r="DW57" s="24177"/>
      <c r="DX57" s="24177"/>
      <c r="DY57" s="24177"/>
      <c r="DZ57" s="24177"/>
      <c r="EA57" s="24178"/>
      <c r="EB57" s="24176"/>
      <c r="EC57" s="24177"/>
      <c r="ED57" s="24177"/>
      <c r="EE57" s="24177"/>
      <c r="EF57" s="24177"/>
      <c r="EG57" s="24177"/>
      <c r="EH57" s="24177"/>
      <c r="EI57" s="24177"/>
      <c r="EJ57" s="24177"/>
      <c r="EK57" s="24177"/>
      <c r="EL57" s="24178"/>
      <c r="EM57" s="24176"/>
      <c r="EN57" s="24177"/>
      <c r="EO57" s="24177"/>
      <c r="EP57" s="24177"/>
      <c r="EQ57" s="24177"/>
      <c r="ER57" s="24177"/>
      <c r="ES57" s="24177"/>
      <c r="ET57" s="24177"/>
      <c r="EU57" s="24177"/>
      <c r="EV57" s="24177"/>
      <c r="EW57" s="24178"/>
      <c r="EX57" s="24156"/>
      <c r="EY57" s="24157"/>
      <c r="EZ57" s="24177"/>
      <c r="FA57" s="24177"/>
      <c r="FB57" s="24157"/>
      <c r="FC57" s="24177"/>
      <c r="FD57" s="24177"/>
      <c r="FE57" s="24177"/>
      <c r="FF57" s="24177"/>
      <c r="FG57" s="24177"/>
      <c r="FH57" s="24178"/>
      <c r="FI57" s="24156"/>
      <c r="FJ57" s="24157"/>
      <c r="FK57" s="24177"/>
      <c r="FL57" s="24177"/>
      <c r="FM57" s="24157"/>
      <c r="FN57" s="24177"/>
      <c r="FO57" s="24177"/>
      <c r="FP57" s="24157"/>
      <c r="FQ57" s="24157"/>
      <c r="FR57" s="24157"/>
      <c r="FS57" s="24178"/>
      <c r="FT57" s="24161"/>
      <c r="FU57" s="1184" t="s">
        <v>710</v>
      </c>
      <c r="FV57" s="1568"/>
      <c r="FW57" s="1550"/>
      <c r="FX57" s="1550" t="str">
        <f t="shared" si="1"/>
        <v>Наименование признака дифференциации</v>
      </c>
      <c r="FY57" s="1550"/>
      <c r="FZ57" s="1550"/>
      <c r="GA57" s="1561">
        <v>0</v>
      </c>
    </row>
    <row r="58" spans="1:183" s="1747" customFormat="1" ht="23.25" customHeight="1">
      <c r="A58" s="1289"/>
      <c r="B58" s="1289"/>
      <c r="C58" s="1289"/>
      <c r="D58" s="1289"/>
      <c r="E58" s="24089"/>
      <c r="F58" s="24089"/>
      <c r="G58" s="24089">
        <v>1</v>
      </c>
      <c r="H58" s="24089"/>
      <c r="I58" s="24091"/>
      <c r="J58" s="24090" t="str">
        <f>I57&amp;".1"</f>
        <v>1.1.2.1.1</v>
      </c>
      <c r="K58" s="1289"/>
      <c r="L58" s="1295" t="s">
        <v>635</v>
      </c>
      <c r="M58" s="1674"/>
      <c r="N58" s="1674"/>
      <c r="O58" s="1674"/>
      <c r="P58" s="24092"/>
      <c r="Q58" s="24092">
        <v>1</v>
      </c>
      <c r="R58" s="293"/>
      <c r="S58" s="1976" t="str">
        <f>$J58</f>
        <v>1.1.2.1.1</v>
      </c>
      <c r="T58" s="222" t="s">
        <v>636</v>
      </c>
      <c r="U58" s="236"/>
      <c r="V58" s="24076"/>
      <c r="W58" s="24077"/>
      <c r="X58" s="24077"/>
      <c r="Y58" s="24077"/>
      <c r="Z58" s="24077"/>
      <c r="AA58" s="24077"/>
      <c r="AB58" s="24077"/>
      <c r="AC58" s="24077"/>
      <c r="AD58" s="24077"/>
      <c r="AE58" s="24077"/>
      <c r="AF58" s="24078"/>
      <c r="AG58" s="24076" t="s">
        <v>769</v>
      </c>
      <c r="AH58" s="24077"/>
      <c r="AI58" s="24077"/>
      <c r="AJ58" s="24077"/>
      <c r="AK58" s="24077"/>
      <c r="AL58" s="24077"/>
      <c r="AM58" s="24077"/>
      <c r="AN58" s="24077"/>
      <c r="AO58" s="24077"/>
      <c r="AP58" s="24077"/>
      <c r="AQ58" s="24077"/>
      <c r="AR58" s="24179"/>
      <c r="AS58" s="24180"/>
      <c r="AT58" s="24180"/>
      <c r="AU58" s="24180"/>
      <c r="AV58" s="24180"/>
      <c r="AW58" s="24180"/>
      <c r="AX58" s="24180"/>
      <c r="AY58" s="24180"/>
      <c r="AZ58" s="24180"/>
      <c r="BA58" s="24180"/>
      <c r="BB58" s="24181"/>
      <c r="BC58" s="24179"/>
      <c r="BD58" s="24180"/>
      <c r="BE58" s="24180"/>
      <c r="BF58" s="24180"/>
      <c r="BG58" s="24180"/>
      <c r="BH58" s="24180"/>
      <c r="BI58" s="24180"/>
      <c r="BJ58" s="24180"/>
      <c r="BK58" s="24180"/>
      <c r="BL58" s="24180"/>
      <c r="BM58" s="24181"/>
      <c r="BN58" s="24076"/>
      <c r="BO58" s="24077"/>
      <c r="BP58" s="24180"/>
      <c r="BQ58" s="24180"/>
      <c r="BR58" s="24077"/>
      <c r="BS58" s="24180"/>
      <c r="BT58" s="24180"/>
      <c r="BU58" s="24180"/>
      <c r="BV58" s="24180"/>
      <c r="BW58" s="24180"/>
      <c r="BX58" s="24181"/>
      <c r="BY58" s="24179"/>
      <c r="BZ58" s="24180"/>
      <c r="CA58" s="24180"/>
      <c r="CB58" s="24180"/>
      <c r="CC58" s="24180"/>
      <c r="CD58" s="24180"/>
      <c r="CE58" s="24180"/>
      <c r="CF58" s="24180"/>
      <c r="CG58" s="24180"/>
      <c r="CH58" s="24180"/>
      <c r="CI58" s="24181"/>
      <c r="CJ58" s="24179"/>
      <c r="CK58" s="24180"/>
      <c r="CL58" s="24180"/>
      <c r="CM58" s="24180"/>
      <c r="CN58" s="24180"/>
      <c r="CO58" s="24180"/>
      <c r="CP58" s="24180"/>
      <c r="CQ58" s="24180"/>
      <c r="CR58" s="24180"/>
      <c r="CS58" s="24180"/>
      <c r="CT58" s="24181"/>
      <c r="CU58" s="24179"/>
      <c r="CV58" s="24180"/>
      <c r="CW58" s="24180"/>
      <c r="CX58" s="24180"/>
      <c r="CY58" s="24180"/>
      <c r="CZ58" s="24180"/>
      <c r="DA58" s="24180"/>
      <c r="DB58" s="24180"/>
      <c r="DC58" s="24180"/>
      <c r="DD58" s="24180"/>
      <c r="DE58" s="24181"/>
      <c r="DF58" s="24179"/>
      <c r="DG58" s="24180"/>
      <c r="DH58" s="24180"/>
      <c r="DI58" s="24180"/>
      <c r="DJ58" s="24180"/>
      <c r="DK58" s="24180"/>
      <c r="DL58" s="24180"/>
      <c r="DM58" s="24180"/>
      <c r="DN58" s="24180"/>
      <c r="DO58" s="24180"/>
      <c r="DP58" s="24181"/>
      <c r="DQ58" s="24179"/>
      <c r="DR58" s="24180"/>
      <c r="DS58" s="24180"/>
      <c r="DT58" s="24180"/>
      <c r="DU58" s="24180"/>
      <c r="DV58" s="24180"/>
      <c r="DW58" s="24180"/>
      <c r="DX58" s="24180"/>
      <c r="DY58" s="24180"/>
      <c r="DZ58" s="24180"/>
      <c r="EA58" s="24181"/>
      <c r="EB58" s="24179"/>
      <c r="EC58" s="24180"/>
      <c r="ED58" s="24180"/>
      <c r="EE58" s="24180"/>
      <c r="EF58" s="24180"/>
      <c r="EG58" s="24180"/>
      <c r="EH58" s="24180"/>
      <c r="EI58" s="24180"/>
      <c r="EJ58" s="24180"/>
      <c r="EK58" s="24180"/>
      <c r="EL58" s="24181"/>
      <c r="EM58" s="24179"/>
      <c r="EN58" s="24180"/>
      <c r="EO58" s="24180"/>
      <c r="EP58" s="24180"/>
      <c r="EQ58" s="24180"/>
      <c r="ER58" s="24180"/>
      <c r="ES58" s="24180"/>
      <c r="ET58" s="24180"/>
      <c r="EU58" s="24180"/>
      <c r="EV58" s="24180"/>
      <c r="EW58" s="24181"/>
      <c r="EX58" s="24076"/>
      <c r="EY58" s="24077"/>
      <c r="EZ58" s="24180"/>
      <c r="FA58" s="24180"/>
      <c r="FB58" s="24077"/>
      <c r="FC58" s="24180"/>
      <c r="FD58" s="24180"/>
      <c r="FE58" s="24180"/>
      <c r="FF58" s="24180"/>
      <c r="FG58" s="24180"/>
      <c r="FH58" s="24181"/>
      <c r="FI58" s="24076"/>
      <c r="FJ58" s="24077"/>
      <c r="FK58" s="24180"/>
      <c r="FL58" s="24180"/>
      <c r="FM58" s="24077"/>
      <c r="FN58" s="24180"/>
      <c r="FO58" s="24180"/>
      <c r="FP58" s="24077"/>
      <c r="FQ58" s="24077"/>
      <c r="FR58" s="24077"/>
      <c r="FS58" s="24181"/>
      <c r="FT58" s="24078"/>
      <c r="FU58" s="1233" t="s">
        <v>711</v>
      </c>
      <c r="FV58" s="1568"/>
      <c r="FW58" s="1550"/>
      <c r="FX58" s="1550" t="str">
        <f t="shared" si="1"/>
        <v>Группа потребителей</v>
      </c>
      <c r="FY58" s="1550"/>
      <c r="FZ58" s="1550"/>
      <c r="GA58" s="1561">
        <v>0</v>
      </c>
    </row>
    <row r="59" spans="1:183" s="1747" customFormat="1" ht="23.25" customHeight="1">
      <c r="A59" s="1289"/>
      <c r="B59" s="1289"/>
      <c r="C59" s="1289"/>
      <c r="D59" s="1289"/>
      <c r="E59" s="24089"/>
      <c r="F59" s="24089"/>
      <c r="G59" s="24089">
        <v>1</v>
      </c>
      <c r="H59" s="24089"/>
      <c r="I59" s="24091"/>
      <c r="J59" s="24091"/>
      <c r="K59" s="24090" t="str">
        <f>J58&amp;".1"</f>
        <v>1.1.2.1.1.1</v>
      </c>
      <c r="L59" s="1295"/>
      <c r="M59" s="1674"/>
      <c r="N59" s="1674"/>
      <c r="O59" s="1674"/>
      <c r="P59" s="24092"/>
      <c r="Q59" s="24092"/>
      <c r="R59" s="293">
        <v>1</v>
      </c>
      <c r="S59" s="1976" t="str">
        <f>$K59</f>
        <v>1.1.2.1.1.1</v>
      </c>
      <c r="T59" s="1363"/>
      <c r="U59" s="236"/>
      <c r="V59" s="1286"/>
      <c r="W59" s="1286"/>
      <c r="X59" s="1286"/>
      <c r="Y59" s="1286"/>
      <c r="Z59" s="1286"/>
      <c r="AA59" s="1286"/>
      <c r="AB59" s="1286"/>
      <c r="AC59" s="24086"/>
      <c r="AD59" s="24085" t="s">
        <v>59</v>
      </c>
      <c r="AE59" s="24086"/>
      <c r="AF59" s="24085" t="s">
        <v>59</v>
      </c>
      <c r="AG59" s="687">
        <v>241.89</v>
      </c>
      <c r="AH59" s="687">
        <v>38.840000000000003</v>
      </c>
      <c r="AI59" s="687"/>
      <c r="AJ59" s="687"/>
      <c r="AK59" s="687">
        <v>3133.44</v>
      </c>
      <c r="AL59" s="687"/>
      <c r="AM59" s="687"/>
      <c r="AN59" s="24093" t="s">
        <v>9</v>
      </c>
      <c r="AO59" s="23957" t="s">
        <v>59</v>
      </c>
      <c r="AP59" s="24095" t="s">
        <v>770</v>
      </c>
      <c r="AQ59" s="23957" t="s">
        <v>59</v>
      </c>
      <c r="AR59" s="687">
        <v>269.52</v>
      </c>
      <c r="AS59" s="687">
        <v>42.72</v>
      </c>
      <c r="AT59" s="687"/>
      <c r="AU59" s="687"/>
      <c r="AV59" s="687">
        <v>3500.05</v>
      </c>
      <c r="AW59" s="687"/>
      <c r="AX59" s="687"/>
      <c r="AY59" s="24093" t="s">
        <v>772</v>
      </c>
      <c r="AZ59" s="23957" t="s">
        <v>59</v>
      </c>
      <c r="BA59" s="24093" t="s">
        <v>773</v>
      </c>
      <c r="BB59" s="23957" t="s">
        <v>59</v>
      </c>
      <c r="BC59" s="687">
        <v>269.52</v>
      </c>
      <c r="BD59" s="687">
        <v>42.72</v>
      </c>
      <c r="BE59" s="687"/>
      <c r="BF59" s="687"/>
      <c r="BG59" s="687">
        <v>3500.05</v>
      </c>
      <c r="BH59" s="687"/>
      <c r="BI59" s="687"/>
      <c r="BJ59" s="24093" t="s">
        <v>774</v>
      </c>
      <c r="BK59" s="23957" t="s">
        <v>59</v>
      </c>
      <c r="BL59" s="24093" t="s">
        <v>775</v>
      </c>
      <c r="BM59" s="23957" t="s">
        <v>59</v>
      </c>
      <c r="BN59" s="687">
        <v>305.05</v>
      </c>
      <c r="BO59" s="687">
        <v>51.26</v>
      </c>
      <c r="BP59" s="687"/>
      <c r="BQ59" s="687"/>
      <c r="BR59" s="687">
        <v>3916.55</v>
      </c>
      <c r="BS59" s="687"/>
      <c r="BT59" s="687"/>
      <c r="BU59" s="24093" t="s">
        <v>776</v>
      </c>
      <c r="BV59" s="23957" t="s">
        <v>59</v>
      </c>
      <c r="BW59" s="24093" t="s">
        <v>777</v>
      </c>
      <c r="BX59" s="23957" t="s">
        <v>59</v>
      </c>
      <c r="BY59" s="687">
        <v>298.01</v>
      </c>
      <c r="BZ59" s="687">
        <v>44.22</v>
      </c>
      <c r="CA59" s="687"/>
      <c r="CB59" s="687"/>
      <c r="CC59" s="687">
        <v>3916.55</v>
      </c>
      <c r="CD59" s="687"/>
      <c r="CE59" s="687"/>
      <c r="CF59" s="24093" t="s">
        <v>778</v>
      </c>
      <c r="CG59" s="23957" t="s">
        <v>59</v>
      </c>
      <c r="CH59" s="24093">
        <v>46295</v>
      </c>
      <c r="CI59" s="23957" t="s">
        <v>59</v>
      </c>
      <c r="CJ59" s="687">
        <v>324.85000000000002</v>
      </c>
      <c r="CK59" s="687">
        <v>44.22</v>
      </c>
      <c r="CL59" s="687"/>
      <c r="CM59" s="687"/>
      <c r="CN59" s="687">
        <v>4330.76</v>
      </c>
      <c r="CO59" s="687"/>
      <c r="CP59" s="687"/>
      <c r="CQ59" s="24093">
        <v>46296</v>
      </c>
      <c r="CR59" s="23957" t="s">
        <v>59</v>
      </c>
      <c r="CS59" s="24093" t="s">
        <v>779</v>
      </c>
      <c r="CT59" s="23957" t="s">
        <v>59</v>
      </c>
      <c r="CU59" s="687">
        <v>324.67</v>
      </c>
      <c r="CV59" s="687">
        <v>44.04</v>
      </c>
      <c r="CW59" s="687"/>
      <c r="CX59" s="687"/>
      <c r="CY59" s="687">
        <v>4330.76</v>
      </c>
      <c r="CZ59" s="687"/>
      <c r="DA59" s="687"/>
      <c r="DB59" s="24093" t="s">
        <v>780</v>
      </c>
      <c r="DC59" s="23957" t="s">
        <v>59</v>
      </c>
      <c r="DD59" s="24093" t="s">
        <v>781</v>
      </c>
      <c r="DE59" s="23957" t="s">
        <v>59</v>
      </c>
      <c r="DF59" s="687">
        <v>347.72</v>
      </c>
      <c r="DG59" s="687">
        <v>44.04</v>
      </c>
      <c r="DH59" s="687"/>
      <c r="DI59" s="687"/>
      <c r="DJ59" s="687">
        <v>4686.3900000000003</v>
      </c>
      <c r="DK59" s="687"/>
      <c r="DL59" s="687"/>
      <c r="DM59" s="24093" t="s">
        <v>782</v>
      </c>
      <c r="DN59" s="23957" t="s">
        <v>59</v>
      </c>
      <c r="DO59" s="24093" t="s">
        <v>783</v>
      </c>
      <c r="DP59" s="23957" t="s">
        <v>59</v>
      </c>
      <c r="DQ59" s="687">
        <v>303.68</v>
      </c>
      <c r="DR59" s="687">
        <v>0</v>
      </c>
      <c r="DS59" s="687"/>
      <c r="DT59" s="687"/>
      <c r="DU59" s="687">
        <v>4686.3900000000003</v>
      </c>
      <c r="DV59" s="687"/>
      <c r="DW59" s="687"/>
      <c r="DX59" s="24093" t="s">
        <v>784</v>
      </c>
      <c r="DY59" s="23957" t="s">
        <v>59</v>
      </c>
      <c r="DZ59" s="24093" t="s">
        <v>785</v>
      </c>
      <c r="EA59" s="23957" t="s">
        <v>59</v>
      </c>
      <c r="EB59" s="687">
        <v>324.61</v>
      </c>
      <c r="EC59" s="687">
        <v>0</v>
      </c>
      <c r="ED59" s="687"/>
      <c r="EE59" s="687"/>
      <c r="EF59" s="687">
        <v>5009.37</v>
      </c>
      <c r="EG59" s="687"/>
      <c r="EH59" s="687"/>
      <c r="EI59" s="24093" t="s">
        <v>786</v>
      </c>
      <c r="EJ59" s="23957" t="s">
        <v>59</v>
      </c>
      <c r="EK59" s="24093" t="s">
        <v>787</v>
      </c>
      <c r="EL59" s="23957" t="s">
        <v>6</v>
      </c>
      <c r="EM59" s="1286"/>
      <c r="EN59" s="1286"/>
      <c r="EO59" s="1286"/>
      <c r="EP59" s="1286"/>
      <c r="EQ59" s="1286"/>
      <c r="ER59" s="1286"/>
      <c r="ES59" s="1286"/>
      <c r="ET59" s="24086"/>
      <c r="EU59" s="24085" t="s">
        <v>59</v>
      </c>
      <c r="EV59" s="24086"/>
      <c r="EW59" s="24085" t="s">
        <v>59</v>
      </c>
      <c r="EX59" s="1286"/>
      <c r="EY59" s="1286"/>
      <c r="EZ59" s="1286"/>
      <c r="FA59" s="1286"/>
      <c r="FB59" s="1286"/>
      <c r="FC59" s="1286"/>
      <c r="FD59" s="1286"/>
      <c r="FE59" s="24086"/>
      <c r="FF59" s="24085" t="s">
        <v>59</v>
      </c>
      <c r="FG59" s="24086"/>
      <c r="FH59" s="24085" t="s">
        <v>59</v>
      </c>
      <c r="FI59" s="1286"/>
      <c r="FJ59" s="1286"/>
      <c r="FK59" s="1286"/>
      <c r="FL59" s="1286"/>
      <c r="FM59" s="1286"/>
      <c r="FN59" s="1286"/>
      <c r="FO59" s="1286"/>
      <c r="FP59" s="24086"/>
      <c r="FQ59" s="24085" t="s">
        <v>59</v>
      </c>
      <c r="FR59" s="24086"/>
      <c r="FS59" s="24085" t="s">
        <v>59</v>
      </c>
      <c r="FT59" s="1364"/>
      <c r="FU5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59" s="1568" t="e">
        <f ca="1">STRCHECKDATE(V60:FT60)</f>
        <v>#NAME?</v>
      </c>
      <c r="FW59" s="1550"/>
      <c r="FX59" s="1550" t="str">
        <f t="shared" si="1"/>
        <v/>
      </c>
      <c r="FY59" s="1550"/>
      <c r="FZ59" s="1550"/>
      <c r="GA59" s="1561">
        <v>0</v>
      </c>
    </row>
    <row r="60" spans="1:183" s="1747" customFormat="1" ht="14.25" customHeight="1">
      <c r="A60" s="1289"/>
      <c r="B60" s="1289"/>
      <c r="C60" s="1289"/>
      <c r="D60" s="1289"/>
      <c r="E60" s="24089"/>
      <c r="F60" s="24089"/>
      <c r="G60" s="24089">
        <v>1</v>
      </c>
      <c r="H60" s="24089"/>
      <c r="I60" s="24091"/>
      <c r="J60" s="24091"/>
      <c r="K60" s="24090"/>
      <c r="L60" s="1295"/>
      <c r="M60" s="1674"/>
      <c r="N60" s="1674"/>
      <c r="O60" s="1674"/>
      <c r="P60" s="24092"/>
      <c r="Q60" s="24092"/>
      <c r="R60" s="293"/>
      <c r="S60" s="1982"/>
      <c r="T60" s="236"/>
      <c r="U60" s="236"/>
      <c r="V60" s="1286"/>
      <c r="W60" s="1286"/>
      <c r="X60" s="1286"/>
      <c r="Y60" s="1286"/>
      <c r="Z60" s="1286"/>
      <c r="AA60" s="1286"/>
      <c r="AB60" s="1286"/>
      <c r="AC60" s="24085"/>
      <c r="AD60" s="24085"/>
      <c r="AE60" s="24085"/>
      <c r="AF60" s="24085"/>
      <c r="AG60" s="261"/>
      <c r="AH60" s="261"/>
      <c r="AI60" s="261"/>
      <c r="AJ60" s="261"/>
      <c r="AK60" s="261"/>
      <c r="AL60" s="261"/>
      <c r="AM60" s="261"/>
      <c r="AN60" s="24094"/>
      <c r="AO60" s="23957"/>
      <c r="AP60" s="24096"/>
      <c r="AQ60" s="23957"/>
      <c r="AR60" s="261"/>
      <c r="AS60" s="261"/>
      <c r="AT60" s="261"/>
      <c r="AU60" s="261"/>
      <c r="AV60" s="261"/>
      <c r="AW60" s="261"/>
      <c r="AX60" s="261"/>
      <c r="AY60" s="24094"/>
      <c r="AZ60" s="23957"/>
      <c r="BA60" s="24094"/>
      <c r="BB60" s="23957"/>
      <c r="BC60" s="261"/>
      <c r="BD60" s="261"/>
      <c r="BE60" s="261"/>
      <c r="BF60" s="261"/>
      <c r="BG60" s="261"/>
      <c r="BH60" s="261"/>
      <c r="BI60" s="261"/>
      <c r="BJ60" s="24094"/>
      <c r="BK60" s="23957"/>
      <c r="BL60" s="24094"/>
      <c r="BM60" s="23957"/>
      <c r="BN60" s="261"/>
      <c r="BO60" s="261"/>
      <c r="BP60" s="261"/>
      <c r="BQ60" s="261"/>
      <c r="BR60" s="261"/>
      <c r="BS60" s="261"/>
      <c r="BT60" s="261"/>
      <c r="BU60" s="24094"/>
      <c r="BV60" s="23957"/>
      <c r="BW60" s="24094"/>
      <c r="BX60" s="23957"/>
      <c r="BY60" s="261"/>
      <c r="BZ60" s="261"/>
      <c r="CA60" s="261"/>
      <c r="CB60" s="261"/>
      <c r="CC60" s="261"/>
      <c r="CD60" s="261"/>
      <c r="CE60" s="261"/>
      <c r="CF60" s="24094"/>
      <c r="CG60" s="23957"/>
      <c r="CH60" s="24094"/>
      <c r="CI60" s="23957"/>
      <c r="CJ60" s="261"/>
      <c r="CK60" s="261"/>
      <c r="CL60" s="261"/>
      <c r="CM60" s="261"/>
      <c r="CN60" s="261"/>
      <c r="CO60" s="261"/>
      <c r="CP60" s="261"/>
      <c r="CQ60" s="24094"/>
      <c r="CR60" s="23957"/>
      <c r="CS60" s="24094"/>
      <c r="CT60" s="23957"/>
      <c r="CU60" s="261"/>
      <c r="CV60" s="261"/>
      <c r="CW60" s="261"/>
      <c r="CX60" s="261"/>
      <c r="CY60" s="261"/>
      <c r="CZ60" s="261"/>
      <c r="DA60" s="261"/>
      <c r="DB60" s="24094"/>
      <c r="DC60" s="23957"/>
      <c r="DD60" s="24094"/>
      <c r="DE60" s="23957"/>
      <c r="DF60" s="261"/>
      <c r="DG60" s="261"/>
      <c r="DH60" s="261"/>
      <c r="DI60" s="261"/>
      <c r="DJ60" s="261"/>
      <c r="DK60" s="261"/>
      <c r="DL60" s="261"/>
      <c r="DM60" s="24094"/>
      <c r="DN60" s="23957"/>
      <c r="DO60" s="24094"/>
      <c r="DP60" s="23957"/>
      <c r="DQ60" s="261"/>
      <c r="DR60" s="261"/>
      <c r="DS60" s="261"/>
      <c r="DT60" s="261"/>
      <c r="DU60" s="261"/>
      <c r="DV60" s="261"/>
      <c r="DW60" s="261"/>
      <c r="DX60" s="24094"/>
      <c r="DY60" s="23957"/>
      <c r="DZ60" s="24094"/>
      <c r="EA60" s="23957"/>
      <c r="EB60" s="261"/>
      <c r="EC60" s="261"/>
      <c r="ED60" s="261"/>
      <c r="EE60" s="261"/>
      <c r="EF60" s="261"/>
      <c r="EG60" s="261"/>
      <c r="EH60" s="261"/>
      <c r="EI60" s="24094"/>
      <c r="EJ60" s="23957"/>
      <c r="EK60" s="24094"/>
      <c r="EL60" s="23957"/>
      <c r="EM60" s="1286"/>
      <c r="EN60" s="1286"/>
      <c r="EO60" s="1286"/>
      <c r="EP60" s="1286"/>
      <c r="EQ60" s="1286"/>
      <c r="ER60" s="1286"/>
      <c r="ES60" s="1286"/>
      <c r="ET60" s="24085"/>
      <c r="EU60" s="24085"/>
      <c r="EV60" s="24085"/>
      <c r="EW60" s="24085"/>
      <c r="EX60" s="1286"/>
      <c r="EY60" s="1286"/>
      <c r="EZ60" s="1286"/>
      <c r="FA60" s="1286"/>
      <c r="FB60" s="1286"/>
      <c r="FC60" s="1286"/>
      <c r="FD60" s="1286"/>
      <c r="FE60" s="24085"/>
      <c r="FF60" s="24085"/>
      <c r="FG60" s="24085"/>
      <c r="FH60" s="24085"/>
      <c r="FI60" s="1286"/>
      <c r="FJ60" s="1286"/>
      <c r="FK60" s="1286"/>
      <c r="FL60" s="1286"/>
      <c r="FM60" s="1286"/>
      <c r="FN60" s="1286"/>
      <c r="FO60" s="1286"/>
      <c r="FP60" s="24085"/>
      <c r="FQ60" s="24085"/>
      <c r="FR60" s="24085"/>
      <c r="FS60" s="24085"/>
      <c r="FT60" s="1365"/>
      <c r="FU60" s="24162"/>
      <c r="FV60" s="1568"/>
      <c r="FW60" s="1550"/>
      <c r="FX60" s="1550" t="str">
        <f t="shared" si="1"/>
        <v/>
      </c>
      <c r="FY60" s="1550"/>
      <c r="FZ60" s="1550"/>
      <c r="GA60" s="1561">
        <v>0</v>
      </c>
    </row>
    <row r="61" spans="1:183" s="1747" customFormat="1" ht="21" customHeight="1">
      <c r="A61" s="1289"/>
      <c r="B61" s="1289"/>
      <c r="C61" s="1289"/>
      <c r="D61" s="1289"/>
      <c r="E61" s="24089"/>
      <c r="F61" s="24089"/>
      <c r="G61" s="24089">
        <v>1</v>
      </c>
      <c r="H61" s="24089"/>
      <c r="I61" s="24091"/>
      <c r="J61" s="24090"/>
      <c r="K61" s="1289"/>
      <c r="L61" s="1295"/>
      <c r="M61" s="1674"/>
      <c r="N61" s="1674"/>
      <c r="O61" s="1674"/>
      <c r="P61" s="24092"/>
      <c r="Q61" s="24092"/>
      <c r="R61" s="292"/>
      <c r="S61" s="2105"/>
      <c r="T61" s="2106" t="s">
        <v>712</v>
      </c>
      <c r="U61" s="2107"/>
      <c r="V61" s="2108"/>
      <c r="W61" s="2109"/>
      <c r="X61" s="2110"/>
      <c r="Y61" s="2111"/>
      <c r="Z61" s="2112"/>
      <c r="AA61" s="2113"/>
      <c r="AB61" s="2114"/>
      <c r="AC61" s="2115"/>
      <c r="AD61" s="2116"/>
      <c r="AE61" s="2117"/>
      <c r="AF61" s="2118"/>
      <c r="AG61" s="2119"/>
      <c r="AH61" s="2120"/>
      <c r="AI61" s="2121"/>
      <c r="AJ61" s="2122"/>
      <c r="AK61" s="2123"/>
      <c r="AL61" s="2124"/>
      <c r="AM61" s="2125"/>
      <c r="AN61" s="2126"/>
      <c r="AO61" s="2127"/>
      <c r="AP61" s="2128"/>
      <c r="AQ61" s="2129"/>
      <c r="AR61" s="6407"/>
      <c r="AS61" s="6408"/>
      <c r="AT61" s="6409"/>
      <c r="AU61" s="6410"/>
      <c r="AV61" s="6411"/>
      <c r="AW61" s="6412"/>
      <c r="AX61" s="6413"/>
      <c r="AY61" s="6414"/>
      <c r="AZ61" s="6415"/>
      <c r="BA61" s="6416"/>
      <c r="BB61" s="6417"/>
      <c r="BC61" s="6418"/>
      <c r="BD61" s="6419"/>
      <c r="BE61" s="8897"/>
      <c r="BF61" s="8898"/>
      <c r="BG61" s="21825"/>
      <c r="BH61" s="8899"/>
      <c r="BI61" s="8900"/>
      <c r="BJ61" s="8901"/>
      <c r="BK61" s="8902"/>
      <c r="BL61" s="8903"/>
      <c r="BM61" s="8904"/>
      <c r="BN61" s="2130"/>
      <c r="BO61" s="2131"/>
      <c r="BP61" s="8905"/>
      <c r="BQ61" s="8906"/>
      <c r="BR61" s="2132"/>
      <c r="BS61" s="8907"/>
      <c r="BT61" s="8908"/>
      <c r="BU61" s="8909"/>
      <c r="BV61" s="8910"/>
      <c r="BW61" s="8911"/>
      <c r="BX61" s="8912"/>
      <c r="BY61" s="8913"/>
      <c r="BZ61" s="8914"/>
      <c r="CA61" s="8915"/>
      <c r="CB61" s="8916"/>
      <c r="CC61" s="8917"/>
      <c r="CD61" s="8918"/>
      <c r="CE61" s="8919"/>
      <c r="CF61" s="8920"/>
      <c r="CG61" s="8921"/>
      <c r="CH61" s="8922"/>
      <c r="CI61" s="8923"/>
      <c r="CJ61" s="8924"/>
      <c r="CK61" s="8925"/>
      <c r="CL61" s="8926"/>
      <c r="CM61" s="8927"/>
      <c r="CN61" s="8928"/>
      <c r="CO61" s="8929"/>
      <c r="CP61" s="8930"/>
      <c r="CQ61" s="8931"/>
      <c r="CR61" s="8932"/>
      <c r="CS61" s="8933"/>
      <c r="CT61" s="8934"/>
      <c r="CU61" s="8935"/>
      <c r="CV61" s="8936"/>
      <c r="CW61" s="8937"/>
      <c r="CX61" s="8938"/>
      <c r="CY61" s="8939"/>
      <c r="CZ61" s="8940"/>
      <c r="DA61" s="8941"/>
      <c r="DB61" s="8942"/>
      <c r="DC61" s="8943"/>
      <c r="DD61" s="8944"/>
      <c r="DE61" s="8945"/>
      <c r="DF61" s="8946"/>
      <c r="DG61" s="8947"/>
      <c r="DH61" s="8948"/>
      <c r="DI61" s="8949"/>
      <c r="DJ61" s="8950"/>
      <c r="DK61" s="8951"/>
      <c r="DL61" s="8952"/>
      <c r="DM61" s="8953"/>
      <c r="DN61" s="8954"/>
      <c r="DO61" s="8955"/>
      <c r="DP61" s="8956"/>
      <c r="DQ61" s="8957"/>
      <c r="DR61" s="8958"/>
      <c r="DS61" s="8959"/>
      <c r="DT61" s="8960"/>
      <c r="DU61" s="8961"/>
      <c r="DV61" s="8962"/>
      <c r="DW61" s="8963"/>
      <c r="DX61" s="8964"/>
      <c r="DY61" s="8965"/>
      <c r="DZ61" s="8966"/>
      <c r="EA61" s="8967"/>
      <c r="EB61" s="8968"/>
      <c r="EC61" s="8969"/>
      <c r="ED61" s="8970"/>
      <c r="EE61" s="8971"/>
      <c r="EF61" s="8972"/>
      <c r="EG61" s="8973"/>
      <c r="EH61" s="8974"/>
      <c r="EI61" s="8975"/>
      <c r="EJ61" s="8976"/>
      <c r="EK61" s="8977"/>
      <c r="EL61" s="8978"/>
      <c r="EM61" s="21431"/>
      <c r="EN61" s="21432"/>
      <c r="EO61" s="8979"/>
      <c r="EP61" s="8980"/>
      <c r="EQ61" s="21433"/>
      <c r="ER61" s="8981"/>
      <c r="ES61" s="8982"/>
      <c r="ET61" s="8983"/>
      <c r="EU61" s="8984"/>
      <c r="EV61" s="8985"/>
      <c r="EW61" s="8986"/>
      <c r="EX61" s="2133"/>
      <c r="EY61" s="2134"/>
      <c r="EZ61" s="8987"/>
      <c r="FA61" s="8988"/>
      <c r="FB61" s="2135"/>
      <c r="FC61" s="8989"/>
      <c r="FD61" s="8990"/>
      <c r="FE61" s="8991"/>
      <c r="FF61" s="8992"/>
      <c r="FG61" s="8993"/>
      <c r="FH61" s="5665"/>
      <c r="FI61" s="22440"/>
      <c r="FJ61" s="22441"/>
      <c r="FK61" s="23267"/>
      <c r="FL61" s="23268"/>
      <c r="FM61" s="22442"/>
      <c r="FN61" s="23269"/>
      <c r="FO61" s="23270"/>
      <c r="FP61" s="22443"/>
      <c r="FQ61" s="22444"/>
      <c r="FR61" s="22445"/>
      <c r="FS61" s="23271"/>
      <c r="FT61" s="2136"/>
      <c r="FU61" s="1184" t="s">
        <v>713</v>
      </c>
      <c r="FV61" s="1568"/>
      <c r="FW61" s="1550"/>
      <c r="FX61" s="1550" t="str">
        <f t="shared" si="1"/>
        <v>Добавить значение признака дифференциации</v>
      </c>
      <c r="FY61" s="1550"/>
      <c r="FZ61" s="1550"/>
      <c r="GA61" s="1561">
        <v>0</v>
      </c>
    </row>
    <row r="62" spans="1:183" s="1747" customFormat="1" ht="23.25" customHeight="1">
      <c r="A62" s="1289"/>
      <c r="B62" s="1289"/>
      <c r="C62" s="1289"/>
      <c r="D62" s="1289"/>
      <c r="E62" s="24089"/>
      <c r="F62" s="24089"/>
      <c r="G62" s="24089"/>
      <c r="H62" s="24089"/>
      <c r="I62" s="24091"/>
      <c r="J62" s="24090" t="str">
        <f>I57&amp;".2"</f>
        <v>1.1.2.1.2</v>
      </c>
      <c r="K62" s="1289"/>
      <c r="L62" s="1295" t="s">
        <v>635</v>
      </c>
      <c r="M62" s="1674"/>
      <c r="N62" s="1674"/>
      <c r="O62" s="1674"/>
      <c r="P62" s="24092"/>
      <c r="Q62" s="24206" t="s">
        <v>96</v>
      </c>
      <c r="R62" s="293"/>
      <c r="S62" s="1976" t="str">
        <f>$J62</f>
        <v>1.1.2.1.2</v>
      </c>
      <c r="T62" s="222" t="s">
        <v>636</v>
      </c>
      <c r="U62" s="236"/>
      <c r="V62" s="24076"/>
      <c r="W62" s="24077"/>
      <c r="X62" s="24077"/>
      <c r="Y62" s="24077"/>
      <c r="Z62" s="24077"/>
      <c r="AA62" s="24077"/>
      <c r="AB62" s="24077"/>
      <c r="AC62" s="24077"/>
      <c r="AD62" s="24077"/>
      <c r="AE62" s="24077"/>
      <c r="AF62" s="24078"/>
      <c r="AG62" s="24076" t="s">
        <v>771</v>
      </c>
      <c r="AH62" s="24077"/>
      <c r="AI62" s="24077"/>
      <c r="AJ62" s="24077"/>
      <c r="AK62" s="24077"/>
      <c r="AL62" s="24077"/>
      <c r="AM62" s="24077"/>
      <c r="AN62" s="24077"/>
      <c r="AO62" s="24077"/>
      <c r="AP62" s="24077"/>
      <c r="AQ62" s="24077"/>
      <c r="AR62" s="24179"/>
      <c r="AS62" s="24180"/>
      <c r="AT62" s="24180"/>
      <c r="AU62" s="24180"/>
      <c r="AV62" s="24180"/>
      <c r="AW62" s="24180"/>
      <c r="AX62" s="24180"/>
      <c r="AY62" s="24180"/>
      <c r="AZ62" s="24180"/>
      <c r="BA62" s="24180"/>
      <c r="BB62" s="24181"/>
      <c r="BC62" s="24179"/>
      <c r="BD62" s="24180"/>
      <c r="BE62" s="24180"/>
      <c r="BF62" s="24180"/>
      <c r="BG62" s="24180"/>
      <c r="BH62" s="24180"/>
      <c r="BI62" s="24180"/>
      <c r="BJ62" s="24180"/>
      <c r="BK62" s="24180"/>
      <c r="BL62" s="24180"/>
      <c r="BM62" s="24181"/>
      <c r="BN62" s="24076"/>
      <c r="BO62" s="24077"/>
      <c r="BP62" s="24180"/>
      <c r="BQ62" s="24180"/>
      <c r="BR62" s="24077"/>
      <c r="BS62" s="24180"/>
      <c r="BT62" s="24180"/>
      <c r="BU62" s="24180"/>
      <c r="BV62" s="24180"/>
      <c r="BW62" s="24180"/>
      <c r="BX62" s="24181"/>
      <c r="BY62" s="24179"/>
      <c r="BZ62" s="24180"/>
      <c r="CA62" s="24180"/>
      <c r="CB62" s="24180"/>
      <c r="CC62" s="24180"/>
      <c r="CD62" s="24180"/>
      <c r="CE62" s="24180"/>
      <c r="CF62" s="24180"/>
      <c r="CG62" s="24180"/>
      <c r="CH62" s="24180"/>
      <c r="CI62" s="24181"/>
      <c r="CJ62" s="24179"/>
      <c r="CK62" s="24180"/>
      <c r="CL62" s="24180"/>
      <c r="CM62" s="24180"/>
      <c r="CN62" s="24180"/>
      <c r="CO62" s="24180"/>
      <c r="CP62" s="24180"/>
      <c r="CQ62" s="24180"/>
      <c r="CR62" s="24180"/>
      <c r="CS62" s="24180"/>
      <c r="CT62" s="24181"/>
      <c r="CU62" s="24179"/>
      <c r="CV62" s="24180"/>
      <c r="CW62" s="24180"/>
      <c r="CX62" s="24180"/>
      <c r="CY62" s="24180"/>
      <c r="CZ62" s="24180"/>
      <c r="DA62" s="24180"/>
      <c r="DB62" s="24180"/>
      <c r="DC62" s="24180"/>
      <c r="DD62" s="24180"/>
      <c r="DE62" s="24181"/>
      <c r="DF62" s="24179"/>
      <c r="DG62" s="24180"/>
      <c r="DH62" s="24180"/>
      <c r="DI62" s="24180"/>
      <c r="DJ62" s="24180"/>
      <c r="DK62" s="24180"/>
      <c r="DL62" s="24180"/>
      <c r="DM62" s="24180"/>
      <c r="DN62" s="24180"/>
      <c r="DO62" s="24180"/>
      <c r="DP62" s="24181"/>
      <c r="DQ62" s="24179"/>
      <c r="DR62" s="24180"/>
      <c r="DS62" s="24180"/>
      <c r="DT62" s="24180"/>
      <c r="DU62" s="24180"/>
      <c r="DV62" s="24180"/>
      <c r="DW62" s="24180"/>
      <c r="DX62" s="24180"/>
      <c r="DY62" s="24180"/>
      <c r="DZ62" s="24180"/>
      <c r="EA62" s="24181"/>
      <c r="EB62" s="24179"/>
      <c r="EC62" s="24180"/>
      <c r="ED62" s="24180"/>
      <c r="EE62" s="24180"/>
      <c r="EF62" s="24180"/>
      <c r="EG62" s="24180"/>
      <c r="EH62" s="24180"/>
      <c r="EI62" s="24180"/>
      <c r="EJ62" s="24180"/>
      <c r="EK62" s="24180"/>
      <c r="EL62" s="24181"/>
      <c r="EM62" s="24179"/>
      <c r="EN62" s="24180"/>
      <c r="EO62" s="24180"/>
      <c r="EP62" s="24180"/>
      <c r="EQ62" s="24180"/>
      <c r="ER62" s="24180"/>
      <c r="ES62" s="24180"/>
      <c r="ET62" s="24180"/>
      <c r="EU62" s="24180"/>
      <c r="EV62" s="24180"/>
      <c r="EW62" s="24181"/>
      <c r="EX62" s="24076"/>
      <c r="EY62" s="24077"/>
      <c r="EZ62" s="24180"/>
      <c r="FA62" s="24180"/>
      <c r="FB62" s="24077"/>
      <c r="FC62" s="24180"/>
      <c r="FD62" s="24180"/>
      <c r="FE62" s="24180"/>
      <c r="FF62" s="24180"/>
      <c r="FG62" s="24180"/>
      <c r="FH62" s="24181"/>
      <c r="FI62" s="24076"/>
      <c r="FJ62" s="24077"/>
      <c r="FK62" s="24180"/>
      <c r="FL62" s="24180"/>
      <c r="FM62" s="24077"/>
      <c r="FN62" s="24180"/>
      <c r="FO62" s="24180"/>
      <c r="FP62" s="24077"/>
      <c r="FQ62" s="24077"/>
      <c r="FR62" s="24077"/>
      <c r="FS62" s="24181"/>
      <c r="FT62" s="24078"/>
      <c r="FU62" s="1233" t="s">
        <v>711</v>
      </c>
      <c r="FV62" s="1568"/>
      <c r="FW62" s="1550"/>
      <c r="FX62" s="1550" t="str">
        <f t="shared" si="1"/>
        <v>Группа потребителей</v>
      </c>
      <c r="FY62" s="1550"/>
      <c r="FZ62" s="1550"/>
      <c r="GA62" s="1561">
        <v>0</v>
      </c>
    </row>
    <row r="63" spans="1:183" s="1747" customFormat="1" ht="23.25" customHeight="1">
      <c r="A63" s="1289"/>
      <c r="B63" s="1289"/>
      <c r="C63" s="1289"/>
      <c r="D63" s="1289"/>
      <c r="E63" s="24089"/>
      <c r="F63" s="24089"/>
      <c r="G63" s="24089"/>
      <c r="H63" s="24089"/>
      <c r="I63" s="24091"/>
      <c r="J63" s="24091" t="str">
        <f>I57&amp;".1"</f>
        <v>1.1.2.1.1</v>
      </c>
      <c r="K63" s="24090" t="str">
        <f>J62&amp;".1"</f>
        <v>1.1.2.1.2.1</v>
      </c>
      <c r="L63" s="1295"/>
      <c r="M63" s="1674"/>
      <c r="N63" s="1674"/>
      <c r="O63" s="1674"/>
      <c r="P63" s="24092"/>
      <c r="Q63" s="24092"/>
      <c r="R63" s="293">
        <v>1</v>
      </c>
      <c r="S63" s="1976" t="str">
        <f>$K63</f>
        <v>1.1.2.1.2.1</v>
      </c>
      <c r="T63" s="1363"/>
      <c r="U63" s="236"/>
      <c r="V63" s="1286"/>
      <c r="W63" s="1286"/>
      <c r="X63" s="1286"/>
      <c r="Y63" s="1286"/>
      <c r="Z63" s="1286"/>
      <c r="AA63" s="1286"/>
      <c r="AB63" s="1286"/>
      <c r="AC63" s="24086"/>
      <c r="AD63" s="24085" t="s">
        <v>59</v>
      </c>
      <c r="AE63" s="24086"/>
      <c r="AF63" s="24085" t="s">
        <v>59</v>
      </c>
      <c r="AG63" s="687">
        <v>209.77</v>
      </c>
      <c r="AH63" s="687">
        <v>46.61</v>
      </c>
      <c r="AI63" s="687"/>
      <c r="AJ63" s="687"/>
      <c r="AK63" s="687">
        <v>2518.0100000000002</v>
      </c>
      <c r="AL63" s="687"/>
      <c r="AM63" s="687"/>
      <c r="AN63" s="24093" t="s">
        <v>9</v>
      </c>
      <c r="AO63" s="23957" t="s">
        <v>59</v>
      </c>
      <c r="AP63" s="24095" t="s">
        <v>770</v>
      </c>
      <c r="AQ63" s="23957" t="s">
        <v>59</v>
      </c>
      <c r="AR63" s="687">
        <v>230.75</v>
      </c>
      <c r="AS63" s="687">
        <v>51.26</v>
      </c>
      <c r="AT63" s="687"/>
      <c r="AU63" s="687"/>
      <c r="AV63" s="687">
        <v>2769.8</v>
      </c>
      <c r="AW63" s="687"/>
      <c r="AX63" s="687"/>
      <c r="AY63" s="24093" t="s">
        <v>772</v>
      </c>
      <c r="AZ63" s="23957" t="s">
        <v>59</v>
      </c>
      <c r="BA63" s="24093" t="s">
        <v>773</v>
      </c>
      <c r="BB63" s="23957" t="s">
        <v>59</v>
      </c>
      <c r="BC63" s="687">
        <v>230.75</v>
      </c>
      <c r="BD63" s="687">
        <v>51.26</v>
      </c>
      <c r="BE63" s="687"/>
      <c r="BF63" s="687"/>
      <c r="BG63" s="687">
        <v>2769.8</v>
      </c>
      <c r="BH63" s="687"/>
      <c r="BI63" s="687"/>
      <c r="BJ63" s="24093" t="s">
        <v>774</v>
      </c>
      <c r="BK63" s="23957" t="s">
        <v>59</v>
      </c>
      <c r="BL63" s="24093" t="s">
        <v>775</v>
      </c>
      <c r="BM63" s="23957" t="s">
        <v>59</v>
      </c>
      <c r="BN63" s="687">
        <v>262.38</v>
      </c>
      <c r="BO63" s="687">
        <v>61.51</v>
      </c>
      <c r="BP63" s="687"/>
      <c r="BQ63" s="687"/>
      <c r="BR63" s="687">
        <v>3099.82</v>
      </c>
      <c r="BS63" s="687"/>
      <c r="BT63" s="687"/>
      <c r="BU63" s="24093" t="s">
        <v>776</v>
      </c>
      <c r="BV63" s="23957" t="s">
        <v>59</v>
      </c>
      <c r="BW63" s="24093" t="s">
        <v>777</v>
      </c>
      <c r="BX63" s="23957" t="s">
        <v>59</v>
      </c>
      <c r="BY63" s="687">
        <v>266.83</v>
      </c>
      <c r="BZ63" s="687">
        <v>53.95</v>
      </c>
      <c r="CA63" s="687"/>
      <c r="CB63" s="687"/>
      <c r="CC63" s="687">
        <v>3285.09</v>
      </c>
      <c r="CD63" s="687"/>
      <c r="CE63" s="687"/>
      <c r="CF63" s="24093" t="s">
        <v>778</v>
      </c>
      <c r="CG63" s="23957" t="s">
        <v>59</v>
      </c>
      <c r="CH63" s="24093">
        <v>46295</v>
      </c>
      <c r="CI63" s="23957" t="s">
        <v>59</v>
      </c>
      <c r="CJ63" s="687">
        <v>298.75</v>
      </c>
      <c r="CK63" s="687">
        <v>53.95</v>
      </c>
      <c r="CL63" s="687"/>
      <c r="CM63" s="687"/>
      <c r="CN63" s="687">
        <v>3777.86</v>
      </c>
      <c r="CO63" s="687"/>
      <c r="CP63" s="687"/>
      <c r="CQ63" s="24093">
        <v>46296</v>
      </c>
      <c r="CR63" s="23957" t="s">
        <v>59</v>
      </c>
      <c r="CS63" s="24093" t="s">
        <v>779</v>
      </c>
      <c r="CT63" s="23957" t="s">
        <v>59</v>
      </c>
      <c r="CU63" s="687">
        <v>298.52999999999997</v>
      </c>
      <c r="CV63" s="687">
        <v>53.73</v>
      </c>
      <c r="CW63" s="687"/>
      <c r="CX63" s="687"/>
      <c r="CY63" s="687">
        <v>3777.86</v>
      </c>
      <c r="CZ63" s="687"/>
      <c r="DA63" s="687"/>
      <c r="DB63" s="24093" t="s">
        <v>780</v>
      </c>
      <c r="DC63" s="23957" t="s">
        <v>59</v>
      </c>
      <c r="DD63" s="24093" t="s">
        <v>781</v>
      </c>
      <c r="DE63" s="23957" t="s">
        <v>59</v>
      </c>
      <c r="DF63" s="687">
        <v>319.83999999999997</v>
      </c>
      <c r="DG63" s="687">
        <v>53.73</v>
      </c>
      <c r="DH63" s="687"/>
      <c r="DI63" s="687"/>
      <c r="DJ63" s="687">
        <v>4106.54</v>
      </c>
      <c r="DK63" s="687"/>
      <c r="DL63" s="687"/>
      <c r="DM63" s="24093" t="s">
        <v>782</v>
      </c>
      <c r="DN63" s="23957" t="s">
        <v>59</v>
      </c>
      <c r="DO63" s="24093" t="s">
        <v>783</v>
      </c>
      <c r="DP63" s="23957" t="s">
        <v>59</v>
      </c>
      <c r="DQ63" s="687">
        <v>266.11</v>
      </c>
      <c r="DR63" s="687">
        <v>0</v>
      </c>
      <c r="DS63" s="687"/>
      <c r="DT63" s="687"/>
      <c r="DU63" s="687">
        <v>4106.54</v>
      </c>
      <c r="DV63" s="687"/>
      <c r="DW63" s="687"/>
      <c r="DX63" s="24093" t="s">
        <v>784</v>
      </c>
      <c r="DY63" s="23957" t="s">
        <v>59</v>
      </c>
      <c r="DZ63" s="24093" t="s">
        <v>785</v>
      </c>
      <c r="EA63" s="23957" t="s">
        <v>59</v>
      </c>
      <c r="EB63" s="687">
        <v>284.99</v>
      </c>
      <c r="EC63" s="687">
        <v>0</v>
      </c>
      <c r="ED63" s="687"/>
      <c r="EE63" s="687"/>
      <c r="EF63" s="687">
        <v>4398.1099999999997</v>
      </c>
      <c r="EG63" s="687"/>
      <c r="EH63" s="687"/>
      <c r="EI63" s="24093" t="s">
        <v>786</v>
      </c>
      <c r="EJ63" s="23957" t="s">
        <v>59</v>
      </c>
      <c r="EK63" s="24093" t="s">
        <v>787</v>
      </c>
      <c r="EL63" s="23957" t="s">
        <v>6</v>
      </c>
      <c r="EM63" s="1286"/>
      <c r="EN63" s="1286"/>
      <c r="EO63" s="1286"/>
      <c r="EP63" s="1286"/>
      <c r="EQ63" s="1286"/>
      <c r="ER63" s="1286"/>
      <c r="ES63" s="1286"/>
      <c r="ET63" s="24086"/>
      <c r="EU63" s="24085" t="s">
        <v>59</v>
      </c>
      <c r="EV63" s="24086"/>
      <c r="EW63" s="24085" t="s">
        <v>59</v>
      </c>
      <c r="EX63" s="1286"/>
      <c r="EY63" s="1286"/>
      <c r="EZ63" s="1286"/>
      <c r="FA63" s="1286"/>
      <c r="FB63" s="1286"/>
      <c r="FC63" s="1286"/>
      <c r="FD63" s="1286"/>
      <c r="FE63" s="24086"/>
      <c r="FF63" s="24085" t="s">
        <v>59</v>
      </c>
      <c r="FG63" s="24086"/>
      <c r="FH63" s="24085" t="s">
        <v>59</v>
      </c>
      <c r="FI63" s="1286"/>
      <c r="FJ63" s="1286"/>
      <c r="FK63" s="1286"/>
      <c r="FL63" s="1286"/>
      <c r="FM63" s="1286"/>
      <c r="FN63" s="1286"/>
      <c r="FO63" s="1286"/>
      <c r="FP63" s="24086"/>
      <c r="FQ63" s="24085" t="s">
        <v>59</v>
      </c>
      <c r="FR63" s="24086"/>
      <c r="FS63" s="24085" t="s">
        <v>59</v>
      </c>
      <c r="FT63" s="1364"/>
      <c r="FU6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63" s="1568" t="e">
        <f ca="1">STRCHECKDATE(V64:FT64)</f>
        <v>#NAME?</v>
      </c>
      <c r="FW63" s="1550"/>
      <c r="FX63" s="1550" t="str">
        <f t="shared" si="1"/>
        <v/>
      </c>
      <c r="FY63" s="1550"/>
      <c r="FZ63" s="1550"/>
      <c r="GA63" s="1561">
        <v>0</v>
      </c>
    </row>
    <row r="64" spans="1:183" s="1747" customFormat="1" ht="14.25" customHeight="1">
      <c r="A64" s="1289"/>
      <c r="B64" s="1289"/>
      <c r="C64" s="1289"/>
      <c r="D64" s="1289"/>
      <c r="E64" s="24089"/>
      <c r="F64" s="24089"/>
      <c r="G64" s="24089"/>
      <c r="H64" s="24089"/>
      <c r="I64" s="24091"/>
      <c r="J64" s="24091" t="str">
        <f>I57&amp;".1"</f>
        <v>1.1.2.1.1</v>
      </c>
      <c r="K64" s="24090"/>
      <c r="L64" s="1295"/>
      <c r="M64" s="1674"/>
      <c r="N64" s="1674"/>
      <c r="O64" s="1674"/>
      <c r="P64" s="24092"/>
      <c r="Q64" s="24092"/>
      <c r="R64" s="293"/>
      <c r="S64" s="1982"/>
      <c r="T64" s="236"/>
      <c r="U64" s="236"/>
      <c r="V64" s="1286"/>
      <c r="W64" s="1286"/>
      <c r="X64" s="1286"/>
      <c r="Y64" s="1286"/>
      <c r="Z64" s="1286"/>
      <c r="AA64" s="1286"/>
      <c r="AB64" s="1286"/>
      <c r="AC64" s="24085"/>
      <c r="AD64" s="24085"/>
      <c r="AE64" s="24085"/>
      <c r="AF64" s="24085"/>
      <c r="AG64" s="261"/>
      <c r="AH64" s="261"/>
      <c r="AI64" s="261"/>
      <c r="AJ64" s="261"/>
      <c r="AK64" s="261"/>
      <c r="AL64" s="261"/>
      <c r="AM64" s="261"/>
      <c r="AN64" s="24094"/>
      <c r="AO64" s="23957"/>
      <c r="AP64" s="24096"/>
      <c r="AQ64" s="23957"/>
      <c r="AR64" s="261"/>
      <c r="AS64" s="261"/>
      <c r="AT64" s="261"/>
      <c r="AU64" s="261"/>
      <c r="AV64" s="261"/>
      <c r="AW64" s="261"/>
      <c r="AX64" s="261"/>
      <c r="AY64" s="24094"/>
      <c r="AZ64" s="23957"/>
      <c r="BA64" s="24094"/>
      <c r="BB64" s="23957"/>
      <c r="BC64" s="261"/>
      <c r="BD64" s="261"/>
      <c r="BE64" s="261"/>
      <c r="BF64" s="261"/>
      <c r="BG64" s="261"/>
      <c r="BH64" s="261"/>
      <c r="BI64" s="261"/>
      <c r="BJ64" s="24094"/>
      <c r="BK64" s="23957"/>
      <c r="BL64" s="24094"/>
      <c r="BM64" s="23957"/>
      <c r="BN64" s="261"/>
      <c r="BO64" s="261"/>
      <c r="BP64" s="261"/>
      <c r="BQ64" s="261"/>
      <c r="BR64" s="261"/>
      <c r="BS64" s="261"/>
      <c r="BT64" s="261"/>
      <c r="BU64" s="24094"/>
      <c r="BV64" s="23957"/>
      <c r="BW64" s="24094"/>
      <c r="BX64" s="23957"/>
      <c r="BY64" s="261"/>
      <c r="BZ64" s="261"/>
      <c r="CA64" s="261"/>
      <c r="CB64" s="261"/>
      <c r="CC64" s="261"/>
      <c r="CD64" s="261"/>
      <c r="CE64" s="261"/>
      <c r="CF64" s="24094"/>
      <c r="CG64" s="23957"/>
      <c r="CH64" s="24094"/>
      <c r="CI64" s="23957"/>
      <c r="CJ64" s="261"/>
      <c r="CK64" s="261"/>
      <c r="CL64" s="261"/>
      <c r="CM64" s="261"/>
      <c r="CN64" s="261"/>
      <c r="CO64" s="261"/>
      <c r="CP64" s="261"/>
      <c r="CQ64" s="24094"/>
      <c r="CR64" s="23957"/>
      <c r="CS64" s="24094"/>
      <c r="CT64" s="23957"/>
      <c r="CU64" s="261"/>
      <c r="CV64" s="261"/>
      <c r="CW64" s="261"/>
      <c r="CX64" s="261"/>
      <c r="CY64" s="261"/>
      <c r="CZ64" s="261"/>
      <c r="DA64" s="261"/>
      <c r="DB64" s="24094"/>
      <c r="DC64" s="23957"/>
      <c r="DD64" s="24094"/>
      <c r="DE64" s="23957"/>
      <c r="DF64" s="261"/>
      <c r="DG64" s="261"/>
      <c r="DH64" s="261"/>
      <c r="DI64" s="261"/>
      <c r="DJ64" s="261"/>
      <c r="DK64" s="261"/>
      <c r="DL64" s="261"/>
      <c r="DM64" s="24094"/>
      <c r="DN64" s="23957"/>
      <c r="DO64" s="24094"/>
      <c r="DP64" s="23957"/>
      <c r="DQ64" s="261"/>
      <c r="DR64" s="261"/>
      <c r="DS64" s="261"/>
      <c r="DT64" s="261"/>
      <c r="DU64" s="261"/>
      <c r="DV64" s="261"/>
      <c r="DW64" s="261"/>
      <c r="DX64" s="24094"/>
      <c r="DY64" s="23957"/>
      <c r="DZ64" s="24094"/>
      <c r="EA64" s="23957"/>
      <c r="EB64" s="261"/>
      <c r="EC64" s="261"/>
      <c r="ED64" s="261"/>
      <c r="EE64" s="261"/>
      <c r="EF64" s="261"/>
      <c r="EG64" s="261"/>
      <c r="EH64" s="261"/>
      <c r="EI64" s="24094"/>
      <c r="EJ64" s="23957"/>
      <c r="EK64" s="24094"/>
      <c r="EL64" s="23957"/>
      <c r="EM64" s="1286"/>
      <c r="EN64" s="1286"/>
      <c r="EO64" s="1286"/>
      <c r="EP64" s="1286"/>
      <c r="EQ64" s="1286"/>
      <c r="ER64" s="1286"/>
      <c r="ES64" s="1286"/>
      <c r="ET64" s="24085"/>
      <c r="EU64" s="24085"/>
      <c r="EV64" s="24085"/>
      <c r="EW64" s="24085"/>
      <c r="EX64" s="1286"/>
      <c r="EY64" s="1286"/>
      <c r="EZ64" s="1286"/>
      <c r="FA64" s="1286"/>
      <c r="FB64" s="1286"/>
      <c r="FC64" s="1286"/>
      <c r="FD64" s="1286"/>
      <c r="FE64" s="24085"/>
      <c r="FF64" s="24085"/>
      <c r="FG64" s="24085"/>
      <c r="FH64" s="24085"/>
      <c r="FI64" s="1286"/>
      <c r="FJ64" s="1286"/>
      <c r="FK64" s="1286"/>
      <c r="FL64" s="1286"/>
      <c r="FM64" s="1286"/>
      <c r="FN64" s="1286"/>
      <c r="FO64" s="1286"/>
      <c r="FP64" s="24085"/>
      <c r="FQ64" s="24085"/>
      <c r="FR64" s="24085"/>
      <c r="FS64" s="24085"/>
      <c r="FT64" s="1365"/>
      <c r="FU64" s="24162"/>
      <c r="FV64" s="1568"/>
      <c r="FW64" s="1550"/>
      <c r="FX64" s="1550" t="str">
        <f t="shared" si="1"/>
        <v/>
      </c>
      <c r="FY64" s="1550"/>
      <c r="FZ64" s="1550"/>
      <c r="GA64" s="1561">
        <v>0</v>
      </c>
    </row>
    <row r="65" spans="1:183" s="1747" customFormat="1" ht="21" customHeight="1">
      <c r="A65" s="1289"/>
      <c r="B65" s="1289"/>
      <c r="C65" s="1289"/>
      <c r="D65" s="1289"/>
      <c r="E65" s="24089"/>
      <c r="F65" s="24089"/>
      <c r="G65" s="24089"/>
      <c r="H65" s="24089"/>
      <c r="I65" s="24091"/>
      <c r="J65" s="24090" t="str">
        <f>I57&amp;".1"</f>
        <v>1.1.2.1.1</v>
      </c>
      <c r="K65" s="1289"/>
      <c r="L65" s="1295"/>
      <c r="M65" s="1674"/>
      <c r="N65" s="1674"/>
      <c r="O65" s="1674"/>
      <c r="P65" s="24092"/>
      <c r="Q65" s="24092"/>
      <c r="R65" s="292"/>
      <c r="S65" s="2137"/>
      <c r="T65" s="2138" t="s">
        <v>712</v>
      </c>
      <c r="U65" s="2139"/>
      <c r="V65" s="2140"/>
      <c r="W65" s="2141"/>
      <c r="X65" s="2142"/>
      <c r="Y65" s="2143"/>
      <c r="Z65" s="2144"/>
      <c r="AA65" s="2145"/>
      <c r="AB65" s="2146"/>
      <c r="AC65" s="2147"/>
      <c r="AD65" s="2148"/>
      <c r="AE65" s="2149"/>
      <c r="AF65" s="2150"/>
      <c r="AG65" s="2151"/>
      <c r="AH65" s="2152"/>
      <c r="AI65" s="2153"/>
      <c r="AJ65" s="2154"/>
      <c r="AK65" s="2155"/>
      <c r="AL65" s="2156"/>
      <c r="AM65" s="2157"/>
      <c r="AN65" s="2158"/>
      <c r="AO65" s="2159"/>
      <c r="AP65" s="2160"/>
      <c r="AQ65" s="2161"/>
      <c r="AR65" s="6420"/>
      <c r="AS65" s="6421"/>
      <c r="AT65" s="6422"/>
      <c r="AU65" s="6423"/>
      <c r="AV65" s="6424"/>
      <c r="AW65" s="6425"/>
      <c r="AX65" s="6426"/>
      <c r="AY65" s="6427"/>
      <c r="AZ65" s="6428"/>
      <c r="BA65" s="6429"/>
      <c r="BB65" s="6430"/>
      <c r="BC65" s="6431"/>
      <c r="BD65" s="6432"/>
      <c r="BE65" s="8994"/>
      <c r="BF65" s="8995"/>
      <c r="BG65" s="21826"/>
      <c r="BH65" s="8996"/>
      <c r="BI65" s="8997"/>
      <c r="BJ65" s="8998"/>
      <c r="BK65" s="8999"/>
      <c r="BL65" s="9000"/>
      <c r="BM65" s="9001"/>
      <c r="BN65" s="2162"/>
      <c r="BO65" s="2163"/>
      <c r="BP65" s="9002"/>
      <c r="BQ65" s="9003"/>
      <c r="BR65" s="2164"/>
      <c r="BS65" s="9004"/>
      <c r="BT65" s="9005"/>
      <c r="BU65" s="9006"/>
      <c r="BV65" s="9007"/>
      <c r="BW65" s="9008"/>
      <c r="BX65" s="9009"/>
      <c r="BY65" s="9010"/>
      <c r="BZ65" s="9011"/>
      <c r="CA65" s="9012"/>
      <c r="CB65" s="9013"/>
      <c r="CC65" s="9014"/>
      <c r="CD65" s="9015"/>
      <c r="CE65" s="9016"/>
      <c r="CF65" s="9017"/>
      <c r="CG65" s="9018"/>
      <c r="CH65" s="9019"/>
      <c r="CI65" s="9020"/>
      <c r="CJ65" s="9021"/>
      <c r="CK65" s="9022"/>
      <c r="CL65" s="9023"/>
      <c r="CM65" s="9024"/>
      <c r="CN65" s="9025"/>
      <c r="CO65" s="9026"/>
      <c r="CP65" s="9027"/>
      <c r="CQ65" s="9028"/>
      <c r="CR65" s="9029"/>
      <c r="CS65" s="9030"/>
      <c r="CT65" s="9031"/>
      <c r="CU65" s="9032"/>
      <c r="CV65" s="9033"/>
      <c r="CW65" s="9034"/>
      <c r="CX65" s="9035"/>
      <c r="CY65" s="9036"/>
      <c r="CZ65" s="9037"/>
      <c r="DA65" s="9038"/>
      <c r="DB65" s="9039"/>
      <c r="DC65" s="9040"/>
      <c r="DD65" s="9041"/>
      <c r="DE65" s="9042"/>
      <c r="DF65" s="9043"/>
      <c r="DG65" s="9044"/>
      <c r="DH65" s="9045"/>
      <c r="DI65" s="9046"/>
      <c r="DJ65" s="9047"/>
      <c r="DK65" s="9048"/>
      <c r="DL65" s="9049"/>
      <c r="DM65" s="9050"/>
      <c r="DN65" s="9051"/>
      <c r="DO65" s="9052"/>
      <c r="DP65" s="9053"/>
      <c r="DQ65" s="9054"/>
      <c r="DR65" s="9055"/>
      <c r="DS65" s="9056"/>
      <c r="DT65" s="9057"/>
      <c r="DU65" s="9058"/>
      <c r="DV65" s="9059"/>
      <c r="DW65" s="9060"/>
      <c r="DX65" s="9061"/>
      <c r="DY65" s="9062"/>
      <c r="DZ65" s="9063"/>
      <c r="EA65" s="9064"/>
      <c r="EB65" s="9065"/>
      <c r="EC65" s="9066"/>
      <c r="ED65" s="9067"/>
      <c r="EE65" s="9068"/>
      <c r="EF65" s="9069"/>
      <c r="EG65" s="9070"/>
      <c r="EH65" s="9071"/>
      <c r="EI65" s="9072"/>
      <c r="EJ65" s="9073"/>
      <c r="EK65" s="9074"/>
      <c r="EL65" s="9075"/>
      <c r="EM65" s="21434"/>
      <c r="EN65" s="21435"/>
      <c r="EO65" s="9076"/>
      <c r="EP65" s="9077"/>
      <c r="EQ65" s="21436"/>
      <c r="ER65" s="9078"/>
      <c r="ES65" s="9079"/>
      <c r="ET65" s="9080"/>
      <c r="EU65" s="9081"/>
      <c r="EV65" s="9082"/>
      <c r="EW65" s="9083"/>
      <c r="EX65" s="2165"/>
      <c r="EY65" s="2166"/>
      <c r="EZ65" s="9084"/>
      <c r="FA65" s="9085"/>
      <c r="FB65" s="2167"/>
      <c r="FC65" s="9086"/>
      <c r="FD65" s="9087"/>
      <c r="FE65" s="9088"/>
      <c r="FF65" s="9089"/>
      <c r="FG65" s="9090"/>
      <c r="FH65" s="5666"/>
      <c r="FI65" s="22446"/>
      <c r="FJ65" s="22447"/>
      <c r="FK65" s="23272"/>
      <c r="FL65" s="23273"/>
      <c r="FM65" s="22448"/>
      <c r="FN65" s="23274"/>
      <c r="FO65" s="23275"/>
      <c r="FP65" s="22449"/>
      <c r="FQ65" s="22450"/>
      <c r="FR65" s="22451"/>
      <c r="FS65" s="23276"/>
      <c r="FT65" s="2168"/>
      <c r="FU65" s="1184" t="s">
        <v>713</v>
      </c>
      <c r="FV65" s="1568"/>
      <c r="FW65" s="1550"/>
      <c r="FX65" s="1550" t="str">
        <f t="shared" si="1"/>
        <v>Добавить значение признака дифференциации</v>
      </c>
      <c r="FY65" s="1550"/>
      <c r="FZ65" s="1550"/>
      <c r="GA65" s="1561">
        <v>0</v>
      </c>
    </row>
    <row r="66" spans="1:183" s="1747" customFormat="1" ht="21" customHeight="1">
      <c r="A66" s="1289"/>
      <c r="B66" s="1289"/>
      <c r="C66" s="1289"/>
      <c r="D66" s="1289"/>
      <c r="E66" s="24089"/>
      <c r="F66" s="24089"/>
      <c r="G66" s="24089">
        <v>1</v>
      </c>
      <c r="H66" s="24089"/>
      <c r="I66" s="24090"/>
      <c r="J66" s="1289"/>
      <c r="K66" s="1289"/>
      <c r="L66" s="1295"/>
      <c r="M66" s="1674"/>
      <c r="N66" s="1674"/>
      <c r="O66" s="1674"/>
      <c r="P66" s="24092"/>
      <c r="Q66" s="1978"/>
      <c r="R66" s="292"/>
      <c r="S66" s="2169"/>
      <c r="T66" s="2170" t="s">
        <v>641</v>
      </c>
      <c r="U66" s="2171"/>
      <c r="V66" s="2172"/>
      <c r="W66" s="2173"/>
      <c r="X66" s="2174"/>
      <c r="Y66" s="2175"/>
      <c r="Z66" s="2176"/>
      <c r="AA66" s="2177"/>
      <c r="AB66" s="2178"/>
      <c r="AC66" s="2179"/>
      <c r="AD66" s="2180"/>
      <c r="AE66" s="2181"/>
      <c r="AF66" s="2182"/>
      <c r="AG66" s="2183"/>
      <c r="AH66" s="2184"/>
      <c r="AI66" s="2185"/>
      <c r="AJ66" s="2186"/>
      <c r="AK66" s="2187"/>
      <c r="AL66" s="2188"/>
      <c r="AM66" s="2189"/>
      <c r="AN66" s="2190"/>
      <c r="AO66" s="2191"/>
      <c r="AP66" s="2192"/>
      <c r="AQ66" s="2193"/>
      <c r="AR66" s="6433"/>
      <c r="AS66" s="6434"/>
      <c r="AT66" s="6435"/>
      <c r="AU66" s="6436"/>
      <c r="AV66" s="6437"/>
      <c r="AW66" s="6438"/>
      <c r="AX66" s="6439"/>
      <c r="AY66" s="6440"/>
      <c r="AZ66" s="6441"/>
      <c r="BA66" s="6442"/>
      <c r="BB66" s="6443"/>
      <c r="BC66" s="6444"/>
      <c r="BD66" s="6445"/>
      <c r="BE66" s="9091"/>
      <c r="BF66" s="9092"/>
      <c r="BG66" s="21827"/>
      <c r="BH66" s="9093"/>
      <c r="BI66" s="9094"/>
      <c r="BJ66" s="9095"/>
      <c r="BK66" s="9096"/>
      <c r="BL66" s="9097"/>
      <c r="BM66" s="9098"/>
      <c r="BN66" s="2194"/>
      <c r="BO66" s="2195"/>
      <c r="BP66" s="9099"/>
      <c r="BQ66" s="9100"/>
      <c r="BR66" s="2196"/>
      <c r="BS66" s="9101"/>
      <c r="BT66" s="9102"/>
      <c r="BU66" s="9103"/>
      <c r="BV66" s="9104"/>
      <c r="BW66" s="9105"/>
      <c r="BX66" s="9106"/>
      <c r="BY66" s="9107"/>
      <c r="BZ66" s="9108"/>
      <c r="CA66" s="9109"/>
      <c r="CB66" s="9110"/>
      <c r="CC66" s="9111"/>
      <c r="CD66" s="9112"/>
      <c r="CE66" s="9113"/>
      <c r="CF66" s="9114"/>
      <c r="CG66" s="9115"/>
      <c r="CH66" s="9116"/>
      <c r="CI66" s="9117"/>
      <c r="CJ66" s="9118"/>
      <c r="CK66" s="9119"/>
      <c r="CL66" s="9120"/>
      <c r="CM66" s="9121"/>
      <c r="CN66" s="9122"/>
      <c r="CO66" s="9123"/>
      <c r="CP66" s="9124"/>
      <c r="CQ66" s="9125"/>
      <c r="CR66" s="9126"/>
      <c r="CS66" s="9127"/>
      <c r="CT66" s="9128"/>
      <c r="CU66" s="9129"/>
      <c r="CV66" s="9130"/>
      <c r="CW66" s="9131"/>
      <c r="CX66" s="9132"/>
      <c r="CY66" s="9133"/>
      <c r="CZ66" s="9134"/>
      <c r="DA66" s="9135"/>
      <c r="DB66" s="9136"/>
      <c r="DC66" s="9137"/>
      <c r="DD66" s="9138"/>
      <c r="DE66" s="9139"/>
      <c r="DF66" s="9140"/>
      <c r="DG66" s="9141"/>
      <c r="DH66" s="9142"/>
      <c r="DI66" s="9143"/>
      <c r="DJ66" s="9144"/>
      <c r="DK66" s="9145"/>
      <c r="DL66" s="9146"/>
      <c r="DM66" s="9147"/>
      <c r="DN66" s="9148"/>
      <c r="DO66" s="9149"/>
      <c r="DP66" s="9150"/>
      <c r="DQ66" s="9151"/>
      <c r="DR66" s="9152"/>
      <c r="DS66" s="9153"/>
      <c r="DT66" s="9154"/>
      <c r="DU66" s="9155"/>
      <c r="DV66" s="9156"/>
      <c r="DW66" s="9157"/>
      <c r="DX66" s="9158"/>
      <c r="DY66" s="9159"/>
      <c r="DZ66" s="9160"/>
      <c r="EA66" s="9161"/>
      <c r="EB66" s="9162"/>
      <c r="EC66" s="9163"/>
      <c r="ED66" s="9164"/>
      <c r="EE66" s="9165"/>
      <c r="EF66" s="9166"/>
      <c r="EG66" s="9167"/>
      <c r="EH66" s="9168"/>
      <c r="EI66" s="9169"/>
      <c r="EJ66" s="9170"/>
      <c r="EK66" s="9171"/>
      <c r="EL66" s="9172"/>
      <c r="EM66" s="21437"/>
      <c r="EN66" s="21438"/>
      <c r="EO66" s="9173"/>
      <c r="EP66" s="9174"/>
      <c r="EQ66" s="21439"/>
      <c r="ER66" s="9175"/>
      <c r="ES66" s="9176"/>
      <c r="ET66" s="9177"/>
      <c r="EU66" s="9178"/>
      <c r="EV66" s="9179"/>
      <c r="EW66" s="9180"/>
      <c r="EX66" s="2197"/>
      <c r="EY66" s="2198"/>
      <c r="EZ66" s="9181"/>
      <c r="FA66" s="9182"/>
      <c r="FB66" s="2199"/>
      <c r="FC66" s="9183"/>
      <c r="FD66" s="9184"/>
      <c r="FE66" s="9185"/>
      <c r="FF66" s="9186"/>
      <c r="FG66" s="9187"/>
      <c r="FH66" s="5667"/>
      <c r="FI66" s="22452"/>
      <c r="FJ66" s="22453"/>
      <c r="FK66" s="23277"/>
      <c r="FL66" s="23278"/>
      <c r="FM66" s="22454"/>
      <c r="FN66" s="23279"/>
      <c r="FO66" s="23280"/>
      <c r="FP66" s="22455"/>
      <c r="FQ66" s="22456"/>
      <c r="FR66" s="22457"/>
      <c r="FS66" s="23281"/>
      <c r="FT66" s="2200"/>
      <c r="FU66" s="2201"/>
      <c r="FV66" s="1568"/>
      <c r="FW66" s="1550"/>
      <c r="FX66" s="1550" t="str">
        <f t="shared" si="1"/>
        <v>Добавить группу потребителей</v>
      </c>
      <c r="FY66" s="1550"/>
      <c r="FZ66" s="1550"/>
      <c r="GA66" s="1561">
        <v>0</v>
      </c>
    </row>
    <row r="67" spans="1:183" s="1747" customFormat="1" ht="21" customHeight="1">
      <c r="A67" s="1289"/>
      <c r="B67" s="1289"/>
      <c r="C67" s="1289"/>
      <c r="D67" s="1289"/>
      <c r="E67" s="24089"/>
      <c r="F67" s="24089"/>
      <c r="G67" s="24089">
        <v>1</v>
      </c>
      <c r="H67" s="24088"/>
      <c r="I67" s="1289"/>
      <c r="J67" s="1289"/>
      <c r="K67" s="1289"/>
      <c r="L67" s="1295"/>
      <c r="M67" s="1291"/>
      <c r="N67" s="1291"/>
      <c r="O67" s="1292"/>
      <c r="P67" s="1720"/>
      <c r="Q67" s="311"/>
      <c r="R67" s="291"/>
      <c r="S67" s="2202"/>
      <c r="T67" s="2203" t="s">
        <v>714</v>
      </c>
      <c r="U67" s="2204"/>
      <c r="V67" s="2205"/>
      <c r="W67" s="2206"/>
      <c r="X67" s="2207"/>
      <c r="Y67" s="2208"/>
      <c r="Z67" s="2209"/>
      <c r="AA67" s="2210"/>
      <c r="AB67" s="2211"/>
      <c r="AC67" s="2212"/>
      <c r="AD67" s="2213"/>
      <c r="AE67" s="2214"/>
      <c r="AF67" s="2215"/>
      <c r="AG67" s="2216"/>
      <c r="AH67" s="2217"/>
      <c r="AI67" s="2218"/>
      <c r="AJ67" s="2219"/>
      <c r="AK67" s="2220"/>
      <c r="AL67" s="2221"/>
      <c r="AM67" s="2222"/>
      <c r="AN67" s="2223"/>
      <c r="AO67" s="2224"/>
      <c r="AP67" s="2225"/>
      <c r="AQ67" s="2226"/>
      <c r="AR67" s="6446"/>
      <c r="AS67" s="6447"/>
      <c r="AT67" s="6448"/>
      <c r="AU67" s="6449"/>
      <c r="AV67" s="6450"/>
      <c r="AW67" s="6451"/>
      <c r="AX67" s="6452"/>
      <c r="AY67" s="6453"/>
      <c r="AZ67" s="6454"/>
      <c r="BA67" s="6455"/>
      <c r="BB67" s="6456"/>
      <c r="BC67" s="6457"/>
      <c r="BD67" s="6458"/>
      <c r="BE67" s="9188"/>
      <c r="BF67" s="9189"/>
      <c r="BG67" s="21828"/>
      <c r="BH67" s="9190"/>
      <c r="BI67" s="9191"/>
      <c r="BJ67" s="9192"/>
      <c r="BK67" s="9193"/>
      <c r="BL67" s="9194"/>
      <c r="BM67" s="9195"/>
      <c r="BN67" s="2227"/>
      <c r="BO67" s="2228"/>
      <c r="BP67" s="9196"/>
      <c r="BQ67" s="9197"/>
      <c r="BR67" s="2229"/>
      <c r="BS67" s="9198"/>
      <c r="BT67" s="9199"/>
      <c r="BU67" s="9200"/>
      <c r="BV67" s="9201"/>
      <c r="BW67" s="9202"/>
      <c r="BX67" s="9203"/>
      <c r="BY67" s="9204"/>
      <c r="BZ67" s="9205"/>
      <c r="CA67" s="9206"/>
      <c r="CB67" s="9207"/>
      <c r="CC67" s="9208"/>
      <c r="CD67" s="9209"/>
      <c r="CE67" s="9210"/>
      <c r="CF67" s="9211"/>
      <c r="CG67" s="9212"/>
      <c r="CH67" s="9213"/>
      <c r="CI67" s="9214"/>
      <c r="CJ67" s="9215"/>
      <c r="CK67" s="9216"/>
      <c r="CL67" s="9217"/>
      <c r="CM67" s="9218"/>
      <c r="CN67" s="9219"/>
      <c r="CO67" s="9220"/>
      <c r="CP67" s="9221"/>
      <c r="CQ67" s="9222"/>
      <c r="CR67" s="9223"/>
      <c r="CS67" s="9224"/>
      <c r="CT67" s="9225"/>
      <c r="CU67" s="9226"/>
      <c r="CV67" s="9227"/>
      <c r="CW67" s="9228"/>
      <c r="CX67" s="9229"/>
      <c r="CY67" s="9230"/>
      <c r="CZ67" s="9231"/>
      <c r="DA67" s="9232"/>
      <c r="DB67" s="9233"/>
      <c r="DC67" s="9234"/>
      <c r="DD67" s="9235"/>
      <c r="DE67" s="9236"/>
      <c r="DF67" s="9237"/>
      <c r="DG67" s="9238"/>
      <c r="DH67" s="9239"/>
      <c r="DI67" s="9240"/>
      <c r="DJ67" s="9241"/>
      <c r="DK67" s="9242"/>
      <c r="DL67" s="9243"/>
      <c r="DM67" s="9244"/>
      <c r="DN67" s="9245"/>
      <c r="DO67" s="9246"/>
      <c r="DP67" s="9247"/>
      <c r="DQ67" s="9248"/>
      <c r="DR67" s="9249"/>
      <c r="DS67" s="9250"/>
      <c r="DT67" s="9251"/>
      <c r="DU67" s="9252"/>
      <c r="DV67" s="9253"/>
      <c r="DW67" s="9254"/>
      <c r="DX67" s="9255"/>
      <c r="DY67" s="9256"/>
      <c r="DZ67" s="9257"/>
      <c r="EA67" s="9258"/>
      <c r="EB67" s="9259"/>
      <c r="EC67" s="9260"/>
      <c r="ED67" s="9261"/>
      <c r="EE67" s="9262"/>
      <c r="EF67" s="9263"/>
      <c r="EG67" s="9264"/>
      <c r="EH67" s="9265"/>
      <c r="EI67" s="9266"/>
      <c r="EJ67" s="9267"/>
      <c r="EK67" s="9268"/>
      <c r="EL67" s="9269"/>
      <c r="EM67" s="21440"/>
      <c r="EN67" s="21441"/>
      <c r="EO67" s="9270"/>
      <c r="EP67" s="9271"/>
      <c r="EQ67" s="21442"/>
      <c r="ER67" s="9272"/>
      <c r="ES67" s="9273"/>
      <c r="ET67" s="9274"/>
      <c r="EU67" s="9275"/>
      <c r="EV67" s="9276"/>
      <c r="EW67" s="9277"/>
      <c r="EX67" s="2230"/>
      <c r="EY67" s="2231"/>
      <c r="EZ67" s="9278"/>
      <c r="FA67" s="9279"/>
      <c r="FB67" s="2232"/>
      <c r="FC67" s="9280"/>
      <c r="FD67" s="9281"/>
      <c r="FE67" s="9282"/>
      <c r="FF67" s="9283"/>
      <c r="FG67" s="9284"/>
      <c r="FH67" s="5668"/>
      <c r="FI67" s="22458"/>
      <c r="FJ67" s="22459"/>
      <c r="FK67" s="23282"/>
      <c r="FL67" s="23283"/>
      <c r="FM67" s="22460"/>
      <c r="FN67" s="23284"/>
      <c r="FO67" s="23285"/>
      <c r="FP67" s="22461"/>
      <c r="FQ67" s="22462"/>
      <c r="FR67" s="22463"/>
      <c r="FS67" s="23286"/>
      <c r="FT67" s="2233"/>
      <c r="FU67" s="2234"/>
      <c r="FV67" s="1568"/>
      <c r="FW67" s="1550"/>
      <c r="FX67" s="1550" t="str">
        <f t="shared" si="1"/>
        <v>Добавить наименование признака дифференциации</v>
      </c>
      <c r="FY67" s="1550"/>
      <c r="FZ67" s="1550"/>
      <c r="GA67" s="1561">
        <v>0</v>
      </c>
    </row>
    <row r="68" spans="1:183" s="1747" customFormat="1" ht="23.25" customHeight="1">
      <c r="A68" s="1289"/>
      <c r="B68" s="1289"/>
      <c r="C68" s="1289" t="s">
        <v>359</v>
      </c>
      <c r="D68" s="1289"/>
      <c r="E68" s="24089"/>
      <c r="F68" s="24089"/>
      <c r="G68" s="24088" t="s">
        <v>81</v>
      </c>
      <c r="H68" s="1289"/>
      <c r="I68" s="1289"/>
      <c r="J68" s="1289"/>
      <c r="K68" s="1289"/>
      <c r="L68" s="1295"/>
      <c r="M68" s="1291"/>
      <c r="N68" s="1291"/>
      <c r="O68" s="1291"/>
      <c r="P68" s="290"/>
      <c r="Q68" s="288"/>
      <c r="R68" s="289"/>
      <c r="S68" s="1976" t="str">
        <f>INDEX(PT_DIFFERENTIATION_NUM_CS,MATCH(C68,PT_DIFFERENTIATION_CS_ID,0))</f>
        <v>1.1.3</v>
      </c>
      <c r="T68" s="245" t="s">
        <v>756</v>
      </c>
      <c r="U68" s="236"/>
      <c r="V68" s="24082"/>
      <c r="W68" s="24083"/>
      <c r="X68" s="24083"/>
      <c r="Y68" s="24083"/>
      <c r="Z68" s="24083"/>
      <c r="AA68" s="24083"/>
      <c r="AB68" s="24083"/>
      <c r="AC68" s="24083"/>
      <c r="AD68" s="24083"/>
      <c r="AE68" s="24083"/>
      <c r="AF68" s="24084"/>
      <c r="AG68" s="24082" t="str">
        <f>INDEX(PT_DIFFERENTIATION_CS,MATCH(C68,PT_DIFFERENTIATION_CS_ID,0))</f>
        <v>г. Вязьма  (для потребителей, теплоснабжение которых осуществляется  от блочно-модульной котельной по ул. Гоголя)</v>
      </c>
      <c r="AH68" s="24083"/>
      <c r="AI68" s="24083"/>
      <c r="AJ68" s="24083"/>
      <c r="AK68" s="24083"/>
      <c r="AL68" s="24083"/>
      <c r="AM68" s="24083"/>
      <c r="AN68" s="24083"/>
      <c r="AO68" s="24083"/>
      <c r="AP68" s="24083"/>
      <c r="AQ68" s="24083"/>
      <c r="AR68" s="24173"/>
      <c r="AS68" s="24174"/>
      <c r="AT68" s="24174"/>
      <c r="AU68" s="24174"/>
      <c r="AV68" s="24174"/>
      <c r="AW68" s="24174"/>
      <c r="AX68" s="24174"/>
      <c r="AY68" s="24174"/>
      <c r="AZ68" s="24174"/>
      <c r="BA68" s="24174"/>
      <c r="BB68" s="24175"/>
      <c r="BC68" s="24173"/>
      <c r="BD68" s="24174"/>
      <c r="BE68" s="24174"/>
      <c r="BF68" s="24174"/>
      <c r="BG68" s="24174"/>
      <c r="BH68" s="24174"/>
      <c r="BI68" s="24174"/>
      <c r="BJ68" s="24174"/>
      <c r="BK68" s="24174"/>
      <c r="BL68" s="24174"/>
      <c r="BM68" s="24175"/>
      <c r="BN68" s="24082"/>
      <c r="BO68" s="24083"/>
      <c r="BP68" s="24174"/>
      <c r="BQ68" s="24174"/>
      <c r="BR68" s="24083"/>
      <c r="BS68" s="24174"/>
      <c r="BT68" s="24174"/>
      <c r="BU68" s="24174"/>
      <c r="BV68" s="24174"/>
      <c r="BW68" s="24174"/>
      <c r="BX68" s="24175"/>
      <c r="BY68" s="24173"/>
      <c r="BZ68" s="24174"/>
      <c r="CA68" s="24174"/>
      <c r="CB68" s="24174"/>
      <c r="CC68" s="24174"/>
      <c r="CD68" s="24174"/>
      <c r="CE68" s="24174"/>
      <c r="CF68" s="24174"/>
      <c r="CG68" s="24174"/>
      <c r="CH68" s="24174"/>
      <c r="CI68" s="24175"/>
      <c r="CJ68" s="24173"/>
      <c r="CK68" s="24174"/>
      <c r="CL68" s="24174"/>
      <c r="CM68" s="24174"/>
      <c r="CN68" s="24174"/>
      <c r="CO68" s="24174"/>
      <c r="CP68" s="24174"/>
      <c r="CQ68" s="24174"/>
      <c r="CR68" s="24174"/>
      <c r="CS68" s="24174"/>
      <c r="CT68" s="24175"/>
      <c r="CU68" s="24173"/>
      <c r="CV68" s="24174"/>
      <c r="CW68" s="24174"/>
      <c r="CX68" s="24174"/>
      <c r="CY68" s="24174"/>
      <c r="CZ68" s="24174"/>
      <c r="DA68" s="24174"/>
      <c r="DB68" s="24174"/>
      <c r="DC68" s="24174"/>
      <c r="DD68" s="24174"/>
      <c r="DE68" s="24175"/>
      <c r="DF68" s="24173"/>
      <c r="DG68" s="24174"/>
      <c r="DH68" s="24174"/>
      <c r="DI68" s="24174"/>
      <c r="DJ68" s="24174"/>
      <c r="DK68" s="24174"/>
      <c r="DL68" s="24174"/>
      <c r="DM68" s="24174"/>
      <c r="DN68" s="24174"/>
      <c r="DO68" s="24174"/>
      <c r="DP68" s="24175"/>
      <c r="DQ68" s="24173"/>
      <c r="DR68" s="24174"/>
      <c r="DS68" s="24174"/>
      <c r="DT68" s="24174"/>
      <c r="DU68" s="24174"/>
      <c r="DV68" s="24174"/>
      <c r="DW68" s="24174"/>
      <c r="DX68" s="24174"/>
      <c r="DY68" s="24174"/>
      <c r="DZ68" s="24174"/>
      <c r="EA68" s="24175"/>
      <c r="EB68" s="24173"/>
      <c r="EC68" s="24174"/>
      <c r="ED68" s="24174"/>
      <c r="EE68" s="24174"/>
      <c r="EF68" s="24174"/>
      <c r="EG68" s="24174"/>
      <c r="EH68" s="24174"/>
      <c r="EI68" s="24174"/>
      <c r="EJ68" s="24174"/>
      <c r="EK68" s="24174"/>
      <c r="EL68" s="24175"/>
      <c r="EM68" s="24173"/>
      <c r="EN68" s="24174"/>
      <c r="EO68" s="24174"/>
      <c r="EP68" s="24174"/>
      <c r="EQ68" s="24174"/>
      <c r="ER68" s="24174"/>
      <c r="ES68" s="24174"/>
      <c r="ET68" s="24174"/>
      <c r="EU68" s="24174"/>
      <c r="EV68" s="24174"/>
      <c r="EW68" s="24175"/>
      <c r="EX68" s="24082"/>
      <c r="EY68" s="24083"/>
      <c r="EZ68" s="24174"/>
      <c r="FA68" s="24174"/>
      <c r="FB68" s="24083"/>
      <c r="FC68" s="24174"/>
      <c r="FD68" s="24174"/>
      <c r="FE68" s="24174"/>
      <c r="FF68" s="24174"/>
      <c r="FG68" s="24174"/>
      <c r="FH68" s="24175"/>
      <c r="FI68" s="24082"/>
      <c r="FJ68" s="24083"/>
      <c r="FK68" s="24174"/>
      <c r="FL68" s="24174"/>
      <c r="FM68" s="24083"/>
      <c r="FN68" s="24174"/>
      <c r="FO68" s="24174"/>
      <c r="FP68" s="24083"/>
      <c r="FQ68" s="24083"/>
      <c r="FR68" s="24083"/>
      <c r="FS68" s="24175"/>
      <c r="FT68" s="24084"/>
      <c r="FU68" s="1184" t="s">
        <v>757</v>
      </c>
      <c r="FV68" s="1568"/>
      <c r="FW68" s="1550"/>
      <c r="FX68" s="1550" t="str">
        <f t="shared" si="1"/>
        <v>Наименование централизованной системы горячего водоснабжения</v>
      </c>
      <c r="FY68" s="1550"/>
      <c r="FZ68" s="1550"/>
      <c r="GA68" s="1561">
        <v>0</v>
      </c>
    </row>
    <row r="69" spans="1:183" s="1747" customFormat="1" ht="23.25" customHeight="1">
      <c r="A69" s="1289"/>
      <c r="B69" s="1289"/>
      <c r="C69" s="1289"/>
      <c r="D69" s="1289"/>
      <c r="E69" s="24089"/>
      <c r="F69" s="24089"/>
      <c r="G69" s="24089" t="s">
        <v>95</v>
      </c>
      <c r="H69" s="24089"/>
      <c r="I69" s="24090" t="str">
        <f>S68&amp;".1"</f>
        <v>1.1.3.1</v>
      </c>
      <c r="J69" s="1289"/>
      <c r="K69" s="1289"/>
      <c r="L69" s="1295"/>
      <c r="M69" s="1674"/>
      <c r="N69" s="1674"/>
      <c r="O69" s="1674"/>
      <c r="P69" s="24092">
        <v>1</v>
      </c>
      <c r="Q69" s="1978"/>
      <c r="R69" s="292"/>
      <c r="S69" s="1976" t="str">
        <f>$I69</f>
        <v>1.1.3.1</v>
      </c>
      <c r="T69" s="221" t="s">
        <v>709</v>
      </c>
      <c r="U69" s="236"/>
      <c r="V69" s="24156"/>
      <c r="W69" s="24157"/>
      <c r="X69" s="24157"/>
      <c r="Y69" s="24157"/>
      <c r="Z69" s="24157"/>
      <c r="AA69" s="24157"/>
      <c r="AB69" s="24157"/>
      <c r="AC69" s="24157"/>
      <c r="AD69" s="24157"/>
      <c r="AE69" s="24157"/>
      <c r="AF69" s="24158"/>
      <c r="AG69" s="24159"/>
      <c r="AH69" s="24160"/>
      <c r="AI69" s="24160"/>
      <c r="AJ69" s="24160"/>
      <c r="AK69" s="24160"/>
      <c r="AL69" s="24160"/>
      <c r="AM69" s="24160"/>
      <c r="AN69" s="24160"/>
      <c r="AO69" s="24160"/>
      <c r="AP69" s="24160"/>
      <c r="AQ69" s="24160"/>
      <c r="AR69" s="24176"/>
      <c r="AS69" s="24177"/>
      <c r="AT69" s="24177"/>
      <c r="AU69" s="24177"/>
      <c r="AV69" s="24177"/>
      <c r="AW69" s="24177"/>
      <c r="AX69" s="24177"/>
      <c r="AY69" s="24177"/>
      <c r="AZ69" s="24177"/>
      <c r="BA69" s="24177"/>
      <c r="BB69" s="24178"/>
      <c r="BC69" s="24176"/>
      <c r="BD69" s="24177"/>
      <c r="BE69" s="24177"/>
      <c r="BF69" s="24177"/>
      <c r="BG69" s="24177"/>
      <c r="BH69" s="24177"/>
      <c r="BI69" s="24177"/>
      <c r="BJ69" s="24177"/>
      <c r="BK69" s="24177"/>
      <c r="BL69" s="24177"/>
      <c r="BM69" s="24178"/>
      <c r="BN69" s="24156"/>
      <c r="BO69" s="24157"/>
      <c r="BP69" s="24177"/>
      <c r="BQ69" s="24177"/>
      <c r="BR69" s="24157"/>
      <c r="BS69" s="24177"/>
      <c r="BT69" s="24177"/>
      <c r="BU69" s="24177"/>
      <c r="BV69" s="24177"/>
      <c r="BW69" s="24177"/>
      <c r="BX69" s="24178"/>
      <c r="BY69" s="24176"/>
      <c r="BZ69" s="24177"/>
      <c r="CA69" s="24177"/>
      <c r="CB69" s="24177"/>
      <c r="CC69" s="24177"/>
      <c r="CD69" s="24177"/>
      <c r="CE69" s="24177"/>
      <c r="CF69" s="24177"/>
      <c r="CG69" s="24177"/>
      <c r="CH69" s="24177"/>
      <c r="CI69" s="24178"/>
      <c r="CJ69" s="24176"/>
      <c r="CK69" s="24177"/>
      <c r="CL69" s="24177"/>
      <c r="CM69" s="24177"/>
      <c r="CN69" s="24177"/>
      <c r="CO69" s="24177"/>
      <c r="CP69" s="24177"/>
      <c r="CQ69" s="24177"/>
      <c r="CR69" s="24177"/>
      <c r="CS69" s="24177"/>
      <c r="CT69" s="24178"/>
      <c r="CU69" s="24176"/>
      <c r="CV69" s="24177"/>
      <c r="CW69" s="24177"/>
      <c r="CX69" s="24177"/>
      <c r="CY69" s="24177"/>
      <c r="CZ69" s="24177"/>
      <c r="DA69" s="24177"/>
      <c r="DB69" s="24177"/>
      <c r="DC69" s="24177"/>
      <c r="DD69" s="24177"/>
      <c r="DE69" s="24178"/>
      <c r="DF69" s="24176"/>
      <c r="DG69" s="24177"/>
      <c r="DH69" s="24177"/>
      <c r="DI69" s="24177"/>
      <c r="DJ69" s="24177"/>
      <c r="DK69" s="24177"/>
      <c r="DL69" s="24177"/>
      <c r="DM69" s="24177"/>
      <c r="DN69" s="24177"/>
      <c r="DO69" s="24177"/>
      <c r="DP69" s="24178"/>
      <c r="DQ69" s="24176"/>
      <c r="DR69" s="24177"/>
      <c r="DS69" s="24177"/>
      <c r="DT69" s="24177"/>
      <c r="DU69" s="24177"/>
      <c r="DV69" s="24177"/>
      <c r="DW69" s="24177"/>
      <c r="DX69" s="24177"/>
      <c r="DY69" s="24177"/>
      <c r="DZ69" s="24177"/>
      <c r="EA69" s="24178"/>
      <c r="EB69" s="24176"/>
      <c r="EC69" s="24177"/>
      <c r="ED69" s="24177"/>
      <c r="EE69" s="24177"/>
      <c r="EF69" s="24177"/>
      <c r="EG69" s="24177"/>
      <c r="EH69" s="24177"/>
      <c r="EI69" s="24177"/>
      <c r="EJ69" s="24177"/>
      <c r="EK69" s="24177"/>
      <c r="EL69" s="24178"/>
      <c r="EM69" s="24176"/>
      <c r="EN69" s="24177"/>
      <c r="EO69" s="24177"/>
      <c r="EP69" s="24177"/>
      <c r="EQ69" s="24177"/>
      <c r="ER69" s="24177"/>
      <c r="ES69" s="24177"/>
      <c r="ET69" s="24177"/>
      <c r="EU69" s="24177"/>
      <c r="EV69" s="24177"/>
      <c r="EW69" s="24178"/>
      <c r="EX69" s="24156"/>
      <c r="EY69" s="24157"/>
      <c r="EZ69" s="24177"/>
      <c r="FA69" s="24177"/>
      <c r="FB69" s="24157"/>
      <c r="FC69" s="24177"/>
      <c r="FD69" s="24177"/>
      <c r="FE69" s="24177"/>
      <c r="FF69" s="24177"/>
      <c r="FG69" s="24177"/>
      <c r="FH69" s="24178"/>
      <c r="FI69" s="24156"/>
      <c r="FJ69" s="24157"/>
      <c r="FK69" s="24177"/>
      <c r="FL69" s="24177"/>
      <c r="FM69" s="24157"/>
      <c r="FN69" s="24177"/>
      <c r="FO69" s="24177"/>
      <c r="FP69" s="24157"/>
      <c r="FQ69" s="24157"/>
      <c r="FR69" s="24157"/>
      <c r="FS69" s="24178"/>
      <c r="FT69" s="24161"/>
      <c r="FU69" s="1184" t="s">
        <v>710</v>
      </c>
      <c r="FV69" s="1568"/>
      <c r="FW69" s="1550"/>
      <c r="FX69" s="1550" t="str">
        <f t="shared" si="1"/>
        <v>Наименование признака дифференциации</v>
      </c>
      <c r="FY69" s="1550"/>
      <c r="FZ69" s="1550"/>
      <c r="GA69" s="1561">
        <v>0</v>
      </c>
    </row>
    <row r="70" spans="1:183" s="1747" customFormat="1" ht="23.25" customHeight="1">
      <c r="A70" s="1289"/>
      <c r="B70" s="1289"/>
      <c r="C70" s="1289"/>
      <c r="D70" s="1289"/>
      <c r="E70" s="24089"/>
      <c r="F70" s="24089"/>
      <c r="G70" s="24089" t="s">
        <v>95</v>
      </c>
      <c r="H70" s="24089"/>
      <c r="I70" s="24091"/>
      <c r="J70" s="24090" t="str">
        <f>I69&amp;".1"</f>
        <v>1.1.3.1.1</v>
      </c>
      <c r="K70" s="1289"/>
      <c r="L70" s="1295" t="s">
        <v>635</v>
      </c>
      <c r="M70" s="1674"/>
      <c r="N70" s="1674"/>
      <c r="O70" s="1674"/>
      <c r="P70" s="24092"/>
      <c r="Q70" s="24092">
        <v>1</v>
      </c>
      <c r="R70" s="293"/>
      <c r="S70" s="1976" t="str">
        <f>$J70</f>
        <v>1.1.3.1.1</v>
      </c>
      <c r="T70" s="222" t="s">
        <v>636</v>
      </c>
      <c r="U70" s="236"/>
      <c r="V70" s="24076"/>
      <c r="W70" s="24077"/>
      <c r="X70" s="24077"/>
      <c r="Y70" s="24077"/>
      <c r="Z70" s="24077"/>
      <c r="AA70" s="24077"/>
      <c r="AB70" s="24077"/>
      <c r="AC70" s="24077"/>
      <c r="AD70" s="24077"/>
      <c r="AE70" s="24077"/>
      <c r="AF70" s="24078"/>
      <c r="AG70" s="24076" t="s">
        <v>769</v>
      </c>
      <c r="AH70" s="24077"/>
      <c r="AI70" s="24077"/>
      <c r="AJ70" s="24077"/>
      <c r="AK70" s="24077"/>
      <c r="AL70" s="24077"/>
      <c r="AM70" s="24077"/>
      <c r="AN70" s="24077"/>
      <c r="AO70" s="24077"/>
      <c r="AP70" s="24077"/>
      <c r="AQ70" s="24077"/>
      <c r="AR70" s="24179"/>
      <c r="AS70" s="24180"/>
      <c r="AT70" s="24180"/>
      <c r="AU70" s="24180"/>
      <c r="AV70" s="24180"/>
      <c r="AW70" s="24180"/>
      <c r="AX70" s="24180"/>
      <c r="AY70" s="24180"/>
      <c r="AZ70" s="24180"/>
      <c r="BA70" s="24180"/>
      <c r="BB70" s="24181"/>
      <c r="BC70" s="24179"/>
      <c r="BD70" s="24180"/>
      <c r="BE70" s="24180"/>
      <c r="BF70" s="24180"/>
      <c r="BG70" s="24180"/>
      <c r="BH70" s="24180"/>
      <c r="BI70" s="24180"/>
      <c r="BJ70" s="24180"/>
      <c r="BK70" s="24180"/>
      <c r="BL70" s="24180"/>
      <c r="BM70" s="24181"/>
      <c r="BN70" s="24076"/>
      <c r="BO70" s="24077"/>
      <c r="BP70" s="24180"/>
      <c r="BQ70" s="24180"/>
      <c r="BR70" s="24077"/>
      <c r="BS70" s="24180"/>
      <c r="BT70" s="24180"/>
      <c r="BU70" s="24180"/>
      <c r="BV70" s="24180"/>
      <c r="BW70" s="24180"/>
      <c r="BX70" s="24181"/>
      <c r="BY70" s="24179"/>
      <c r="BZ70" s="24180"/>
      <c r="CA70" s="24180"/>
      <c r="CB70" s="24180"/>
      <c r="CC70" s="24180"/>
      <c r="CD70" s="24180"/>
      <c r="CE70" s="24180"/>
      <c r="CF70" s="24180"/>
      <c r="CG70" s="24180"/>
      <c r="CH70" s="24180"/>
      <c r="CI70" s="24181"/>
      <c r="CJ70" s="24179"/>
      <c r="CK70" s="24180"/>
      <c r="CL70" s="24180"/>
      <c r="CM70" s="24180"/>
      <c r="CN70" s="24180"/>
      <c r="CO70" s="24180"/>
      <c r="CP70" s="24180"/>
      <c r="CQ70" s="24180"/>
      <c r="CR70" s="24180"/>
      <c r="CS70" s="24180"/>
      <c r="CT70" s="24181"/>
      <c r="CU70" s="24179"/>
      <c r="CV70" s="24180"/>
      <c r="CW70" s="24180"/>
      <c r="CX70" s="24180"/>
      <c r="CY70" s="24180"/>
      <c r="CZ70" s="24180"/>
      <c r="DA70" s="24180"/>
      <c r="DB70" s="24180"/>
      <c r="DC70" s="24180"/>
      <c r="DD70" s="24180"/>
      <c r="DE70" s="24181"/>
      <c r="DF70" s="24179"/>
      <c r="DG70" s="24180"/>
      <c r="DH70" s="24180"/>
      <c r="DI70" s="24180"/>
      <c r="DJ70" s="24180"/>
      <c r="DK70" s="24180"/>
      <c r="DL70" s="24180"/>
      <c r="DM70" s="24180"/>
      <c r="DN70" s="24180"/>
      <c r="DO70" s="24180"/>
      <c r="DP70" s="24181"/>
      <c r="DQ70" s="24179"/>
      <c r="DR70" s="24180"/>
      <c r="DS70" s="24180"/>
      <c r="DT70" s="24180"/>
      <c r="DU70" s="24180"/>
      <c r="DV70" s="24180"/>
      <c r="DW70" s="24180"/>
      <c r="DX70" s="24180"/>
      <c r="DY70" s="24180"/>
      <c r="DZ70" s="24180"/>
      <c r="EA70" s="24181"/>
      <c r="EB70" s="24179"/>
      <c r="EC70" s="24180"/>
      <c r="ED70" s="24180"/>
      <c r="EE70" s="24180"/>
      <c r="EF70" s="24180"/>
      <c r="EG70" s="24180"/>
      <c r="EH70" s="24180"/>
      <c r="EI70" s="24180"/>
      <c r="EJ70" s="24180"/>
      <c r="EK70" s="24180"/>
      <c r="EL70" s="24181"/>
      <c r="EM70" s="24179"/>
      <c r="EN70" s="24180"/>
      <c r="EO70" s="24180"/>
      <c r="EP70" s="24180"/>
      <c r="EQ70" s="24180"/>
      <c r="ER70" s="24180"/>
      <c r="ES70" s="24180"/>
      <c r="ET70" s="24180"/>
      <c r="EU70" s="24180"/>
      <c r="EV70" s="24180"/>
      <c r="EW70" s="24181"/>
      <c r="EX70" s="24076"/>
      <c r="EY70" s="24077"/>
      <c r="EZ70" s="24180"/>
      <c r="FA70" s="24180"/>
      <c r="FB70" s="24077"/>
      <c r="FC70" s="24180"/>
      <c r="FD70" s="24180"/>
      <c r="FE70" s="24180"/>
      <c r="FF70" s="24180"/>
      <c r="FG70" s="24180"/>
      <c r="FH70" s="24181"/>
      <c r="FI70" s="24076"/>
      <c r="FJ70" s="24077"/>
      <c r="FK70" s="24180"/>
      <c r="FL70" s="24180"/>
      <c r="FM70" s="24077"/>
      <c r="FN70" s="24180"/>
      <c r="FO70" s="24180"/>
      <c r="FP70" s="24077"/>
      <c r="FQ70" s="24077"/>
      <c r="FR70" s="24077"/>
      <c r="FS70" s="24181"/>
      <c r="FT70" s="24078"/>
      <c r="FU70" s="1233" t="s">
        <v>711</v>
      </c>
      <c r="FV70" s="1568"/>
      <c r="FW70" s="1550"/>
      <c r="FX70" s="1550" t="str">
        <f t="shared" si="1"/>
        <v>Группа потребителей</v>
      </c>
      <c r="FY70" s="1550"/>
      <c r="FZ70" s="1550"/>
      <c r="GA70" s="1561">
        <v>0</v>
      </c>
    </row>
    <row r="71" spans="1:183" s="1747" customFormat="1" ht="23.25" customHeight="1">
      <c r="A71" s="1289"/>
      <c r="B71" s="1289"/>
      <c r="C71" s="1289"/>
      <c r="D71" s="1289"/>
      <c r="E71" s="24089"/>
      <c r="F71" s="24089"/>
      <c r="G71" s="24089" t="s">
        <v>95</v>
      </c>
      <c r="H71" s="24089"/>
      <c r="I71" s="24091"/>
      <c r="J71" s="24091"/>
      <c r="K71" s="24090" t="str">
        <f>J70&amp;".1"</f>
        <v>1.1.3.1.1.1</v>
      </c>
      <c r="L71" s="1295"/>
      <c r="M71" s="1674"/>
      <c r="N71" s="1674"/>
      <c r="O71" s="1674"/>
      <c r="P71" s="24092"/>
      <c r="Q71" s="24092"/>
      <c r="R71" s="293">
        <v>1</v>
      </c>
      <c r="S71" s="1976" t="str">
        <f>$K71</f>
        <v>1.1.3.1.1.1</v>
      </c>
      <c r="T71" s="1363"/>
      <c r="U71" s="236"/>
      <c r="V71" s="1286"/>
      <c r="W71" s="1286"/>
      <c r="X71" s="1286"/>
      <c r="Y71" s="1286"/>
      <c r="Z71" s="1286"/>
      <c r="AA71" s="1286"/>
      <c r="AB71" s="1286"/>
      <c r="AC71" s="24086"/>
      <c r="AD71" s="24085" t="s">
        <v>59</v>
      </c>
      <c r="AE71" s="24086"/>
      <c r="AF71" s="24085" t="s">
        <v>59</v>
      </c>
      <c r="AG71" s="687">
        <v>238.66</v>
      </c>
      <c r="AH71" s="687">
        <v>38.840000000000003</v>
      </c>
      <c r="AI71" s="687"/>
      <c r="AJ71" s="687"/>
      <c r="AK71" s="687">
        <v>3133.44</v>
      </c>
      <c r="AL71" s="687"/>
      <c r="AM71" s="687"/>
      <c r="AN71" s="24093" t="s">
        <v>9</v>
      </c>
      <c r="AO71" s="23957" t="s">
        <v>59</v>
      </c>
      <c r="AP71" s="24095" t="s">
        <v>770</v>
      </c>
      <c r="AQ71" s="23957" t="s">
        <v>59</v>
      </c>
      <c r="AR71" s="687">
        <v>265.92</v>
      </c>
      <c r="AS71" s="687">
        <v>42.72</v>
      </c>
      <c r="AT71" s="687"/>
      <c r="AU71" s="687"/>
      <c r="AV71" s="687">
        <v>3500.05</v>
      </c>
      <c r="AW71" s="687"/>
      <c r="AX71" s="687"/>
      <c r="AY71" s="24093" t="s">
        <v>772</v>
      </c>
      <c r="AZ71" s="23957" t="s">
        <v>59</v>
      </c>
      <c r="BA71" s="24093" t="s">
        <v>773</v>
      </c>
      <c r="BB71" s="23957" t="s">
        <v>59</v>
      </c>
      <c r="BC71" s="687">
        <v>265.92</v>
      </c>
      <c r="BD71" s="687">
        <v>42.72</v>
      </c>
      <c r="BE71" s="687"/>
      <c r="BF71" s="687"/>
      <c r="BG71" s="687">
        <v>3500.05</v>
      </c>
      <c r="BH71" s="687"/>
      <c r="BI71" s="687"/>
      <c r="BJ71" s="24093" t="s">
        <v>774</v>
      </c>
      <c r="BK71" s="23957" t="s">
        <v>59</v>
      </c>
      <c r="BL71" s="24093" t="s">
        <v>775</v>
      </c>
      <c r="BM71" s="23957" t="s">
        <v>59</v>
      </c>
      <c r="BN71" s="687">
        <v>301.02</v>
      </c>
      <c r="BO71" s="687">
        <v>51.26</v>
      </c>
      <c r="BP71" s="687"/>
      <c r="BQ71" s="687"/>
      <c r="BR71" s="687">
        <v>3916.55</v>
      </c>
      <c r="BS71" s="687"/>
      <c r="BT71" s="687"/>
      <c r="BU71" s="24093" t="s">
        <v>776</v>
      </c>
      <c r="BV71" s="23957" t="s">
        <v>59</v>
      </c>
      <c r="BW71" s="24093" t="s">
        <v>777</v>
      </c>
      <c r="BX71" s="23957" t="s">
        <v>59</v>
      </c>
      <c r="BY71" s="687">
        <v>293.98</v>
      </c>
      <c r="BZ71" s="687">
        <v>44.22</v>
      </c>
      <c r="CA71" s="687"/>
      <c r="CB71" s="687"/>
      <c r="CC71" s="687">
        <v>3916.55</v>
      </c>
      <c r="CD71" s="687"/>
      <c r="CE71" s="687"/>
      <c r="CF71" s="24093" t="s">
        <v>778</v>
      </c>
      <c r="CG71" s="23957" t="s">
        <v>59</v>
      </c>
      <c r="CH71" s="24093">
        <v>46295</v>
      </c>
      <c r="CI71" s="23957" t="s">
        <v>59</v>
      </c>
      <c r="CJ71" s="687">
        <v>320.39</v>
      </c>
      <c r="CK71" s="687">
        <v>44.22</v>
      </c>
      <c r="CL71" s="687"/>
      <c r="CM71" s="687"/>
      <c r="CN71" s="687">
        <v>4330.76</v>
      </c>
      <c r="CO71" s="687"/>
      <c r="CP71" s="687"/>
      <c r="CQ71" s="24093">
        <v>46296</v>
      </c>
      <c r="CR71" s="23957" t="s">
        <v>59</v>
      </c>
      <c r="CS71" s="24093" t="s">
        <v>779</v>
      </c>
      <c r="CT71" s="23957" t="s">
        <v>59</v>
      </c>
      <c r="CU71" s="687">
        <v>320.20999999999998</v>
      </c>
      <c r="CV71" s="687">
        <v>44.04</v>
      </c>
      <c r="CW71" s="687"/>
      <c r="CX71" s="687"/>
      <c r="CY71" s="687">
        <v>4330.76</v>
      </c>
      <c r="CZ71" s="687"/>
      <c r="DA71" s="687"/>
      <c r="DB71" s="24093" t="s">
        <v>780</v>
      </c>
      <c r="DC71" s="23957" t="s">
        <v>59</v>
      </c>
      <c r="DD71" s="24093" t="s">
        <v>781</v>
      </c>
      <c r="DE71" s="23957" t="s">
        <v>59</v>
      </c>
      <c r="DF71" s="687">
        <v>342.89</v>
      </c>
      <c r="DG71" s="687">
        <v>44.04</v>
      </c>
      <c r="DH71" s="687"/>
      <c r="DI71" s="687"/>
      <c r="DJ71" s="687">
        <v>4686.3900000000003</v>
      </c>
      <c r="DK71" s="687"/>
      <c r="DL71" s="687"/>
      <c r="DM71" s="24093" t="s">
        <v>782</v>
      </c>
      <c r="DN71" s="23957" t="s">
        <v>59</v>
      </c>
      <c r="DO71" s="24093" t="s">
        <v>783</v>
      </c>
      <c r="DP71" s="23957" t="s">
        <v>59</v>
      </c>
      <c r="DQ71" s="687">
        <v>298.85000000000002</v>
      </c>
      <c r="DR71" s="687">
        <v>0</v>
      </c>
      <c r="DS71" s="687"/>
      <c r="DT71" s="687"/>
      <c r="DU71" s="687">
        <f>DJ71</f>
        <v>4686.3900000000003</v>
      </c>
      <c r="DV71" s="687"/>
      <c r="DW71" s="687"/>
      <c r="DX71" s="24093" t="s">
        <v>784</v>
      </c>
      <c r="DY71" s="23957" t="s">
        <v>59</v>
      </c>
      <c r="DZ71" s="24093" t="s">
        <v>785</v>
      </c>
      <c r="EA71" s="23957" t="s">
        <v>59</v>
      </c>
      <c r="EB71" s="687">
        <v>319.45</v>
      </c>
      <c r="EC71" s="687">
        <v>0</v>
      </c>
      <c r="ED71" s="687"/>
      <c r="EE71" s="687"/>
      <c r="EF71" s="687">
        <v>5009.37</v>
      </c>
      <c r="EG71" s="687"/>
      <c r="EH71" s="687"/>
      <c r="EI71" s="24093" t="s">
        <v>786</v>
      </c>
      <c r="EJ71" s="23957" t="s">
        <v>59</v>
      </c>
      <c r="EK71" s="24093" t="s">
        <v>787</v>
      </c>
      <c r="EL71" s="23957" t="s">
        <v>6</v>
      </c>
      <c r="EM71" s="1286"/>
      <c r="EN71" s="1286"/>
      <c r="EO71" s="1286"/>
      <c r="EP71" s="1286"/>
      <c r="EQ71" s="1286"/>
      <c r="ER71" s="1286"/>
      <c r="ES71" s="1286"/>
      <c r="ET71" s="24086"/>
      <c r="EU71" s="24085" t="s">
        <v>59</v>
      </c>
      <c r="EV71" s="24086"/>
      <c r="EW71" s="24085" t="s">
        <v>59</v>
      </c>
      <c r="EX71" s="1286"/>
      <c r="EY71" s="1286"/>
      <c r="EZ71" s="1286"/>
      <c r="FA71" s="1286"/>
      <c r="FB71" s="1286"/>
      <c r="FC71" s="1286"/>
      <c r="FD71" s="1286"/>
      <c r="FE71" s="24086"/>
      <c r="FF71" s="24085" t="s">
        <v>59</v>
      </c>
      <c r="FG71" s="24086"/>
      <c r="FH71" s="24085" t="s">
        <v>59</v>
      </c>
      <c r="FI71" s="1286"/>
      <c r="FJ71" s="1286"/>
      <c r="FK71" s="1286"/>
      <c r="FL71" s="1286"/>
      <c r="FM71" s="1286"/>
      <c r="FN71" s="1286"/>
      <c r="FO71" s="1286"/>
      <c r="FP71" s="24086"/>
      <c r="FQ71" s="24085" t="s">
        <v>59</v>
      </c>
      <c r="FR71" s="24086"/>
      <c r="FS71" s="24085" t="s">
        <v>59</v>
      </c>
      <c r="FT71" s="1364"/>
      <c r="FU7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71" s="1568" t="e">
        <f ca="1">STRCHECKDATE(V72:FT72)</f>
        <v>#NAME?</v>
      </c>
      <c r="FW71" s="1550"/>
      <c r="FX71" s="1550" t="str">
        <f t="shared" si="1"/>
        <v/>
      </c>
      <c r="FY71" s="1550"/>
      <c r="FZ71" s="1550"/>
      <c r="GA71" s="1561">
        <v>0</v>
      </c>
    </row>
    <row r="72" spans="1:183" s="1747" customFormat="1" ht="14.25" customHeight="1">
      <c r="A72" s="1289"/>
      <c r="B72" s="1289"/>
      <c r="C72" s="1289"/>
      <c r="D72" s="1289"/>
      <c r="E72" s="24089"/>
      <c r="F72" s="24089"/>
      <c r="G72" s="24089" t="s">
        <v>95</v>
      </c>
      <c r="H72" s="24089"/>
      <c r="I72" s="24091"/>
      <c r="J72" s="24091"/>
      <c r="K72" s="24090"/>
      <c r="L72" s="1295"/>
      <c r="M72" s="1674"/>
      <c r="N72" s="1674"/>
      <c r="O72" s="1674"/>
      <c r="P72" s="24092"/>
      <c r="Q72" s="24092"/>
      <c r="R72" s="293"/>
      <c r="S72" s="1982"/>
      <c r="T72" s="236"/>
      <c r="U72" s="236"/>
      <c r="V72" s="1286"/>
      <c r="W72" s="1286"/>
      <c r="X72" s="1286"/>
      <c r="Y72" s="1286"/>
      <c r="Z72" s="1286"/>
      <c r="AA72" s="1286"/>
      <c r="AB72" s="1286"/>
      <c r="AC72" s="24085"/>
      <c r="AD72" s="24085"/>
      <c r="AE72" s="24085"/>
      <c r="AF72" s="24085"/>
      <c r="AG72" s="261"/>
      <c r="AH72" s="261"/>
      <c r="AI72" s="261"/>
      <c r="AJ72" s="261"/>
      <c r="AK72" s="261"/>
      <c r="AL72" s="261"/>
      <c r="AM72" s="261"/>
      <c r="AN72" s="24094"/>
      <c r="AO72" s="23957"/>
      <c r="AP72" s="24096"/>
      <c r="AQ72" s="23957"/>
      <c r="AR72" s="261"/>
      <c r="AS72" s="261"/>
      <c r="AT72" s="261"/>
      <c r="AU72" s="261"/>
      <c r="AV72" s="261"/>
      <c r="AW72" s="261"/>
      <c r="AX72" s="261"/>
      <c r="AY72" s="24094"/>
      <c r="AZ72" s="23957"/>
      <c r="BA72" s="24094"/>
      <c r="BB72" s="23957"/>
      <c r="BC72" s="261"/>
      <c r="BD72" s="261"/>
      <c r="BE72" s="261"/>
      <c r="BF72" s="261"/>
      <c r="BG72" s="261"/>
      <c r="BH72" s="261"/>
      <c r="BI72" s="261"/>
      <c r="BJ72" s="24094"/>
      <c r="BK72" s="23957"/>
      <c r="BL72" s="24094"/>
      <c r="BM72" s="23957"/>
      <c r="BN72" s="261"/>
      <c r="BO72" s="261"/>
      <c r="BP72" s="261"/>
      <c r="BQ72" s="261"/>
      <c r="BR72" s="261"/>
      <c r="BS72" s="261"/>
      <c r="BT72" s="261"/>
      <c r="BU72" s="24094"/>
      <c r="BV72" s="23957"/>
      <c r="BW72" s="24094"/>
      <c r="BX72" s="23957"/>
      <c r="BY72" s="261"/>
      <c r="BZ72" s="261"/>
      <c r="CA72" s="261"/>
      <c r="CB72" s="261"/>
      <c r="CC72" s="261"/>
      <c r="CD72" s="261"/>
      <c r="CE72" s="261"/>
      <c r="CF72" s="24094"/>
      <c r="CG72" s="23957"/>
      <c r="CH72" s="24094"/>
      <c r="CI72" s="23957"/>
      <c r="CJ72" s="261"/>
      <c r="CK72" s="261"/>
      <c r="CL72" s="261"/>
      <c r="CM72" s="261"/>
      <c r="CN72" s="261"/>
      <c r="CO72" s="261"/>
      <c r="CP72" s="261"/>
      <c r="CQ72" s="24094"/>
      <c r="CR72" s="23957"/>
      <c r="CS72" s="24094"/>
      <c r="CT72" s="23957"/>
      <c r="CU72" s="261"/>
      <c r="CV72" s="261"/>
      <c r="CW72" s="261"/>
      <c r="CX72" s="261"/>
      <c r="CY72" s="261"/>
      <c r="CZ72" s="261"/>
      <c r="DA72" s="261"/>
      <c r="DB72" s="24094"/>
      <c r="DC72" s="23957"/>
      <c r="DD72" s="24094"/>
      <c r="DE72" s="23957"/>
      <c r="DF72" s="261"/>
      <c r="DG72" s="261"/>
      <c r="DH72" s="261"/>
      <c r="DI72" s="261"/>
      <c r="DJ72" s="261"/>
      <c r="DK72" s="261"/>
      <c r="DL72" s="261"/>
      <c r="DM72" s="24094"/>
      <c r="DN72" s="23957"/>
      <c r="DO72" s="24094"/>
      <c r="DP72" s="23957"/>
      <c r="DQ72" s="261"/>
      <c r="DR72" s="261"/>
      <c r="DS72" s="261"/>
      <c r="DT72" s="261"/>
      <c r="DU72" s="261"/>
      <c r="DV72" s="261"/>
      <c r="DW72" s="261"/>
      <c r="DX72" s="24094"/>
      <c r="DY72" s="23957"/>
      <c r="DZ72" s="24094"/>
      <c r="EA72" s="23957"/>
      <c r="EB72" s="261"/>
      <c r="EC72" s="261"/>
      <c r="ED72" s="261"/>
      <c r="EE72" s="261"/>
      <c r="EF72" s="261"/>
      <c r="EG72" s="261"/>
      <c r="EH72" s="261"/>
      <c r="EI72" s="24094"/>
      <c r="EJ72" s="23957"/>
      <c r="EK72" s="24094"/>
      <c r="EL72" s="23957"/>
      <c r="EM72" s="1286"/>
      <c r="EN72" s="1286"/>
      <c r="EO72" s="1286"/>
      <c r="EP72" s="1286"/>
      <c r="EQ72" s="1286"/>
      <c r="ER72" s="1286"/>
      <c r="ES72" s="1286"/>
      <c r="ET72" s="24085"/>
      <c r="EU72" s="24085"/>
      <c r="EV72" s="24085"/>
      <c r="EW72" s="24085"/>
      <c r="EX72" s="1286"/>
      <c r="EY72" s="1286"/>
      <c r="EZ72" s="1286"/>
      <c r="FA72" s="1286"/>
      <c r="FB72" s="1286"/>
      <c r="FC72" s="1286"/>
      <c r="FD72" s="1286"/>
      <c r="FE72" s="24085"/>
      <c r="FF72" s="24085"/>
      <c r="FG72" s="24085"/>
      <c r="FH72" s="24085"/>
      <c r="FI72" s="1286"/>
      <c r="FJ72" s="1286"/>
      <c r="FK72" s="1286"/>
      <c r="FL72" s="1286"/>
      <c r="FM72" s="1286"/>
      <c r="FN72" s="1286"/>
      <c r="FO72" s="1286"/>
      <c r="FP72" s="24085"/>
      <c r="FQ72" s="24085"/>
      <c r="FR72" s="24085"/>
      <c r="FS72" s="24085"/>
      <c r="FT72" s="1365"/>
      <c r="FU72" s="24162"/>
      <c r="FV72" s="1568"/>
      <c r="FW72" s="1550"/>
      <c r="FX72" s="1550" t="str">
        <f t="shared" si="1"/>
        <v/>
      </c>
      <c r="FY72" s="1550"/>
      <c r="FZ72" s="1550"/>
      <c r="GA72" s="1561">
        <v>0</v>
      </c>
    </row>
    <row r="73" spans="1:183" s="1747" customFormat="1" ht="21" customHeight="1">
      <c r="A73" s="1289"/>
      <c r="B73" s="1289"/>
      <c r="C73" s="1289"/>
      <c r="D73" s="1289"/>
      <c r="E73" s="24089"/>
      <c r="F73" s="24089"/>
      <c r="G73" s="24089" t="s">
        <v>95</v>
      </c>
      <c r="H73" s="24089"/>
      <c r="I73" s="24091"/>
      <c r="J73" s="24090"/>
      <c r="K73" s="1289"/>
      <c r="L73" s="1295"/>
      <c r="M73" s="1674"/>
      <c r="N73" s="1674"/>
      <c r="O73" s="1674"/>
      <c r="P73" s="24092"/>
      <c r="Q73" s="24092"/>
      <c r="R73" s="292"/>
      <c r="S73" s="2235"/>
      <c r="T73" s="2236" t="s">
        <v>712</v>
      </c>
      <c r="U73" s="2237"/>
      <c r="V73" s="2238"/>
      <c r="W73" s="2239"/>
      <c r="X73" s="2240"/>
      <c r="Y73" s="2241"/>
      <c r="Z73" s="2242"/>
      <c r="AA73" s="2243"/>
      <c r="AB73" s="2244"/>
      <c r="AC73" s="2245"/>
      <c r="AD73" s="2246"/>
      <c r="AE73" s="2247"/>
      <c r="AF73" s="2248"/>
      <c r="AG73" s="2249"/>
      <c r="AH73" s="2250"/>
      <c r="AI73" s="2251"/>
      <c r="AJ73" s="2252"/>
      <c r="AK73" s="2253"/>
      <c r="AL73" s="2254"/>
      <c r="AM73" s="2255"/>
      <c r="AN73" s="2256"/>
      <c r="AO73" s="2257"/>
      <c r="AP73" s="2258"/>
      <c r="AQ73" s="2259"/>
      <c r="AR73" s="6459"/>
      <c r="AS73" s="6460"/>
      <c r="AT73" s="6461"/>
      <c r="AU73" s="6462"/>
      <c r="AV73" s="6463"/>
      <c r="AW73" s="6464"/>
      <c r="AX73" s="6465"/>
      <c r="AY73" s="6466"/>
      <c r="AZ73" s="6467"/>
      <c r="BA73" s="6468"/>
      <c r="BB73" s="6469"/>
      <c r="BC73" s="6470"/>
      <c r="BD73" s="6471"/>
      <c r="BE73" s="9285"/>
      <c r="BF73" s="9286"/>
      <c r="BG73" s="21829"/>
      <c r="BH73" s="9287"/>
      <c r="BI73" s="9288"/>
      <c r="BJ73" s="9289"/>
      <c r="BK73" s="9290"/>
      <c r="BL73" s="9291"/>
      <c r="BM73" s="9292"/>
      <c r="BN73" s="2260"/>
      <c r="BO73" s="2261"/>
      <c r="BP73" s="9293"/>
      <c r="BQ73" s="9294"/>
      <c r="BR73" s="2262"/>
      <c r="BS73" s="9295"/>
      <c r="BT73" s="9296"/>
      <c r="BU73" s="9297"/>
      <c r="BV73" s="9298"/>
      <c r="BW73" s="9299"/>
      <c r="BX73" s="9300"/>
      <c r="BY73" s="9301"/>
      <c r="BZ73" s="9302"/>
      <c r="CA73" s="9303"/>
      <c r="CB73" s="9304"/>
      <c r="CC73" s="9305"/>
      <c r="CD73" s="9306"/>
      <c r="CE73" s="9307"/>
      <c r="CF73" s="9308"/>
      <c r="CG73" s="9309"/>
      <c r="CH73" s="9310"/>
      <c r="CI73" s="9311"/>
      <c r="CJ73" s="9312"/>
      <c r="CK73" s="9313"/>
      <c r="CL73" s="9314"/>
      <c r="CM73" s="9315"/>
      <c r="CN73" s="9316"/>
      <c r="CO73" s="9317"/>
      <c r="CP73" s="9318"/>
      <c r="CQ73" s="9319"/>
      <c r="CR73" s="9320"/>
      <c r="CS73" s="9321"/>
      <c r="CT73" s="9322"/>
      <c r="CU73" s="9323"/>
      <c r="CV73" s="9324"/>
      <c r="CW73" s="9325"/>
      <c r="CX73" s="9326"/>
      <c r="CY73" s="9327"/>
      <c r="CZ73" s="9328"/>
      <c r="DA73" s="9329"/>
      <c r="DB73" s="9330"/>
      <c r="DC73" s="9331"/>
      <c r="DD73" s="9332"/>
      <c r="DE73" s="9333"/>
      <c r="DF73" s="9334"/>
      <c r="DG73" s="9335"/>
      <c r="DH73" s="9336"/>
      <c r="DI73" s="9337"/>
      <c r="DJ73" s="9338"/>
      <c r="DK73" s="9339"/>
      <c r="DL73" s="9340"/>
      <c r="DM73" s="9341"/>
      <c r="DN73" s="9342"/>
      <c r="DO73" s="9343"/>
      <c r="DP73" s="9344"/>
      <c r="DQ73" s="9345"/>
      <c r="DR73" s="9346"/>
      <c r="DS73" s="9347"/>
      <c r="DT73" s="9348"/>
      <c r="DU73" s="9349"/>
      <c r="DV73" s="9350"/>
      <c r="DW73" s="9351"/>
      <c r="DX73" s="9352"/>
      <c r="DY73" s="9353"/>
      <c r="DZ73" s="9354"/>
      <c r="EA73" s="9355"/>
      <c r="EB73" s="9356"/>
      <c r="EC73" s="9357"/>
      <c r="ED73" s="9358"/>
      <c r="EE73" s="9359"/>
      <c r="EF73" s="9360"/>
      <c r="EG73" s="9361"/>
      <c r="EH73" s="9362"/>
      <c r="EI73" s="9363"/>
      <c r="EJ73" s="9364"/>
      <c r="EK73" s="9365"/>
      <c r="EL73" s="9366"/>
      <c r="EM73" s="21443"/>
      <c r="EN73" s="21444"/>
      <c r="EO73" s="9367"/>
      <c r="EP73" s="9368"/>
      <c r="EQ73" s="21445"/>
      <c r="ER73" s="9369"/>
      <c r="ES73" s="9370"/>
      <c r="ET73" s="9371"/>
      <c r="EU73" s="9372"/>
      <c r="EV73" s="9373"/>
      <c r="EW73" s="9374"/>
      <c r="EX73" s="2263"/>
      <c r="EY73" s="2264"/>
      <c r="EZ73" s="9375"/>
      <c r="FA73" s="9376"/>
      <c r="FB73" s="2265"/>
      <c r="FC73" s="9377"/>
      <c r="FD73" s="9378"/>
      <c r="FE73" s="9379"/>
      <c r="FF73" s="9380"/>
      <c r="FG73" s="9381"/>
      <c r="FH73" s="5669"/>
      <c r="FI73" s="22464"/>
      <c r="FJ73" s="22465"/>
      <c r="FK73" s="23287"/>
      <c r="FL73" s="23288"/>
      <c r="FM73" s="22466"/>
      <c r="FN73" s="23289"/>
      <c r="FO73" s="23290"/>
      <c r="FP73" s="22467"/>
      <c r="FQ73" s="22468"/>
      <c r="FR73" s="22469"/>
      <c r="FS73" s="23291"/>
      <c r="FT73" s="2266"/>
      <c r="FU73" s="1184" t="s">
        <v>713</v>
      </c>
      <c r="FV73" s="1568"/>
      <c r="FW73" s="1550"/>
      <c r="FX73" s="1550" t="str">
        <f t="shared" si="1"/>
        <v>Добавить значение признака дифференциации</v>
      </c>
      <c r="FY73" s="1550"/>
      <c r="FZ73" s="1550"/>
      <c r="GA73" s="1561">
        <v>0</v>
      </c>
    </row>
    <row r="74" spans="1:183" s="1747" customFormat="1" ht="23.25" customHeight="1">
      <c r="A74" s="1289"/>
      <c r="B74" s="1289"/>
      <c r="C74" s="1289"/>
      <c r="D74" s="1289"/>
      <c r="E74" s="24089"/>
      <c r="F74" s="24089"/>
      <c r="G74" s="24089"/>
      <c r="H74" s="24089"/>
      <c r="I74" s="24091"/>
      <c r="J74" s="24090" t="str">
        <f>I69&amp;".2"</f>
        <v>1.1.3.1.2</v>
      </c>
      <c r="K74" s="1289"/>
      <c r="L74" s="1295" t="s">
        <v>635</v>
      </c>
      <c r="M74" s="1674"/>
      <c r="N74" s="1674"/>
      <c r="O74" s="1674"/>
      <c r="P74" s="24092"/>
      <c r="Q74" s="24206" t="s">
        <v>96</v>
      </c>
      <c r="R74" s="293"/>
      <c r="S74" s="1976" t="str">
        <f>$J74</f>
        <v>1.1.3.1.2</v>
      </c>
      <c r="T74" s="222" t="s">
        <v>636</v>
      </c>
      <c r="U74" s="236"/>
      <c r="V74" s="24076"/>
      <c r="W74" s="24077"/>
      <c r="X74" s="24077"/>
      <c r="Y74" s="24077"/>
      <c r="Z74" s="24077"/>
      <c r="AA74" s="24077"/>
      <c r="AB74" s="24077"/>
      <c r="AC74" s="24077"/>
      <c r="AD74" s="24077"/>
      <c r="AE74" s="24077"/>
      <c r="AF74" s="24078"/>
      <c r="AG74" s="24076" t="s">
        <v>771</v>
      </c>
      <c r="AH74" s="24077"/>
      <c r="AI74" s="24077"/>
      <c r="AJ74" s="24077"/>
      <c r="AK74" s="24077"/>
      <c r="AL74" s="24077"/>
      <c r="AM74" s="24077"/>
      <c r="AN74" s="24077"/>
      <c r="AO74" s="24077"/>
      <c r="AP74" s="24077"/>
      <c r="AQ74" s="24077"/>
      <c r="AR74" s="24179"/>
      <c r="AS74" s="24180"/>
      <c r="AT74" s="24180"/>
      <c r="AU74" s="24180"/>
      <c r="AV74" s="24180"/>
      <c r="AW74" s="24180"/>
      <c r="AX74" s="24180"/>
      <c r="AY74" s="24180"/>
      <c r="AZ74" s="24180"/>
      <c r="BA74" s="24180"/>
      <c r="BB74" s="24181"/>
      <c r="BC74" s="24179"/>
      <c r="BD74" s="24180"/>
      <c r="BE74" s="24180"/>
      <c r="BF74" s="24180"/>
      <c r="BG74" s="24180"/>
      <c r="BH74" s="24180"/>
      <c r="BI74" s="24180"/>
      <c r="BJ74" s="24180"/>
      <c r="BK74" s="24180"/>
      <c r="BL74" s="24180"/>
      <c r="BM74" s="24181"/>
      <c r="BN74" s="24076"/>
      <c r="BO74" s="24077"/>
      <c r="BP74" s="24180"/>
      <c r="BQ74" s="24180"/>
      <c r="BR74" s="24077"/>
      <c r="BS74" s="24180"/>
      <c r="BT74" s="24180"/>
      <c r="BU74" s="24180"/>
      <c r="BV74" s="24180"/>
      <c r="BW74" s="24180"/>
      <c r="BX74" s="24181"/>
      <c r="BY74" s="24179"/>
      <c r="BZ74" s="24180"/>
      <c r="CA74" s="24180"/>
      <c r="CB74" s="24180"/>
      <c r="CC74" s="24180"/>
      <c r="CD74" s="24180"/>
      <c r="CE74" s="24180"/>
      <c r="CF74" s="24180"/>
      <c r="CG74" s="24180"/>
      <c r="CH74" s="24180"/>
      <c r="CI74" s="24181"/>
      <c r="CJ74" s="24179"/>
      <c r="CK74" s="24180"/>
      <c r="CL74" s="24180"/>
      <c r="CM74" s="24180"/>
      <c r="CN74" s="24180"/>
      <c r="CO74" s="24180"/>
      <c r="CP74" s="24180"/>
      <c r="CQ74" s="24180"/>
      <c r="CR74" s="24180"/>
      <c r="CS74" s="24180"/>
      <c r="CT74" s="24181"/>
      <c r="CU74" s="24179"/>
      <c r="CV74" s="24180"/>
      <c r="CW74" s="24180"/>
      <c r="CX74" s="24180"/>
      <c r="CY74" s="24180"/>
      <c r="CZ74" s="24180"/>
      <c r="DA74" s="24180"/>
      <c r="DB74" s="24180"/>
      <c r="DC74" s="24180"/>
      <c r="DD74" s="24180"/>
      <c r="DE74" s="24181"/>
      <c r="DF74" s="24179"/>
      <c r="DG74" s="24180"/>
      <c r="DH74" s="24180"/>
      <c r="DI74" s="24180"/>
      <c r="DJ74" s="24180"/>
      <c r="DK74" s="24180"/>
      <c r="DL74" s="24180"/>
      <c r="DM74" s="24180"/>
      <c r="DN74" s="24180"/>
      <c r="DO74" s="24180"/>
      <c r="DP74" s="24181"/>
      <c r="DQ74" s="24179"/>
      <c r="DR74" s="24180"/>
      <c r="DS74" s="24180"/>
      <c r="DT74" s="24180"/>
      <c r="DU74" s="24180"/>
      <c r="DV74" s="24180"/>
      <c r="DW74" s="24180"/>
      <c r="DX74" s="24180"/>
      <c r="DY74" s="24180"/>
      <c r="DZ74" s="24180"/>
      <c r="EA74" s="24181"/>
      <c r="EB74" s="24179"/>
      <c r="EC74" s="24180"/>
      <c r="ED74" s="24180"/>
      <c r="EE74" s="24180"/>
      <c r="EF74" s="24180"/>
      <c r="EG74" s="24180"/>
      <c r="EH74" s="24180"/>
      <c r="EI74" s="24180"/>
      <c r="EJ74" s="24180"/>
      <c r="EK74" s="24180"/>
      <c r="EL74" s="24181"/>
      <c r="EM74" s="24179"/>
      <c r="EN74" s="24180"/>
      <c r="EO74" s="24180"/>
      <c r="EP74" s="24180"/>
      <c r="EQ74" s="24180"/>
      <c r="ER74" s="24180"/>
      <c r="ES74" s="24180"/>
      <c r="ET74" s="24180"/>
      <c r="EU74" s="24180"/>
      <c r="EV74" s="24180"/>
      <c r="EW74" s="24181"/>
      <c r="EX74" s="24076"/>
      <c r="EY74" s="24077"/>
      <c r="EZ74" s="24180"/>
      <c r="FA74" s="24180"/>
      <c r="FB74" s="24077"/>
      <c r="FC74" s="24180"/>
      <c r="FD74" s="24180"/>
      <c r="FE74" s="24180"/>
      <c r="FF74" s="24180"/>
      <c r="FG74" s="24180"/>
      <c r="FH74" s="24181"/>
      <c r="FI74" s="24076"/>
      <c r="FJ74" s="24077"/>
      <c r="FK74" s="24180"/>
      <c r="FL74" s="24180"/>
      <c r="FM74" s="24077"/>
      <c r="FN74" s="24180"/>
      <c r="FO74" s="24180"/>
      <c r="FP74" s="24077"/>
      <c r="FQ74" s="24077"/>
      <c r="FR74" s="24077"/>
      <c r="FS74" s="24181"/>
      <c r="FT74" s="24078"/>
      <c r="FU74" s="1233" t="s">
        <v>711</v>
      </c>
      <c r="FV74" s="1568"/>
      <c r="FW74" s="1550"/>
      <c r="FX74" s="1550" t="str">
        <f t="shared" si="1"/>
        <v>Группа потребителей</v>
      </c>
      <c r="FY74" s="1550"/>
      <c r="FZ74" s="1550"/>
      <c r="GA74" s="1561">
        <v>0</v>
      </c>
    </row>
    <row r="75" spans="1:183" s="1747" customFormat="1" ht="23.25" customHeight="1">
      <c r="A75" s="1289"/>
      <c r="B75" s="1289"/>
      <c r="C75" s="1289"/>
      <c r="D75" s="1289"/>
      <c r="E75" s="24089"/>
      <c r="F75" s="24089"/>
      <c r="G75" s="24089"/>
      <c r="H75" s="24089"/>
      <c r="I75" s="24091"/>
      <c r="J75" s="24091" t="str">
        <f>I69&amp;".1"</f>
        <v>1.1.3.1.1</v>
      </c>
      <c r="K75" s="24090" t="str">
        <f>J74&amp;".1"</f>
        <v>1.1.3.1.2.1</v>
      </c>
      <c r="L75" s="1295"/>
      <c r="M75" s="1674"/>
      <c r="N75" s="1674"/>
      <c r="O75" s="1674"/>
      <c r="P75" s="24092"/>
      <c r="Q75" s="24092"/>
      <c r="R75" s="293">
        <v>1</v>
      </c>
      <c r="S75" s="1976" t="str">
        <f>$K75</f>
        <v>1.1.3.1.2.1</v>
      </c>
      <c r="T75" s="1363"/>
      <c r="U75" s="236"/>
      <c r="V75" s="1286"/>
      <c r="W75" s="1286"/>
      <c r="X75" s="1286"/>
      <c r="Y75" s="1286"/>
      <c r="Z75" s="1286"/>
      <c r="AA75" s="1286"/>
      <c r="AB75" s="1286"/>
      <c r="AC75" s="24086"/>
      <c r="AD75" s="24085" t="s">
        <v>59</v>
      </c>
      <c r="AE75" s="24086"/>
      <c r="AF75" s="24085" t="s">
        <v>59</v>
      </c>
      <c r="AG75" s="687">
        <v>214.14</v>
      </c>
      <c r="AH75" s="687">
        <v>46.61</v>
      </c>
      <c r="AI75" s="687"/>
      <c r="AJ75" s="687"/>
      <c r="AK75" s="687">
        <v>2627.14</v>
      </c>
      <c r="AL75" s="687"/>
      <c r="AM75" s="687"/>
      <c r="AN75" s="24093" t="s">
        <v>9</v>
      </c>
      <c r="AO75" s="23957" t="s">
        <v>59</v>
      </c>
      <c r="AP75" s="24095" t="s">
        <v>770</v>
      </c>
      <c r="AQ75" s="23957" t="s">
        <v>59</v>
      </c>
      <c r="AR75" s="687">
        <v>235.55</v>
      </c>
      <c r="AS75" s="687">
        <v>51.26</v>
      </c>
      <c r="AT75" s="687"/>
      <c r="AU75" s="687"/>
      <c r="AV75" s="687">
        <v>2889.85</v>
      </c>
      <c r="AW75" s="687"/>
      <c r="AX75" s="687"/>
      <c r="AY75" s="24093" t="s">
        <v>772</v>
      </c>
      <c r="AZ75" s="23957" t="s">
        <v>59</v>
      </c>
      <c r="BA75" s="24093" t="s">
        <v>773</v>
      </c>
      <c r="BB75" s="23957" t="s">
        <v>59</v>
      </c>
      <c r="BC75" s="687">
        <v>235.55</v>
      </c>
      <c r="BD75" s="687">
        <v>51.26</v>
      </c>
      <c r="BE75" s="687"/>
      <c r="BF75" s="687"/>
      <c r="BG75" s="687">
        <v>2889.85</v>
      </c>
      <c r="BH75" s="687"/>
      <c r="BI75" s="687"/>
      <c r="BJ75" s="24093" t="s">
        <v>774</v>
      </c>
      <c r="BK75" s="23957" t="s">
        <v>59</v>
      </c>
      <c r="BL75" s="24093" t="s">
        <v>775</v>
      </c>
      <c r="BM75" s="23957" t="s">
        <v>59</v>
      </c>
      <c r="BN75" s="687">
        <v>262.38</v>
      </c>
      <c r="BO75" s="687">
        <v>61.51</v>
      </c>
      <c r="BP75" s="687"/>
      <c r="BQ75" s="687"/>
      <c r="BR75" s="687">
        <v>3149.88</v>
      </c>
      <c r="BS75" s="687"/>
      <c r="BT75" s="687"/>
      <c r="BU75" s="24093" t="s">
        <v>776</v>
      </c>
      <c r="BV75" s="23957" t="s">
        <v>59</v>
      </c>
      <c r="BW75" s="24093" t="s">
        <v>777</v>
      </c>
      <c r="BX75" s="23957" t="s">
        <v>59</v>
      </c>
      <c r="BY75" s="687">
        <v>266.85000000000002</v>
      </c>
      <c r="BZ75" s="687">
        <v>53.95</v>
      </c>
      <c r="CA75" s="687"/>
      <c r="CB75" s="687"/>
      <c r="CC75" s="687">
        <v>3338.53</v>
      </c>
      <c r="CD75" s="687"/>
      <c r="CE75" s="687"/>
      <c r="CF75" s="24093" t="s">
        <v>778</v>
      </c>
      <c r="CG75" s="23957" t="s">
        <v>59</v>
      </c>
      <c r="CH75" s="24093">
        <v>46295</v>
      </c>
      <c r="CI75" s="23957" t="s">
        <v>59</v>
      </c>
      <c r="CJ75" s="687">
        <v>298.77999999999997</v>
      </c>
      <c r="CK75" s="687">
        <v>53.95</v>
      </c>
      <c r="CL75" s="687"/>
      <c r="CM75" s="687"/>
      <c r="CN75" s="687">
        <v>3839.32</v>
      </c>
      <c r="CO75" s="687"/>
      <c r="CP75" s="687"/>
      <c r="CQ75" s="24093">
        <v>46296</v>
      </c>
      <c r="CR75" s="23957" t="s">
        <v>59</v>
      </c>
      <c r="CS75" s="24093" t="s">
        <v>779</v>
      </c>
      <c r="CT75" s="23957" t="s">
        <v>59</v>
      </c>
      <c r="CU75" s="687">
        <v>298.56</v>
      </c>
      <c r="CV75" s="687">
        <v>53.73</v>
      </c>
      <c r="CW75" s="687"/>
      <c r="CX75" s="687"/>
      <c r="CY75" s="687">
        <v>3839.32</v>
      </c>
      <c r="CZ75" s="687"/>
      <c r="DA75" s="687"/>
      <c r="DB75" s="24093" t="s">
        <v>780</v>
      </c>
      <c r="DC75" s="23957" t="s">
        <v>59</v>
      </c>
      <c r="DD75" s="24093" t="s">
        <v>781</v>
      </c>
      <c r="DE75" s="23957" t="s">
        <v>59</v>
      </c>
      <c r="DF75" s="687">
        <v>319.86</v>
      </c>
      <c r="DG75" s="687">
        <v>53.73</v>
      </c>
      <c r="DH75" s="687"/>
      <c r="DI75" s="687"/>
      <c r="DJ75" s="687">
        <v>4173.34</v>
      </c>
      <c r="DK75" s="687"/>
      <c r="DL75" s="687"/>
      <c r="DM75" s="24093" t="s">
        <v>782</v>
      </c>
      <c r="DN75" s="23957" t="s">
        <v>59</v>
      </c>
      <c r="DO75" s="24093" t="s">
        <v>783</v>
      </c>
      <c r="DP75" s="23957" t="s">
        <v>59</v>
      </c>
      <c r="DQ75" s="687">
        <v>266.13</v>
      </c>
      <c r="DR75" s="687">
        <v>0</v>
      </c>
      <c r="DS75" s="687"/>
      <c r="DT75" s="687"/>
      <c r="DU75" s="687">
        <v>4173.34</v>
      </c>
      <c r="DV75" s="687"/>
      <c r="DW75" s="687"/>
      <c r="DX75" s="24093" t="s">
        <v>784</v>
      </c>
      <c r="DY75" s="23957" t="s">
        <v>59</v>
      </c>
      <c r="DZ75" s="24093" t="s">
        <v>785</v>
      </c>
      <c r="EA75" s="23957" t="s">
        <v>59</v>
      </c>
      <c r="EB75" s="687">
        <v>285.02999999999997</v>
      </c>
      <c r="EC75" s="687">
        <v>0</v>
      </c>
      <c r="ED75" s="687"/>
      <c r="EE75" s="687"/>
      <c r="EF75" s="687">
        <v>4469.6400000000003</v>
      </c>
      <c r="EG75" s="687"/>
      <c r="EH75" s="687"/>
      <c r="EI75" s="24093" t="s">
        <v>786</v>
      </c>
      <c r="EJ75" s="23957" t="s">
        <v>59</v>
      </c>
      <c r="EK75" s="24093" t="s">
        <v>787</v>
      </c>
      <c r="EL75" s="23957" t="s">
        <v>6</v>
      </c>
      <c r="EM75" s="1286"/>
      <c r="EN75" s="1286"/>
      <c r="EO75" s="1286"/>
      <c r="EP75" s="1286"/>
      <c r="EQ75" s="1286"/>
      <c r="ER75" s="1286"/>
      <c r="ES75" s="1286"/>
      <c r="ET75" s="24086"/>
      <c r="EU75" s="24085" t="s">
        <v>59</v>
      </c>
      <c r="EV75" s="24086"/>
      <c r="EW75" s="24085" t="s">
        <v>59</v>
      </c>
      <c r="EX75" s="1286"/>
      <c r="EY75" s="1286"/>
      <c r="EZ75" s="1286"/>
      <c r="FA75" s="1286"/>
      <c r="FB75" s="1286"/>
      <c r="FC75" s="1286"/>
      <c r="FD75" s="1286"/>
      <c r="FE75" s="24086"/>
      <c r="FF75" s="24085" t="s">
        <v>59</v>
      </c>
      <c r="FG75" s="24086"/>
      <c r="FH75" s="24085" t="s">
        <v>59</v>
      </c>
      <c r="FI75" s="1286"/>
      <c r="FJ75" s="1286"/>
      <c r="FK75" s="1286"/>
      <c r="FL75" s="1286"/>
      <c r="FM75" s="1286"/>
      <c r="FN75" s="1286"/>
      <c r="FO75" s="1286"/>
      <c r="FP75" s="24086"/>
      <c r="FQ75" s="24085" t="s">
        <v>59</v>
      </c>
      <c r="FR75" s="24086"/>
      <c r="FS75" s="24085" t="s">
        <v>59</v>
      </c>
      <c r="FT75" s="1364"/>
      <c r="FU7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75" s="1568" t="e">
        <f ca="1">STRCHECKDATE(V76:FT76)</f>
        <v>#NAME?</v>
      </c>
      <c r="FW75" s="1550"/>
      <c r="FX75" s="1550" t="str">
        <f t="shared" si="1"/>
        <v/>
      </c>
      <c r="FY75" s="1550"/>
      <c r="FZ75" s="1550"/>
      <c r="GA75" s="1561">
        <v>0</v>
      </c>
    </row>
    <row r="76" spans="1:183" s="1747" customFormat="1" ht="14.25" customHeight="1">
      <c r="A76" s="1289"/>
      <c r="B76" s="1289"/>
      <c r="C76" s="1289"/>
      <c r="D76" s="1289"/>
      <c r="E76" s="24089"/>
      <c r="F76" s="24089"/>
      <c r="G76" s="24089"/>
      <c r="H76" s="24089"/>
      <c r="I76" s="24091"/>
      <c r="J76" s="24091" t="str">
        <f>I69&amp;".1"</f>
        <v>1.1.3.1.1</v>
      </c>
      <c r="K76" s="24090"/>
      <c r="L76" s="1295"/>
      <c r="M76" s="1674"/>
      <c r="N76" s="1674"/>
      <c r="O76" s="1674"/>
      <c r="P76" s="24092"/>
      <c r="Q76" s="24092"/>
      <c r="R76" s="293"/>
      <c r="S76" s="1982"/>
      <c r="T76" s="236"/>
      <c r="U76" s="236"/>
      <c r="V76" s="1286"/>
      <c r="W76" s="1286"/>
      <c r="X76" s="1286"/>
      <c r="Y76" s="1286"/>
      <c r="Z76" s="1286"/>
      <c r="AA76" s="1286"/>
      <c r="AB76" s="1286"/>
      <c r="AC76" s="24085"/>
      <c r="AD76" s="24085"/>
      <c r="AE76" s="24085"/>
      <c r="AF76" s="24085"/>
      <c r="AG76" s="261"/>
      <c r="AH76" s="261"/>
      <c r="AI76" s="261"/>
      <c r="AJ76" s="261"/>
      <c r="AK76" s="261"/>
      <c r="AL76" s="261"/>
      <c r="AM76" s="261"/>
      <c r="AN76" s="24094"/>
      <c r="AO76" s="23957"/>
      <c r="AP76" s="24096"/>
      <c r="AQ76" s="23957"/>
      <c r="AR76" s="261"/>
      <c r="AS76" s="261"/>
      <c r="AT76" s="261"/>
      <c r="AU76" s="261"/>
      <c r="AV76" s="261"/>
      <c r="AW76" s="261"/>
      <c r="AX76" s="261"/>
      <c r="AY76" s="24094"/>
      <c r="AZ76" s="23957"/>
      <c r="BA76" s="24094"/>
      <c r="BB76" s="23957"/>
      <c r="BC76" s="261"/>
      <c r="BD76" s="261"/>
      <c r="BE76" s="261"/>
      <c r="BF76" s="261"/>
      <c r="BG76" s="261"/>
      <c r="BH76" s="261"/>
      <c r="BI76" s="261"/>
      <c r="BJ76" s="24094"/>
      <c r="BK76" s="23957"/>
      <c r="BL76" s="24094"/>
      <c r="BM76" s="23957"/>
      <c r="BN76" s="261"/>
      <c r="BO76" s="261"/>
      <c r="BP76" s="261"/>
      <c r="BQ76" s="261"/>
      <c r="BR76" s="261"/>
      <c r="BS76" s="261"/>
      <c r="BT76" s="261"/>
      <c r="BU76" s="24094"/>
      <c r="BV76" s="23957"/>
      <c r="BW76" s="24094"/>
      <c r="BX76" s="23957"/>
      <c r="BY76" s="261"/>
      <c r="BZ76" s="261"/>
      <c r="CA76" s="261"/>
      <c r="CB76" s="261"/>
      <c r="CC76" s="261"/>
      <c r="CD76" s="261"/>
      <c r="CE76" s="261"/>
      <c r="CF76" s="24094"/>
      <c r="CG76" s="23957"/>
      <c r="CH76" s="24094"/>
      <c r="CI76" s="23957"/>
      <c r="CJ76" s="261"/>
      <c r="CK76" s="261"/>
      <c r="CL76" s="261"/>
      <c r="CM76" s="261"/>
      <c r="CN76" s="261"/>
      <c r="CO76" s="261"/>
      <c r="CP76" s="261"/>
      <c r="CQ76" s="24094"/>
      <c r="CR76" s="23957"/>
      <c r="CS76" s="24094"/>
      <c r="CT76" s="23957"/>
      <c r="CU76" s="261"/>
      <c r="CV76" s="261"/>
      <c r="CW76" s="261"/>
      <c r="CX76" s="261"/>
      <c r="CY76" s="261"/>
      <c r="CZ76" s="261"/>
      <c r="DA76" s="261"/>
      <c r="DB76" s="24094"/>
      <c r="DC76" s="23957"/>
      <c r="DD76" s="24094"/>
      <c r="DE76" s="23957"/>
      <c r="DF76" s="261"/>
      <c r="DG76" s="261"/>
      <c r="DH76" s="261"/>
      <c r="DI76" s="261"/>
      <c r="DJ76" s="261"/>
      <c r="DK76" s="261"/>
      <c r="DL76" s="261"/>
      <c r="DM76" s="24094"/>
      <c r="DN76" s="23957"/>
      <c r="DO76" s="24094"/>
      <c r="DP76" s="23957"/>
      <c r="DQ76" s="261"/>
      <c r="DR76" s="261"/>
      <c r="DS76" s="261"/>
      <c r="DT76" s="261"/>
      <c r="DU76" s="261"/>
      <c r="DV76" s="261"/>
      <c r="DW76" s="261"/>
      <c r="DX76" s="24094"/>
      <c r="DY76" s="23957"/>
      <c r="DZ76" s="24094"/>
      <c r="EA76" s="23957"/>
      <c r="EB76" s="261"/>
      <c r="EC76" s="261"/>
      <c r="ED76" s="261"/>
      <c r="EE76" s="261"/>
      <c r="EF76" s="261"/>
      <c r="EG76" s="261"/>
      <c r="EH76" s="261"/>
      <c r="EI76" s="24094"/>
      <c r="EJ76" s="23957"/>
      <c r="EK76" s="24094"/>
      <c r="EL76" s="23957"/>
      <c r="EM76" s="1286"/>
      <c r="EN76" s="1286"/>
      <c r="EO76" s="1286"/>
      <c r="EP76" s="1286"/>
      <c r="EQ76" s="1286"/>
      <c r="ER76" s="1286"/>
      <c r="ES76" s="1286"/>
      <c r="ET76" s="24085"/>
      <c r="EU76" s="24085"/>
      <c r="EV76" s="24085"/>
      <c r="EW76" s="24085"/>
      <c r="EX76" s="1286"/>
      <c r="EY76" s="1286"/>
      <c r="EZ76" s="1286"/>
      <c r="FA76" s="1286"/>
      <c r="FB76" s="1286"/>
      <c r="FC76" s="1286"/>
      <c r="FD76" s="1286"/>
      <c r="FE76" s="24085"/>
      <c r="FF76" s="24085"/>
      <c r="FG76" s="24085"/>
      <c r="FH76" s="24085"/>
      <c r="FI76" s="1286"/>
      <c r="FJ76" s="1286"/>
      <c r="FK76" s="1286"/>
      <c r="FL76" s="1286"/>
      <c r="FM76" s="1286"/>
      <c r="FN76" s="1286"/>
      <c r="FO76" s="1286"/>
      <c r="FP76" s="24085"/>
      <c r="FQ76" s="24085"/>
      <c r="FR76" s="24085"/>
      <c r="FS76" s="24085"/>
      <c r="FT76" s="1365"/>
      <c r="FU76" s="24162"/>
      <c r="FV76" s="1568"/>
      <c r="FW76" s="1550"/>
      <c r="FX76" s="1550" t="str">
        <f t="shared" si="1"/>
        <v/>
      </c>
      <c r="FY76" s="1550"/>
      <c r="FZ76" s="1550"/>
      <c r="GA76" s="1561">
        <v>0</v>
      </c>
    </row>
    <row r="77" spans="1:183" s="1747" customFormat="1" ht="21" customHeight="1">
      <c r="A77" s="1289"/>
      <c r="B77" s="1289"/>
      <c r="C77" s="1289"/>
      <c r="D77" s="1289"/>
      <c r="E77" s="24089"/>
      <c r="F77" s="24089"/>
      <c r="G77" s="24089"/>
      <c r="H77" s="24089"/>
      <c r="I77" s="24091"/>
      <c r="J77" s="24090" t="str">
        <f>I69&amp;".1"</f>
        <v>1.1.3.1.1</v>
      </c>
      <c r="K77" s="1289"/>
      <c r="L77" s="1295"/>
      <c r="M77" s="1674"/>
      <c r="N77" s="1674"/>
      <c r="O77" s="1674"/>
      <c r="P77" s="24092"/>
      <c r="Q77" s="24092"/>
      <c r="R77" s="292"/>
      <c r="S77" s="2267"/>
      <c r="T77" s="2268" t="s">
        <v>712</v>
      </c>
      <c r="U77" s="2269"/>
      <c r="V77" s="2270"/>
      <c r="W77" s="2271"/>
      <c r="X77" s="2272"/>
      <c r="Y77" s="2273"/>
      <c r="Z77" s="2274"/>
      <c r="AA77" s="2275"/>
      <c r="AB77" s="2276"/>
      <c r="AC77" s="2277"/>
      <c r="AD77" s="2278"/>
      <c r="AE77" s="2279"/>
      <c r="AF77" s="2280"/>
      <c r="AG77" s="2281"/>
      <c r="AH77" s="2282"/>
      <c r="AI77" s="2283"/>
      <c r="AJ77" s="2284"/>
      <c r="AK77" s="2285"/>
      <c r="AL77" s="2286"/>
      <c r="AM77" s="2287"/>
      <c r="AN77" s="2288"/>
      <c r="AO77" s="2289"/>
      <c r="AP77" s="2290"/>
      <c r="AQ77" s="2291"/>
      <c r="AR77" s="6472"/>
      <c r="AS77" s="6473"/>
      <c r="AT77" s="6474"/>
      <c r="AU77" s="6475"/>
      <c r="AV77" s="6476"/>
      <c r="AW77" s="6477"/>
      <c r="AX77" s="6478"/>
      <c r="AY77" s="6479"/>
      <c r="AZ77" s="6480"/>
      <c r="BA77" s="6481"/>
      <c r="BB77" s="6482"/>
      <c r="BC77" s="6483"/>
      <c r="BD77" s="6484"/>
      <c r="BE77" s="9382"/>
      <c r="BF77" s="9383"/>
      <c r="BG77" s="21830"/>
      <c r="BH77" s="9384"/>
      <c r="BI77" s="9385"/>
      <c r="BJ77" s="9386"/>
      <c r="BK77" s="9387"/>
      <c r="BL77" s="9388"/>
      <c r="BM77" s="9389"/>
      <c r="BN77" s="2292"/>
      <c r="BO77" s="2293"/>
      <c r="BP77" s="9390"/>
      <c r="BQ77" s="9391"/>
      <c r="BR77" s="2294"/>
      <c r="BS77" s="9392"/>
      <c r="BT77" s="9393"/>
      <c r="BU77" s="9394"/>
      <c r="BV77" s="9395"/>
      <c r="BW77" s="9396"/>
      <c r="BX77" s="9397"/>
      <c r="BY77" s="9398"/>
      <c r="BZ77" s="9399"/>
      <c r="CA77" s="9400"/>
      <c r="CB77" s="9401"/>
      <c r="CC77" s="9402"/>
      <c r="CD77" s="9403"/>
      <c r="CE77" s="9404"/>
      <c r="CF77" s="9405"/>
      <c r="CG77" s="9406"/>
      <c r="CH77" s="9407"/>
      <c r="CI77" s="9408"/>
      <c r="CJ77" s="9409"/>
      <c r="CK77" s="9410"/>
      <c r="CL77" s="9411"/>
      <c r="CM77" s="9412"/>
      <c r="CN77" s="9413"/>
      <c r="CO77" s="9414"/>
      <c r="CP77" s="9415"/>
      <c r="CQ77" s="9416"/>
      <c r="CR77" s="9417"/>
      <c r="CS77" s="9418"/>
      <c r="CT77" s="9419"/>
      <c r="CU77" s="9420"/>
      <c r="CV77" s="9421"/>
      <c r="CW77" s="9422"/>
      <c r="CX77" s="9423"/>
      <c r="CY77" s="9424"/>
      <c r="CZ77" s="9425"/>
      <c r="DA77" s="9426"/>
      <c r="DB77" s="9427"/>
      <c r="DC77" s="9428"/>
      <c r="DD77" s="9429"/>
      <c r="DE77" s="9430"/>
      <c r="DF77" s="9431"/>
      <c r="DG77" s="9432"/>
      <c r="DH77" s="9433"/>
      <c r="DI77" s="9434"/>
      <c r="DJ77" s="9435"/>
      <c r="DK77" s="9436"/>
      <c r="DL77" s="9437"/>
      <c r="DM77" s="9438"/>
      <c r="DN77" s="9439"/>
      <c r="DO77" s="9440"/>
      <c r="DP77" s="9441"/>
      <c r="DQ77" s="9442"/>
      <c r="DR77" s="9443"/>
      <c r="DS77" s="9444"/>
      <c r="DT77" s="9445"/>
      <c r="DU77" s="9446"/>
      <c r="DV77" s="9447"/>
      <c r="DW77" s="9448"/>
      <c r="DX77" s="9449"/>
      <c r="DY77" s="9450"/>
      <c r="DZ77" s="9451"/>
      <c r="EA77" s="9452"/>
      <c r="EB77" s="9453"/>
      <c r="EC77" s="9454"/>
      <c r="ED77" s="9455"/>
      <c r="EE77" s="9456"/>
      <c r="EF77" s="9457"/>
      <c r="EG77" s="9458"/>
      <c r="EH77" s="9459"/>
      <c r="EI77" s="9460"/>
      <c r="EJ77" s="9461"/>
      <c r="EK77" s="9462"/>
      <c r="EL77" s="9463"/>
      <c r="EM77" s="21446"/>
      <c r="EN77" s="21447"/>
      <c r="EO77" s="9464"/>
      <c r="EP77" s="9465"/>
      <c r="EQ77" s="21448"/>
      <c r="ER77" s="9466"/>
      <c r="ES77" s="9467"/>
      <c r="ET77" s="9468"/>
      <c r="EU77" s="9469"/>
      <c r="EV77" s="9470"/>
      <c r="EW77" s="9471"/>
      <c r="EX77" s="2295"/>
      <c r="EY77" s="2296"/>
      <c r="EZ77" s="9472"/>
      <c r="FA77" s="9473"/>
      <c r="FB77" s="2297"/>
      <c r="FC77" s="9474"/>
      <c r="FD77" s="9475"/>
      <c r="FE77" s="9476"/>
      <c r="FF77" s="9477"/>
      <c r="FG77" s="9478"/>
      <c r="FH77" s="5670"/>
      <c r="FI77" s="22470"/>
      <c r="FJ77" s="22471"/>
      <c r="FK77" s="23292"/>
      <c r="FL77" s="23293"/>
      <c r="FM77" s="22472"/>
      <c r="FN77" s="23294"/>
      <c r="FO77" s="23295"/>
      <c r="FP77" s="22473"/>
      <c r="FQ77" s="22474"/>
      <c r="FR77" s="22475"/>
      <c r="FS77" s="23296"/>
      <c r="FT77" s="2298"/>
      <c r="FU77" s="1184" t="s">
        <v>713</v>
      </c>
      <c r="FV77" s="1568"/>
      <c r="FW77" s="1550"/>
      <c r="FX77" s="1550" t="str">
        <f t="shared" si="1"/>
        <v>Добавить значение признака дифференциации</v>
      </c>
      <c r="FY77" s="1550"/>
      <c r="FZ77" s="1550"/>
      <c r="GA77" s="1561">
        <v>0</v>
      </c>
    </row>
    <row r="78" spans="1:183" s="1747" customFormat="1" ht="21" customHeight="1">
      <c r="A78" s="1289"/>
      <c r="B78" s="1289"/>
      <c r="C78" s="1289"/>
      <c r="D78" s="1289"/>
      <c r="E78" s="24089"/>
      <c r="F78" s="24089"/>
      <c r="G78" s="24089" t="s">
        <v>95</v>
      </c>
      <c r="H78" s="24089"/>
      <c r="I78" s="24090"/>
      <c r="J78" s="1289"/>
      <c r="K78" s="1289"/>
      <c r="L78" s="1295"/>
      <c r="M78" s="1674"/>
      <c r="N78" s="1674"/>
      <c r="O78" s="1674"/>
      <c r="P78" s="24092"/>
      <c r="Q78" s="1978"/>
      <c r="R78" s="292"/>
      <c r="S78" s="2299"/>
      <c r="T78" s="2300" t="s">
        <v>641</v>
      </c>
      <c r="U78" s="2301"/>
      <c r="V78" s="2302"/>
      <c r="W78" s="2303"/>
      <c r="X78" s="2304"/>
      <c r="Y78" s="2305"/>
      <c r="Z78" s="2306"/>
      <c r="AA78" s="2307"/>
      <c r="AB78" s="2308"/>
      <c r="AC78" s="2309"/>
      <c r="AD78" s="2310"/>
      <c r="AE78" s="2311"/>
      <c r="AF78" s="2312"/>
      <c r="AG78" s="2313"/>
      <c r="AH78" s="2314"/>
      <c r="AI78" s="2315"/>
      <c r="AJ78" s="2316"/>
      <c r="AK78" s="2317"/>
      <c r="AL78" s="2318"/>
      <c r="AM78" s="2319"/>
      <c r="AN78" s="2320"/>
      <c r="AO78" s="2321"/>
      <c r="AP78" s="2322"/>
      <c r="AQ78" s="2323"/>
      <c r="AR78" s="6485"/>
      <c r="AS78" s="6486"/>
      <c r="AT78" s="6487"/>
      <c r="AU78" s="6488"/>
      <c r="AV78" s="6489"/>
      <c r="AW78" s="6490"/>
      <c r="AX78" s="6491"/>
      <c r="AY78" s="6492"/>
      <c r="AZ78" s="6493"/>
      <c r="BA78" s="6494"/>
      <c r="BB78" s="6495"/>
      <c r="BC78" s="6496"/>
      <c r="BD78" s="6497"/>
      <c r="BE78" s="9479"/>
      <c r="BF78" s="9480"/>
      <c r="BG78" s="21831"/>
      <c r="BH78" s="9481"/>
      <c r="BI78" s="9482"/>
      <c r="BJ78" s="9483"/>
      <c r="BK78" s="9484"/>
      <c r="BL78" s="9485"/>
      <c r="BM78" s="9486"/>
      <c r="BN78" s="2324"/>
      <c r="BO78" s="2325"/>
      <c r="BP78" s="9487"/>
      <c r="BQ78" s="9488"/>
      <c r="BR78" s="2326"/>
      <c r="BS78" s="9489"/>
      <c r="BT78" s="9490"/>
      <c r="BU78" s="9491"/>
      <c r="BV78" s="9492"/>
      <c r="BW78" s="9493"/>
      <c r="BX78" s="9494"/>
      <c r="BY78" s="9495"/>
      <c r="BZ78" s="9496"/>
      <c r="CA78" s="9497"/>
      <c r="CB78" s="9498"/>
      <c r="CC78" s="9499"/>
      <c r="CD78" s="9500"/>
      <c r="CE78" s="9501"/>
      <c r="CF78" s="9502"/>
      <c r="CG78" s="9503"/>
      <c r="CH78" s="9504"/>
      <c r="CI78" s="9505"/>
      <c r="CJ78" s="9506"/>
      <c r="CK78" s="9507"/>
      <c r="CL78" s="9508"/>
      <c r="CM78" s="9509"/>
      <c r="CN78" s="9510"/>
      <c r="CO78" s="9511"/>
      <c r="CP78" s="9512"/>
      <c r="CQ78" s="9513"/>
      <c r="CR78" s="9514"/>
      <c r="CS78" s="9515"/>
      <c r="CT78" s="9516"/>
      <c r="CU78" s="9517"/>
      <c r="CV78" s="9518"/>
      <c r="CW78" s="9519"/>
      <c r="CX78" s="9520"/>
      <c r="CY78" s="9521"/>
      <c r="CZ78" s="9522"/>
      <c r="DA78" s="9523"/>
      <c r="DB78" s="9524"/>
      <c r="DC78" s="9525"/>
      <c r="DD78" s="9526"/>
      <c r="DE78" s="9527"/>
      <c r="DF78" s="9528"/>
      <c r="DG78" s="9529"/>
      <c r="DH78" s="9530"/>
      <c r="DI78" s="9531"/>
      <c r="DJ78" s="9532"/>
      <c r="DK78" s="9533"/>
      <c r="DL78" s="9534"/>
      <c r="DM78" s="9535"/>
      <c r="DN78" s="9536"/>
      <c r="DO78" s="9537"/>
      <c r="DP78" s="9538"/>
      <c r="DQ78" s="9539"/>
      <c r="DR78" s="9540"/>
      <c r="DS78" s="9541"/>
      <c r="DT78" s="9542"/>
      <c r="DU78" s="9543"/>
      <c r="DV78" s="9544"/>
      <c r="DW78" s="9545"/>
      <c r="DX78" s="9546"/>
      <c r="DY78" s="9547"/>
      <c r="DZ78" s="9548"/>
      <c r="EA78" s="9549"/>
      <c r="EB78" s="9550"/>
      <c r="EC78" s="9551"/>
      <c r="ED78" s="9552"/>
      <c r="EE78" s="9553"/>
      <c r="EF78" s="9554"/>
      <c r="EG78" s="9555"/>
      <c r="EH78" s="9556"/>
      <c r="EI78" s="9557"/>
      <c r="EJ78" s="9558"/>
      <c r="EK78" s="9559"/>
      <c r="EL78" s="9560"/>
      <c r="EM78" s="21449"/>
      <c r="EN78" s="21450"/>
      <c r="EO78" s="9561"/>
      <c r="EP78" s="9562"/>
      <c r="EQ78" s="21451"/>
      <c r="ER78" s="9563"/>
      <c r="ES78" s="9564"/>
      <c r="ET78" s="9565"/>
      <c r="EU78" s="9566"/>
      <c r="EV78" s="9567"/>
      <c r="EW78" s="9568"/>
      <c r="EX78" s="2327"/>
      <c r="EY78" s="2328"/>
      <c r="EZ78" s="9569"/>
      <c r="FA78" s="9570"/>
      <c r="FB78" s="2329"/>
      <c r="FC78" s="9571"/>
      <c r="FD78" s="9572"/>
      <c r="FE78" s="9573"/>
      <c r="FF78" s="9574"/>
      <c r="FG78" s="9575"/>
      <c r="FH78" s="5671"/>
      <c r="FI78" s="22476"/>
      <c r="FJ78" s="22477"/>
      <c r="FK78" s="23297"/>
      <c r="FL78" s="23298"/>
      <c r="FM78" s="22478"/>
      <c r="FN78" s="23299"/>
      <c r="FO78" s="23300"/>
      <c r="FP78" s="22479"/>
      <c r="FQ78" s="22480"/>
      <c r="FR78" s="22481"/>
      <c r="FS78" s="23301"/>
      <c r="FT78" s="2330"/>
      <c r="FU78" s="2331"/>
      <c r="FV78" s="1568"/>
      <c r="FW78" s="1550"/>
      <c r="FX78" s="1550" t="str">
        <f t="shared" si="1"/>
        <v>Добавить группу потребителей</v>
      </c>
      <c r="FY78" s="1550"/>
      <c r="FZ78" s="1550"/>
      <c r="GA78" s="1561">
        <v>0</v>
      </c>
    </row>
    <row r="79" spans="1:183" s="1747" customFormat="1" ht="21" customHeight="1">
      <c r="A79" s="1289"/>
      <c r="B79" s="1289"/>
      <c r="C79" s="1289"/>
      <c r="D79" s="1289"/>
      <c r="E79" s="24089"/>
      <c r="F79" s="24089"/>
      <c r="G79" s="24089" t="s">
        <v>95</v>
      </c>
      <c r="H79" s="24088"/>
      <c r="I79" s="1289"/>
      <c r="J79" s="1289"/>
      <c r="K79" s="1289"/>
      <c r="L79" s="1295"/>
      <c r="M79" s="1291"/>
      <c r="N79" s="1291"/>
      <c r="O79" s="1292"/>
      <c r="P79" s="1720"/>
      <c r="Q79" s="311"/>
      <c r="R79" s="291"/>
      <c r="S79" s="2332"/>
      <c r="T79" s="2333" t="s">
        <v>714</v>
      </c>
      <c r="U79" s="2334"/>
      <c r="V79" s="2335"/>
      <c r="W79" s="2336"/>
      <c r="X79" s="2337"/>
      <c r="Y79" s="2338"/>
      <c r="Z79" s="2339"/>
      <c r="AA79" s="2340"/>
      <c r="AB79" s="2341"/>
      <c r="AC79" s="2342"/>
      <c r="AD79" s="2343"/>
      <c r="AE79" s="2344"/>
      <c r="AF79" s="2345"/>
      <c r="AG79" s="2346"/>
      <c r="AH79" s="2347"/>
      <c r="AI79" s="2348"/>
      <c r="AJ79" s="2349"/>
      <c r="AK79" s="2350"/>
      <c r="AL79" s="2351"/>
      <c r="AM79" s="2352"/>
      <c r="AN79" s="2353"/>
      <c r="AO79" s="2354"/>
      <c r="AP79" s="2355"/>
      <c r="AQ79" s="2356"/>
      <c r="AR79" s="6498"/>
      <c r="AS79" s="6499"/>
      <c r="AT79" s="6500"/>
      <c r="AU79" s="6501"/>
      <c r="AV79" s="6502"/>
      <c r="AW79" s="6503"/>
      <c r="AX79" s="6504"/>
      <c r="AY79" s="6505"/>
      <c r="AZ79" s="6506"/>
      <c r="BA79" s="6507"/>
      <c r="BB79" s="6508"/>
      <c r="BC79" s="6509"/>
      <c r="BD79" s="6510"/>
      <c r="BE79" s="9576"/>
      <c r="BF79" s="9577"/>
      <c r="BG79" s="21832"/>
      <c r="BH79" s="9578"/>
      <c r="BI79" s="9579"/>
      <c r="BJ79" s="9580"/>
      <c r="BK79" s="9581"/>
      <c r="BL79" s="9582"/>
      <c r="BM79" s="9583"/>
      <c r="BN79" s="2357"/>
      <c r="BO79" s="2358"/>
      <c r="BP79" s="9584"/>
      <c r="BQ79" s="9585"/>
      <c r="BR79" s="2359"/>
      <c r="BS79" s="9586"/>
      <c r="BT79" s="9587"/>
      <c r="BU79" s="9588"/>
      <c r="BV79" s="9589"/>
      <c r="BW79" s="9590"/>
      <c r="BX79" s="9591"/>
      <c r="BY79" s="9592"/>
      <c r="BZ79" s="9593"/>
      <c r="CA79" s="9594"/>
      <c r="CB79" s="9595"/>
      <c r="CC79" s="9596"/>
      <c r="CD79" s="9597"/>
      <c r="CE79" s="9598"/>
      <c r="CF79" s="9599"/>
      <c r="CG79" s="9600"/>
      <c r="CH79" s="9601"/>
      <c r="CI79" s="9602"/>
      <c r="CJ79" s="9603"/>
      <c r="CK79" s="9604"/>
      <c r="CL79" s="9605"/>
      <c r="CM79" s="9606"/>
      <c r="CN79" s="9607"/>
      <c r="CO79" s="9608"/>
      <c r="CP79" s="9609"/>
      <c r="CQ79" s="9610"/>
      <c r="CR79" s="9611"/>
      <c r="CS79" s="9612"/>
      <c r="CT79" s="9613"/>
      <c r="CU79" s="9614"/>
      <c r="CV79" s="9615"/>
      <c r="CW79" s="9616"/>
      <c r="CX79" s="9617"/>
      <c r="CY79" s="9618"/>
      <c r="CZ79" s="9619"/>
      <c r="DA79" s="9620"/>
      <c r="DB79" s="9621"/>
      <c r="DC79" s="9622"/>
      <c r="DD79" s="9623"/>
      <c r="DE79" s="9624"/>
      <c r="DF79" s="9625"/>
      <c r="DG79" s="9626"/>
      <c r="DH79" s="9627"/>
      <c r="DI79" s="9628"/>
      <c r="DJ79" s="9629"/>
      <c r="DK79" s="9630"/>
      <c r="DL79" s="9631"/>
      <c r="DM79" s="9632"/>
      <c r="DN79" s="9633"/>
      <c r="DO79" s="9634"/>
      <c r="DP79" s="9635"/>
      <c r="DQ79" s="9636"/>
      <c r="DR79" s="9637"/>
      <c r="DS79" s="9638"/>
      <c r="DT79" s="9639"/>
      <c r="DU79" s="9640"/>
      <c r="DV79" s="9641"/>
      <c r="DW79" s="9642"/>
      <c r="DX79" s="9643"/>
      <c r="DY79" s="9644"/>
      <c r="DZ79" s="9645"/>
      <c r="EA79" s="9646"/>
      <c r="EB79" s="9647"/>
      <c r="EC79" s="9648"/>
      <c r="ED79" s="9649"/>
      <c r="EE79" s="9650"/>
      <c r="EF79" s="9651"/>
      <c r="EG79" s="9652"/>
      <c r="EH79" s="9653"/>
      <c r="EI79" s="9654"/>
      <c r="EJ79" s="9655"/>
      <c r="EK79" s="9656"/>
      <c r="EL79" s="9657"/>
      <c r="EM79" s="21452"/>
      <c r="EN79" s="21453"/>
      <c r="EO79" s="9658"/>
      <c r="EP79" s="9659"/>
      <c r="EQ79" s="21454"/>
      <c r="ER79" s="9660"/>
      <c r="ES79" s="9661"/>
      <c r="ET79" s="9662"/>
      <c r="EU79" s="9663"/>
      <c r="EV79" s="9664"/>
      <c r="EW79" s="9665"/>
      <c r="EX79" s="2360"/>
      <c r="EY79" s="2361"/>
      <c r="EZ79" s="9666"/>
      <c r="FA79" s="9667"/>
      <c r="FB79" s="2362"/>
      <c r="FC79" s="9668"/>
      <c r="FD79" s="9669"/>
      <c r="FE79" s="9670"/>
      <c r="FF79" s="9671"/>
      <c r="FG79" s="9672"/>
      <c r="FH79" s="5672"/>
      <c r="FI79" s="22482"/>
      <c r="FJ79" s="22483"/>
      <c r="FK79" s="23302"/>
      <c r="FL79" s="23303"/>
      <c r="FM79" s="22484"/>
      <c r="FN79" s="23304"/>
      <c r="FO79" s="23305"/>
      <c r="FP79" s="22485"/>
      <c r="FQ79" s="22486"/>
      <c r="FR79" s="22487"/>
      <c r="FS79" s="23306"/>
      <c r="FT79" s="2363"/>
      <c r="FU79" s="2364"/>
      <c r="FV79" s="1568"/>
      <c r="FW79" s="1550"/>
      <c r="FX79" s="1550" t="str">
        <f t="shared" si="1"/>
        <v>Добавить наименование признака дифференциации</v>
      </c>
      <c r="FY79" s="1550"/>
      <c r="FZ79" s="1550"/>
      <c r="GA79" s="1561">
        <v>0</v>
      </c>
    </row>
    <row r="80" spans="1:183" s="1747" customFormat="1" ht="23.25" customHeight="1">
      <c r="A80" s="1289"/>
      <c r="B80" s="1289"/>
      <c r="C80" s="1289" t="s">
        <v>362</v>
      </c>
      <c r="D80" s="1289"/>
      <c r="E80" s="24089"/>
      <c r="F80" s="24089"/>
      <c r="G80" s="24088" t="s">
        <v>82</v>
      </c>
      <c r="H80" s="1289"/>
      <c r="I80" s="1289"/>
      <c r="J80" s="1289"/>
      <c r="K80" s="1289"/>
      <c r="L80" s="1295"/>
      <c r="M80" s="1291"/>
      <c r="N80" s="1291"/>
      <c r="O80" s="1291"/>
      <c r="P80" s="290"/>
      <c r="Q80" s="288"/>
      <c r="R80" s="289"/>
      <c r="S80" s="1976" t="str">
        <f>INDEX(PT_DIFFERENTIATION_NUM_CS,MATCH(C80,PT_DIFFERENTIATION_CS_ID,0))</f>
        <v>1.1.4</v>
      </c>
      <c r="T80" s="245" t="s">
        <v>756</v>
      </c>
      <c r="U80" s="236"/>
      <c r="V80" s="24082"/>
      <c r="W80" s="24083"/>
      <c r="X80" s="24083"/>
      <c r="Y80" s="24083"/>
      <c r="Z80" s="24083"/>
      <c r="AA80" s="24083"/>
      <c r="AB80" s="24083"/>
      <c r="AC80" s="24083"/>
      <c r="AD80" s="24083"/>
      <c r="AE80" s="24083"/>
      <c r="AF80" s="24084"/>
      <c r="AG80" s="24082" t="str">
        <f>INDEX(PT_DIFFERENTIATION_CS,MATCH(C80,PT_DIFFERENTIATION_CS_ID,0))</f>
        <v>г. Вязьма  (для потребителей, нагрузки которых переведены с котельной ОАО «Вяземский машиностроительный завод»)</v>
      </c>
      <c r="AH80" s="24083"/>
      <c r="AI80" s="24083"/>
      <c r="AJ80" s="24083"/>
      <c r="AK80" s="24083"/>
      <c r="AL80" s="24083"/>
      <c r="AM80" s="24083"/>
      <c r="AN80" s="24083"/>
      <c r="AO80" s="24083"/>
      <c r="AP80" s="24083"/>
      <c r="AQ80" s="24083"/>
      <c r="AR80" s="24173"/>
      <c r="AS80" s="24174"/>
      <c r="AT80" s="24174"/>
      <c r="AU80" s="24174"/>
      <c r="AV80" s="24174"/>
      <c r="AW80" s="24174"/>
      <c r="AX80" s="24174"/>
      <c r="AY80" s="24174"/>
      <c r="AZ80" s="24174"/>
      <c r="BA80" s="24174"/>
      <c r="BB80" s="24175"/>
      <c r="BC80" s="24173"/>
      <c r="BD80" s="24174"/>
      <c r="BE80" s="24174"/>
      <c r="BF80" s="24174"/>
      <c r="BG80" s="24174"/>
      <c r="BH80" s="24174"/>
      <c r="BI80" s="24174"/>
      <c r="BJ80" s="24174"/>
      <c r="BK80" s="24174"/>
      <c r="BL80" s="24174"/>
      <c r="BM80" s="24175"/>
      <c r="BN80" s="24082"/>
      <c r="BO80" s="24083"/>
      <c r="BP80" s="24174"/>
      <c r="BQ80" s="24174"/>
      <c r="BR80" s="24083"/>
      <c r="BS80" s="24174"/>
      <c r="BT80" s="24174"/>
      <c r="BU80" s="24174"/>
      <c r="BV80" s="24174"/>
      <c r="BW80" s="24174"/>
      <c r="BX80" s="24175"/>
      <c r="BY80" s="24173"/>
      <c r="BZ80" s="24174"/>
      <c r="CA80" s="24174"/>
      <c r="CB80" s="24174"/>
      <c r="CC80" s="24174"/>
      <c r="CD80" s="24174"/>
      <c r="CE80" s="24174"/>
      <c r="CF80" s="24174"/>
      <c r="CG80" s="24174"/>
      <c r="CH80" s="24174"/>
      <c r="CI80" s="24175"/>
      <c r="CJ80" s="24173"/>
      <c r="CK80" s="24174"/>
      <c r="CL80" s="24174"/>
      <c r="CM80" s="24174"/>
      <c r="CN80" s="24174"/>
      <c r="CO80" s="24174"/>
      <c r="CP80" s="24174"/>
      <c r="CQ80" s="24174"/>
      <c r="CR80" s="24174"/>
      <c r="CS80" s="24174"/>
      <c r="CT80" s="24175"/>
      <c r="CU80" s="24173"/>
      <c r="CV80" s="24174"/>
      <c r="CW80" s="24174"/>
      <c r="CX80" s="24174"/>
      <c r="CY80" s="24174"/>
      <c r="CZ80" s="24174"/>
      <c r="DA80" s="24174"/>
      <c r="DB80" s="24174"/>
      <c r="DC80" s="24174"/>
      <c r="DD80" s="24174"/>
      <c r="DE80" s="24175"/>
      <c r="DF80" s="24173"/>
      <c r="DG80" s="24174"/>
      <c r="DH80" s="24174"/>
      <c r="DI80" s="24174"/>
      <c r="DJ80" s="24174"/>
      <c r="DK80" s="24174"/>
      <c r="DL80" s="24174"/>
      <c r="DM80" s="24174"/>
      <c r="DN80" s="24174"/>
      <c r="DO80" s="24174"/>
      <c r="DP80" s="24175"/>
      <c r="DQ80" s="24173"/>
      <c r="DR80" s="24174"/>
      <c r="DS80" s="24174"/>
      <c r="DT80" s="24174"/>
      <c r="DU80" s="24174"/>
      <c r="DV80" s="24174"/>
      <c r="DW80" s="24174"/>
      <c r="DX80" s="24174"/>
      <c r="DY80" s="24174"/>
      <c r="DZ80" s="24174"/>
      <c r="EA80" s="24175"/>
      <c r="EB80" s="24173"/>
      <c r="EC80" s="24174"/>
      <c r="ED80" s="24174"/>
      <c r="EE80" s="24174"/>
      <c r="EF80" s="24174"/>
      <c r="EG80" s="24174"/>
      <c r="EH80" s="24174"/>
      <c r="EI80" s="24174"/>
      <c r="EJ80" s="24174"/>
      <c r="EK80" s="24174"/>
      <c r="EL80" s="24175"/>
      <c r="EM80" s="24173"/>
      <c r="EN80" s="24174"/>
      <c r="EO80" s="24174"/>
      <c r="EP80" s="24174"/>
      <c r="EQ80" s="24174"/>
      <c r="ER80" s="24174"/>
      <c r="ES80" s="24174"/>
      <c r="ET80" s="24174"/>
      <c r="EU80" s="24174"/>
      <c r="EV80" s="24174"/>
      <c r="EW80" s="24175"/>
      <c r="EX80" s="24082"/>
      <c r="EY80" s="24083"/>
      <c r="EZ80" s="24174"/>
      <c r="FA80" s="24174"/>
      <c r="FB80" s="24083"/>
      <c r="FC80" s="24174"/>
      <c r="FD80" s="24174"/>
      <c r="FE80" s="24174"/>
      <c r="FF80" s="24174"/>
      <c r="FG80" s="24174"/>
      <c r="FH80" s="24175"/>
      <c r="FI80" s="24082"/>
      <c r="FJ80" s="24083"/>
      <c r="FK80" s="24174"/>
      <c r="FL80" s="24174"/>
      <c r="FM80" s="24083"/>
      <c r="FN80" s="24174"/>
      <c r="FO80" s="24174"/>
      <c r="FP80" s="24083"/>
      <c r="FQ80" s="24083"/>
      <c r="FR80" s="24083"/>
      <c r="FS80" s="24175"/>
      <c r="FT80" s="24084"/>
      <c r="FU80" s="1184" t="s">
        <v>757</v>
      </c>
      <c r="FV80" s="1568"/>
      <c r="FW80" s="1550"/>
      <c r="FX80" s="1550" t="str">
        <f t="shared" si="1"/>
        <v>Наименование централизованной системы горячего водоснабжения</v>
      </c>
      <c r="FY80" s="1550"/>
      <c r="FZ80" s="1550"/>
      <c r="GA80" s="1561">
        <v>0</v>
      </c>
    </row>
    <row r="81" spans="1:183" s="1747" customFormat="1" ht="23.25" customHeight="1">
      <c r="A81" s="1289"/>
      <c r="B81" s="1289"/>
      <c r="C81" s="1289"/>
      <c r="D81" s="1289"/>
      <c r="E81" s="24089"/>
      <c r="F81" s="24089"/>
      <c r="G81" s="24089" t="s">
        <v>81</v>
      </c>
      <c r="H81" s="24089"/>
      <c r="I81" s="24090" t="str">
        <f>S80&amp;".1"</f>
        <v>1.1.4.1</v>
      </c>
      <c r="J81" s="1289"/>
      <c r="K81" s="1289"/>
      <c r="L81" s="1295"/>
      <c r="M81" s="1674"/>
      <c r="N81" s="1674"/>
      <c r="O81" s="1674"/>
      <c r="P81" s="24092">
        <v>1</v>
      </c>
      <c r="Q81" s="1978"/>
      <c r="R81" s="292"/>
      <c r="S81" s="1976" t="str">
        <f>$I81</f>
        <v>1.1.4.1</v>
      </c>
      <c r="T81" s="221" t="s">
        <v>709</v>
      </c>
      <c r="U81" s="236"/>
      <c r="V81" s="24156"/>
      <c r="W81" s="24157"/>
      <c r="X81" s="24157"/>
      <c r="Y81" s="24157"/>
      <c r="Z81" s="24157"/>
      <c r="AA81" s="24157"/>
      <c r="AB81" s="24157"/>
      <c r="AC81" s="24157"/>
      <c r="AD81" s="24157"/>
      <c r="AE81" s="24157"/>
      <c r="AF81" s="24158"/>
      <c r="AG81" s="24159"/>
      <c r="AH81" s="24160"/>
      <c r="AI81" s="24160"/>
      <c r="AJ81" s="24160"/>
      <c r="AK81" s="24160"/>
      <c r="AL81" s="24160"/>
      <c r="AM81" s="24160"/>
      <c r="AN81" s="24160"/>
      <c r="AO81" s="24160"/>
      <c r="AP81" s="24160"/>
      <c r="AQ81" s="24160"/>
      <c r="AR81" s="24176"/>
      <c r="AS81" s="24177"/>
      <c r="AT81" s="24177"/>
      <c r="AU81" s="24177"/>
      <c r="AV81" s="24177"/>
      <c r="AW81" s="24177"/>
      <c r="AX81" s="24177"/>
      <c r="AY81" s="24177"/>
      <c r="AZ81" s="24177"/>
      <c r="BA81" s="24177"/>
      <c r="BB81" s="24178"/>
      <c r="BC81" s="24176"/>
      <c r="BD81" s="24177"/>
      <c r="BE81" s="24177"/>
      <c r="BF81" s="24177"/>
      <c r="BG81" s="24177"/>
      <c r="BH81" s="24177"/>
      <c r="BI81" s="24177"/>
      <c r="BJ81" s="24177"/>
      <c r="BK81" s="24177"/>
      <c r="BL81" s="24177"/>
      <c r="BM81" s="24178"/>
      <c r="BN81" s="24156"/>
      <c r="BO81" s="24157"/>
      <c r="BP81" s="24177"/>
      <c r="BQ81" s="24177"/>
      <c r="BR81" s="24157"/>
      <c r="BS81" s="24177"/>
      <c r="BT81" s="24177"/>
      <c r="BU81" s="24177"/>
      <c r="BV81" s="24177"/>
      <c r="BW81" s="24177"/>
      <c r="BX81" s="24178"/>
      <c r="BY81" s="24176"/>
      <c r="BZ81" s="24177"/>
      <c r="CA81" s="24177"/>
      <c r="CB81" s="24177"/>
      <c r="CC81" s="24177"/>
      <c r="CD81" s="24177"/>
      <c r="CE81" s="24177"/>
      <c r="CF81" s="24177"/>
      <c r="CG81" s="24177"/>
      <c r="CH81" s="24177"/>
      <c r="CI81" s="24178"/>
      <c r="CJ81" s="24176"/>
      <c r="CK81" s="24177"/>
      <c r="CL81" s="24177"/>
      <c r="CM81" s="24177"/>
      <c r="CN81" s="24177"/>
      <c r="CO81" s="24177"/>
      <c r="CP81" s="24177"/>
      <c r="CQ81" s="24177"/>
      <c r="CR81" s="24177"/>
      <c r="CS81" s="24177"/>
      <c r="CT81" s="24178"/>
      <c r="CU81" s="24176"/>
      <c r="CV81" s="24177"/>
      <c r="CW81" s="24177"/>
      <c r="CX81" s="24177"/>
      <c r="CY81" s="24177"/>
      <c r="CZ81" s="24177"/>
      <c r="DA81" s="24177"/>
      <c r="DB81" s="24177"/>
      <c r="DC81" s="24177"/>
      <c r="DD81" s="24177"/>
      <c r="DE81" s="24178"/>
      <c r="DF81" s="24176"/>
      <c r="DG81" s="24177"/>
      <c r="DH81" s="24177"/>
      <c r="DI81" s="24177"/>
      <c r="DJ81" s="24177"/>
      <c r="DK81" s="24177"/>
      <c r="DL81" s="24177"/>
      <c r="DM81" s="24177"/>
      <c r="DN81" s="24177"/>
      <c r="DO81" s="24177"/>
      <c r="DP81" s="24178"/>
      <c r="DQ81" s="24176"/>
      <c r="DR81" s="24177"/>
      <c r="DS81" s="24177"/>
      <c r="DT81" s="24177"/>
      <c r="DU81" s="24177"/>
      <c r="DV81" s="24177"/>
      <c r="DW81" s="24177"/>
      <c r="DX81" s="24177"/>
      <c r="DY81" s="24177"/>
      <c r="DZ81" s="24177"/>
      <c r="EA81" s="24178"/>
      <c r="EB81" s="24176"/>
      <c r="EC81" s="24177"/>
      <c r="ED81" s="24177"/>
      <c r="EE81" s="24177"/>
      <c r="EF81" s="24177"/>
      <c r="EG81" s="24177"/>
      <c r="EH81" s="24177"/>
      <c r="EI81" s="24177"/>
      <c r="EJ81" s="24177"/>
      <c r="EK81" s="24177"/>
      <c r="EL81" s="24178"/>
      <c r="EM81" s="24176"/>
      <c r="EN81" s="24177"/>
      <c r="EO81" s="24177"/>
      <c r="EP81" s="24177"/>
      <c r="EQ81" s="24177"/>
      <c r="ER81" s="24177"/>
      <c r="ES81" s="24177"/>
      <c r="ET81" s="24177"/>
      <c r="EU81" s="24177"/>
      <c r="EV81" s="24177"/>
      <c r="EW81" s="24178"/>
      <c r="EX81" s="24156"/>
      <c r="EY81" s="24157"/>
      <c r="EZ81" s="24177"/>
      <c r="FA81" s="24177"/>
      <c r="FB81" s="24157"/>
      <c r="FC81" s="24177"/>
      <c r="FD81" s="24177"/>
      <c r="FE81" s="24177"/>
      <c r="FF81" s="24177"/>
      <c r="FG81" s="24177"/>
      <c r="FH81" s="24178"/>
      <c r="FI81" s="24156"/>
      <c r="FJ81" s="24157"/>
      <c r="FK81" s="24177"/>
      <c r="FL81" s="24177"/>
      <c r="FM81" s="24157"/>
      <c r="FN81" s="24177"/>
      <c r="FO81" s="24177"/>
      <c r="FP81" s="24157"/>
      <c r="FQ81" s="24157"/>
      <c r="FR81" s="24157"/>
      <c r="FS81" s="24178"/>
      <c r="FT81" s="24161"/>
      <c r="FU81" s="1184" t="s">
        <v>710</v>
      </c>
      <c r="FV81" s="1568"/>
      <c r="FW81" s="1550"/>
      <c r="FX81" s="1550" t="str">
        <f t="shared" si="1"/>
        <v>Наименование признака дифференциации</v>
      </c>
      <c r="FY81" s="1550"/>
      <c r="FZ81" s="1550"/>
      <c r="GA81" s="1561">
        <v>0</v>
      </c>
    </row>
    <row r="82" spans="1:183" s="1747" customFormat="1" ht="23.25" customHeight="1">
      <c r="A82" s="1289"/>
      <c r="B82" s="1289"/>
      <c r="C82" s="1289"/>
      <c r="D82" s="1289"/>
      <c r="E82" s="24089"/>
      <c r="F82" s="24089"/>
      <c r="G82" s="24089" t="s">
        <v>81</v>
      </c>
      <c r="H82" s="24089"/>
      <c r="I82" s="24091"/>
      <c r="J82" s="24090" t="str">
        <f>I81&amp;".1"</f>
        <v>1.1.4.1.1</v>
      </c>
      <c r="K82" s="1289"/>
      <c r="L82" s="1295" t="s">
        <v>635</v>
      </c>
      <c r="M82" s="1674"/>
      <c r="N82" s="1674"/>
      <c r="O82" s="1674"/>
      <c r="P82" s="24092"/>
      <c r="Q82" s="24092">
        <v>1</v>
      </c>
      <c r="R82" s="293"/>
      <c r="S82" s="1976" t="str">
        <f>$J82</f>
        <v>1.1.4.1.1</v>
      </c>
      <c r="T82" s="222" t="s">
        <v>636</v>
      </c>
      <c r="U82" s="236"/>
      <c r="V82" s="24076"/>
      <c r="W82" s="24077"/>
      <c r="X82" s="24077"/>
      <c r="Y82" s="24077"/>
      <c r="Z82" s="24077"/>
      <c r="AA82" s="24077"/>
      <c r="AB82" s="24077"/>
      <c r="AC82" s="24077"/>
      <c r="AD82" s="24077"/>
      <c r="AE82" s="24077"/>
      <c r="AF82" s="24078"/>
      <c r="AG82" s="24076" t="s">
        <v>771</v>
      </c>
      <c r="AH82" s="24077"/>
      <c r="AI82" s="24077"/>
      <c r="AJ82" s="24077"/>
      <c r="AK82" s="24077"/>
      <c r="AL82" s="24077"/>
      <c r="AM82" s="24077"/>
      <c r="AN82" s="24077"/>
      <c r="AO82" s="24077"/>
      <c r="AP82" s="24077"/>
      <c r="AQ82" s="24077"/>
      <c r="AR82" s="24179"/>
      <c r="AS82" s="24180"/>
      <c r="AT82" s="24180"/>
      <c r="AU82" s="24180"/>
      <c r="AV82" s="24180"/>
      <c r="AW82" s="24180"/>
      <c r="AX82" s="24180"/>
      <c r="AY82" s="24180"/>
      <c r="AZ82" s="24180"/>
      <c r="BA82" s="24180"/>
      <c r="BB82" s="24181"/>
      <c r="BC82" s="24179"/>
      <c r="BD82" s="24180"/>
      <c r="BE82" s="24180"/>
      <c r="BF82" s="24180"/>
      <c r="BG82" s="24180"/>
      <c r="BH82" s="24180"/>
      <c r="BI82" s="24180"/>
      <c r="BJ82" s="24180"/>
      <c r="BK82" s="24180"/>
      <c r="BL82" s="24180"/>
      <c r="BM82" s="24181"/>
      <c r="BN82" s="24076"/>
      <c r="BO82" s="24077"/>
      <c r="BP82" s="24180"/>
      <c r="BQ82" s="24180"/>
      <c r="BR82" s="24077"/>
      <c r="BS82" s="24180"/>
      <c r="BT82" s="24180"/>
      <c r="BU82" s="24180"/>
      <c r="BV82" s="24180"/>
      <c r="BW82" s="24180"/>
      <c r="BX82" s="24181"/>
      <c r="BY82" s="24179"/>
      <c r="BZ82" s="24180"/>
      <c r="CA82" s="24180"/>
      <c r="CB82" s="24180"/>
      <c r="CC82" s="24180"/>
      <c r="CD82" s="24180"/>
      <c r="CE82" s="24180"/>
      <c r="CF82" s="24180"/>
      <c r="CG82" s="24180"/>
      <c r="CH82" s="24180"/>
      <c r="CI82" s="24181"/>
      <c r="CJ82" s="24179"/>
      <c r="CK82" s="24180"/>
      <c r="CL82" s="24180"/>
      <c r="CM82" s="24180"/>
      <c r="CN82" s="24180"/>
      <c r="CO82" s="24180"/>
      <c r="CP82" s="24180"/>
      <c r="CQ82" s="24180"/>
      <c r="CR82" s="24180"/>
      <c r="CS82" s="24180"/>
      <c r="CT82" s="24181"/>
      <c r="CU82" s="24179"/>
      <c r="CV82" s="24180"/>
      <c r="CW82" s="24180"/>
      <c r="CX82" s="24180"/>
      <c r="CY82" s="24180"/>
      <c r="CZ82" s="24180"/>
      <c r="DA82" s="24180"/>
      <c r="DB82" s="24180"/>
      <c r="DC82" s="24180"/>
      <c r="DD82" s="24180"/>
      <c r="DE82" s="24181"/>
      <c r="DF82" s="24179"/>
      <c r="DG82" s="24180"/>
      <c r="DH82" s="24180"/>
      <c r="DI82" s="24180"/>
      <c r="DJ82" s="24180"/>
      <c r="DK82" s="24180"/>
      <c r="DL82" s="24180"/>
      <c r="DM82" s="24180"/>
      <c r="DN82" s="24180"/>
      <c r="DO82" s="24180"/>
      <c r="DP82" s="24181"/>
      <c r="DQ82" s="24179"/>
      <c r="DR82" s="24180"/>
      <c r="DS82" s="24180"/>
      <c r="DT82" s="24180"/>
      <c r="DU82" s="24180"/>
      <c r="DV82" s="24180"/>
      <c r="DW82" s="24180"/>
      <c r="DX82" s="24180"/>
      <c r="DY82" s="24180"/>
      <c r="DZ82" s="24180"/>
      <c r="EA82" s="24181"/>
      <c r="EB82" s="24179"/>
      <c r="EC82" s="24180"/>
      <c r="ED82" s="24180"/>
      <c r="EE82" s="24180"/>
      <c r="EF82" s="24180"/>
      <c r="EG82" s="24180"/>
      <c r="EH82" s="24180"/>
      <c r="EI82" s="24180"/>
      <c r="EJ82" s="24180"/>
      <c r="EK82" s="24180"/>
      <c r="EL82" s="24181"/>
      <c r="EM82" s="24179"/>
      <c r="EN82" s="24180"/>
      <c r="EO82" s="24180"/>
      <c r="EP82" s="24180"/>
      <c r="EQ82" s="24180"/>
      <c r="ER82" s="24180"/>
      <c r="ES82" s="24180"/>
      <c r="ET82" s="24180"/>
      <c r="EU82" s="24180"/>
      <c r="EV82" s="24180"/>
      <c r="EW82" s="24181"/>
      <c r="EX82" s="24076"/>
      <c r="EY82" s="24077"/>
      <c r="EZ82" s="24180"/>
      <c r="FA82" s="24180"/>
      <c r="FB82" s="24077"/>
      <c r="FC82" s="24180"/>
      <c r="FD82" s="24180"/>
      <c r="FE82" s="24180"/>
      <c r="FF82" s="24180"/>
      <c r="FG82" s="24180"/>
      <c r="FH82" s="24181"/>
      <c r="FI82" s="24076"/>
      <c r="FJ82" s="24077"/>
      <c r="FK82" s="24180"/>
      <c r="FL82" s="24180"/>
      <c r="FM82" s="24077"/>
      <c r="FN82" s="24180"/>
      <c r="FO82" s="24180"/>
      <c r="FP82" s="24077"/>
      <c r="FQ82" s="24077"/>
      <c r="FR82" s="24077"/>
      <c r="FS82" s="24181"/>
      <c r="FT82" s="24078"/>
      <c r="FU82" s="1233" t="s">
        <v>711</v>
      </c>
      <c r="FV82" s="1568"/>
      <c r="FW82" s="1550"/>
      <c r="FX82" s="1550" t="str">
        <f t="shared" si="1"/>
        <v>Группа потребителей</v>
      </c>
      <c r="FY82" s="1550"/>
      <c r="FZ82" s="1550"/>
      <c r="GA82" s="1561">
        <v>0</v>
      </c>
    </row>
    <row r="83" spans="1:183" s="1747" customFormat="1" ht="23.25" customHeight="1">
      <c r="A83" s="1289"/>
      <c r="B83" s="1289"/>
      <c r="C83" s="1289"/>
      <c r="D83" s="1289"/>
      <c r="E83" s="24089"/>
      <c r="F83" s="24089"/>
      <c r="G83" s="24089" t="s">
        <v>81</v>
      </c>
      <c r="H83" s="24089"/>
      <c r="I83" s="24091"/>
      <c r="J83" s="24091"/>
      <c r="K83" s="24090" t="str">
        <f>J82&amp;".1"</f>
        <v>1.1.4.1.1.1</v>
      </c>
      <c r="L83" s="1295"/>
      <c r="M83" s="1674"/>
      <c r="N83" s="1674"/>
      <c r="O83" s="1674"/>
      <c r="P83" s="24092"/>
      <c r="Q83" s="24092"/>
      <c r="R83" s="293">
        <v>1</v>
      </c>
      <c r="S83" s="1976" t="str">
        <f>$K83</f>
        <v>1.1.4.1.1.1</v>
      </c>
      <c r="T83" s="1363"/>
      <c r="U83" s="236"/>
      <c r="V83" s="1286"/>
      <c r="W83" s="1286"/>
      <c r="X83" s="1286"/>
      <c r="Y83" s="1286"/>
      <c r="Z83" s="1286"/>
      <c r="AA83" s="1286"/>
      <c r="AB83" s="1286"/>
      <c r="AC83" s="24086"/>
      <c r="AD83" s="24085" t="s">
        <v>59</v>
      </c>
      <c r="AE83" s="24086"/>
      <c r="AF83" s="24085" t="s">
        <v>59</v>
      </c>
      <c r="AG83" s="687">
        <v>173.03</v>
      </c>
      <c r="AH83" s="687">
        <v>46.61</v>
      </c>
      <c r="AI83" s="687"/>
      <c r="AJ83" s="687"/>
      <c r="AK83" s="687">
        <v>1939.78</v>
      </c>
      <c r="AL83" s="687"/>
      <c r="AM83" s="687"/>
      <c r="AN83" s="24093" t="s">
        <v>9</v>
      </c>
      <c r="AO83" s="23957" t="s">
        <v>59</v>
      </c>
      <c r="AP83" s="24095" t="s">
        <v>770</v>
      </c>
      <c r="AQ83" s="23957" t="s">
        <v>59</v>
      </c>
      <c r="AR83" s="687">
        <v>190.32</v>
      </c>
      <c r="AS83" s="687">
        <v>51.26</v>
      </c>
      <c r="AT83" s="687"/>
      <c r="AU83" s="687"/>
      <c r="AV83" s="687">
        <v>2133.7600000000002</v>
      </c>
      <c r="AW83" s="687"/>
      <c r="AX83" s="687"/>
      <c r="AY83" s="24093" t="s">
        <v>772</v>
      </c>
      <c r="AZ83" s="23957" t="s">
        <v>59</v>
      </c>
      <c r="BA83" s="24093" t="s">
        <v>773</v>
      </c>
      <c r="BB83" s="23957" t="s">
        <v>59</v>
      </c>
      <c r="BC83" s="687">
        <v>190.32</v>
      </c>
      <c r="BD83" s="687">
        <v>51.26</v>
      </c>
      <c r="BE83" s="687"/>
      <c r="BF83" s="687"/>
      <c r="BG83" s="687">
        <v>2133.7600000000002</v>
      </c>
      <c r="BH83" s="687"/>
      <c r="BI83" s="687"/>
      <c r="BJ83" s="24093" t="s">
        <v>774</v>
      </c>
      <c r="BK83" s="23957" t="s">
        <v>59</v>
      </c>
      <c r="BL83" s="24093" t="s">
        <v>775</v>
      </c>
      <c r="BM83" s="23957" t="s">
        <v>59</v>
      </c>
      <c r="BN83" s="687">
        <v>217.12</v>
      </c>
      <c r="BO83" s="687">
        <v>61.51</v>
      </c>
      <c r="BP83" s="687"/>
      <c r="BQ83" s="687"/>
      <c r="BR83" s="687">
        <v>2387.6799999999998</v>
      </c>
      <c r="BS83" s="687"/>
      <c r="BT83" s="687"/>
      <c r="BU83" s="24093" t="s">
        <v>776</v>
      </c>
      <c r="BV83" s="23957" t="s">
        <v>59</v>
      </c>
      <c r="BW83" s="24093" t="s">
        <v>777</v>
      </c>
      <c r="BX83" s="23957" t="s">
        <v>59</v>
      </c>
      <c r="BY83" s="687">
        <v>220.81</v>
      </c>
      <c r="BZ83" s="687">
        <v>53.95</v>
      </c>
      <c r="CA83" s="687"/>
      <c r="CB83" s="687"/>
      <c r="CC83" s="687">
        <v>2560.41</v>
      </c>
      <c r="CD83" s="687"/>
      <c r="CE83" s="687"/>
      <c r="CF83" s="24093" t="s">
        <v>778</v>
      </c>
      <c r="CG83" s="23957" t="s">
        <v>59</v>
      </c>
      <c r="CH83" s="24093">
        <v>46295</v>
      </c>
      <c r="CI83" s="23957" t="s">
        <v>59</v>
      </c>
      <c r="CJ83" s="687">
        <v>247.31</v>
      </c>
      <c r="CK83" s="687">
        <v>53.95</v>
      </c>
      <c r="CL83" s="687"/>
      <c r="CM83" s="687"/>
      <c r="CN83" s="687">
        <v>2967.04</v>
      </c>
      <c r="CO83" s="687"/>
      <c r="CP83" s="687"/>
      <c r="CQ83" s="24093">
        <v>46296</v>
      </c>
      <c r="CR83" s="23957" t="s">
        <v>59</v>
      </c>
      <c r="CS83" s="24093" t="s">
        <v>779</v>
      </c>
      <c r="CT83" s="23957" t="s">
        <v>59</v>
      </c>
      <c r="CU83" s="687">
        <v>247.09</v>
      </c>
      <c r="CV83" s="687">
        <v>53.73</v>
      </c>
      <c r="CW83" s="687"/>
      <c r="CX83" s="687"/>
      <c r="CY83" s="687">
        <v>2967.04</v>
      </c>
      <c r="CZ83" s="687"/>
      <c r="DA83" s="687"/>
      <c r="DB83" s="24093" t="s">
        <v>780</v>
      </c>
      <c r="DC83" s="23957" t="s">
        <v>59</v>
      </c>
      <c r="DD83" s="24093" t="s">
        <v>781</v>
      </c>
      <c r="DE83" s="23957" t="s">
        <v>59</v>
      </c>
      <c r="DF83" s="687">
        <v>263.91000000000003</v>
      </c>
      <c r="DG83" s="687">
        <v>53.73</v>
      </c>
      <c r="DH83" s="687"/>
      <c r="DI83" s="687"/>
      <c r="DJ83" s="687">
        <v>3225.17</v>
      </c>
      <c r="DK83" s="687"/>
      <c r="DL83" s="687"/>
      <c r="DM83" s="24093" t="s">
        <v>782</v>
      </c>
      <c r="DN83" s="23957" t="s">
        <v>59</v>
      </c>
      <c r="DO83" s="24093" t="s">
        <v>783</v>
      </c>
      <c r="DP83" s="23957" t="s">
        <v>59</v>
      </c>
      <c r="DQ83" s="687">
        <v>210.18</v>
      </c>
      <c r="DR83" s="687">
        <v>0</v>
      </c>
      <c r="DS83" s="687"/>
      <c r="DT83" s="687"/>
      <c r="DU83" s="687">
        <v>3225.17</v>
      </c>
      <c r="DV83" s="687"/>
      <c r="DW83" s="687"/>
      <c r="DX83" s="24093" t="s">
        <v>784</v>
      </c>
      <c r="DY83" s="23957" t="s">
        <v>59</v>
      </c>
      <c r="DZ83" s="24093" t="s">
        <v>785</v>
      </c>
      <c r="EA83" s="23957" t="s">
        <v>59</v>
      </c>
      <c r="EB83" s="687">
        <v>225.1</v>
      </c>
      <c r="EC83" s="687">
        <v>0</v>
      </c>
      <c r="ED83" s="687"/>
      <c r="EE83" s="687"/>
      <c r="EF83" s="687">
        <v>3454.15</v>
      </c>
      <c r="EG83" s="687"/>
      <c r="EH83" s="687"/>
      <c r="EI83" s="24093" t="s">
        <v>786</v>
      </c>
      <c r="EJ83" s="23957" t="s">
        <v>59</v>
      </c>
      <c r="EK83" s="24093" t="s">
        <v>787</v>
      </c>
      <c r="EL83" s="23957" t="s">
        <v>6</v>
      </c>
      <c r="EM83" s="1286"/>
      <c r="EN83" s="1286"/>
      <c r="EO83" s="1286"/>
      <c r="EP83" s="1286"/>
      <c r="EQ83" s="1286"/>
      <c r="ER83" s="1286"/>
      <c r="ES83" s="1286"/>
      <c r="ET83" s="24086"/>
      <c r="EU83" s="24085" t="s">
        <v>59</v>
      </c>
      <c r="EV83" s="24086"/>
      <c r="EW83" s="24085" t="s">
        <v>59</v>
      </c>
      <c r="EX83" s="1286"/>
      <c r="EY83" s="1286"/>
      <c r="EZ83" s="1286"/>
      <c r="FA83" s="1286"/>
      <c r="FB83" s="1286"/>
      <c r="FC83" s="1286"/>
      <c r="FD83" s="1286"/>
      <c r="FE83" s="24086"/>
      <c r="FF83" s="24085" t="s">
        <v>59</v>
      </c>
      <c r="FG83" s="24086"/>
      <c r="FH83" s="24085" t="s">
        <v>59</v>
      </c>
      <c r="FI83" s="1286"/>
      <c r="FJ83" s="1286"/>
      <c r="FK83" s="1286"/>
      <c r="FL83" s="1286"/>
      <c r="FM83" s="1286"/>
      <c r="FN83" s="1286"/>
      <c r="FO83" s="1286"/>
      <c r="FP83" s="24086"/>
      <c r="FQ83" s="24085" t="s">
        <v>59</v>
      </c>
      <c r="FR83" s="24086"/>
      <c r="FS83" s="24085" t="s">
        <v>59</v>
      </c>
      <c r="FT83" s="1364"/>
      <c r="FU8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83" s="1568" t="e">
        <f ca="1">STRCHECKDATE(V84:FT84)</f>
        <v>#NAME?</v>
      </c>
      <c r="FW83" s="1550"/>
      <c r="FX83" s="1550" t="str">
        <f t="shared" si="1"/>
        <v/>
      </c>
      <c r="FY83" s="1550"/>
      <c r="FZ83" s="1550"/>
      <c r="GA83" s="1561">
        <v>0</v>
      </c>
    </row>
    <row r="84" spans="1:183" s="1747" customFormat="1" ht="14.25" customHeight="1">
      <c r="A84" s="1289"/>
      <c r="B84" s="1289"/>
      <c r="C84" s="1289"/>
      <c r="D84" s="1289"/>
      <c r="E84" s="24089"/>
      <c r="F84" s="24089"/>
      <c r="G84" s="24089" t="s">
        <v>81</v>
      </c>
      <c r="H84" s="24089"/>
      <c r="I84" s="24091"/>
      <c r="J84" s="24091"/>
      <c r="K84" s="24090"/>
      <c r="L84" s="1295"/>
      <c r="M84" s="1674"/>
      <c r="N84" s="1674"/>
      <c r="O84" s="1674"/>
      <c r="P84" s="24092"/>
      <c r="Q84" s="24092"/>
      <c r="R84" s="293"/>
      <c r="S84" s="1982"/>
      <c r="T84" s="236"/>
      <c r="U84" s="236"/>
      <c r="V84" s="1286"/>
      <c r="W84" s="1286"/>
      <c r="X84" s="1286"/>
      <c r="Y84" s="1286"/>
      <c r="Z84" s="1286"/>
      <c r="AA84" s="1286"/>
      <c r="AB84" s="1286"/>
      <c r="AC84" s="24085"/>
      <c r="AD84" s="24085"/>
      <c r="AE84" s="24085"/>
      <c r="AF84" s="24085"/>
      <c r="AG84" s="261"/>
      <c r="AH84" s="261"/>
      <c r="AI84" s="261"/>
      <c r="AJ84" s="261"/>
      <c r="AK84" s="261"/>
      <c r="AL84" s="261"/>
      <c r="AM84" s="261"/>
      <c r="AN84" s="24094"/>
      <c r="AO84" s="23957"/>
      <c r="AP84" s="24096"/>
      <c r="AQ84" s="23957"/>
      <c r="AR84" s="261"/>
      <c r="AS84" s="261"/>
      <c r="AT84" s="261"/>
      <c r="AU84" s="261"/>
      <c r="AV84" s="261"/>
      <c r="AW84" s="261"/>
      <c r="AX84" s="261"/>
      <c r="AY84" s="24094"/>
      <c r="AZ84" s="23957"/>
      <c r="BA84" s="24094"/>
      <c r="BB84" s="23957"/>
      <c r="BC84" s="261"/>
      <c r="BD84" s="261"/>
      <c r="BE84" s="261"/>
      <c r="BF84" s="261"/>
      <c r="BG84" s="261"/>
      <c r="BH84" s="261"/>
      <c r="BI84" s="261"/>
      <c r="BJ84" s="24094"/>
      <c r="BK84" s="23957"/>
      <c r="BL84" s="24094"/>
      <c r="BM84" s="23957"/>
      <c r="BN84" s="261"/>
      <c r="BO84" s="261"/>
      <c r="BP84" s="261"/>
      <c r="BQ84" s="261"/>
      <c r="BR84" s="261"/>
      <c r="BS84" s="261"/>
      <c r="BT84" s="261"/>
      <c r="BU84" s="24094"/>
      <c r="BV84" s="23957"/>
      <c r="BW84" s="24094"/>
      <c r="BX84" s="23957"/>
      <c r="BY84" s="261"/>
      <c r="BZ84" s="261"/>
      <c r="CA84" s="261"/>
      <c r="CB84" s="261"/>
      <c r="CC84" s="261"/>
      <c r="CD84" s="261"/>
      <c r="CE84" s="261"/>
      <c r="CF84" s="24094"/>
      <c r="CG84" s="23957"/>
      <c r="CH84" s="24094"/>
      <c r="CI84" s="23957"/>
      <c r="CJ84" s="261"/>
      <c r="CK84" s="261"/>
      <c r="CL84" s="261"/>
      <c r="CM84" s="261"/>
      <c r="CN84" s="261"/>
      <c r="CO84" s="261"/>
      <c r="CP84" s="261"/>
      <c r="CQ84" s="24094"/>
      <c r="CR84" s="23957"/>
      <c r="CS84" s="24094"/>
      <c r="CT84" s="23957"/>
      <c r="CU84" s="261"/>
      <c r="CV84" s="261"/>
      <c r="CW84" s="261"/>
      <c r="CX84" s="261"/>
      <c r="CY84" s="261"/>
      <c r="CZ84" s="261"/>
      <c r="DA84" s="261"/>
      <c r="DB84" s="24094"/>
      <c r="DC84" s="23957"/>
      <c r="DD84" s="24094"/>
      <c r="DE84" s="23957"/>
      <c r="DF84" s="261"/>
      <c r="DG84" s="261"/>
      <c r="DH84" s="261"/>
      <c r="DI84" s="261"/>
      <c r="DJ84" s="261"/>
      <c r="DK84" s="261"/>
      <c r="DL84" s="261"/>
      <c r="DM84" s="24094"/>
      <c r="DN84" s="23957"/>
      <c r="DO84" s="24094"/>
      <c r="DP84" s="23957"/>
      <c r="DQ84" s="261"/>
      <c r="DR84" s="261"/>
      <c r="DS84" s="261"/>
      <c r="DT84" s="261"/>
      <c r="DU84" s="261"/>
      <c r="DV84" s="261"/>
      <c r="DW84" s="261"/>
      <c r="DX84" s="24094"/>
      <c r="DY84" s="23957"/>
      <c r="DZ84" s="24094"/>
      <c r="EA84" s="23957"/>
      <c r="EB84" s="261"/>
      <c r="EC84" s="261"/>
      <c r="ED84" s="261"/>
      <c r="EE84" s="261"/>
      <c r="EF84" s="261"/>
      <c r="EG84" s="261"/>
      <c r="EH84" s="261"/>
      <c r="EI84" s="24094"/>
      <c r="EJ84" s="23957"/>
      <c r="EK84" s="24094"/>
      <c r="EL84" s="23957"/>
      <c r="EM84" s="1286"/>
      <c r="EN84" s="1286"/>
      <c r="EO84" s="1286"/>
      <c r="EP84" s="1286"/>
      <c r="EQ84" s="1286"/>
      <c r="ER84" s="1286"/>
      <c r="ES84" s="1286"/>
      <c r="ET84" s="24085"/>
      <c r="EU84" s="24085"/>
      <c r="EV84" s="24085"/>
      <c r="EW84" s="24085"/>
      <c r="EX84" s="1286"/>
      <c r="EY84" s="1286"/>
      <c r="EZ84" s="1286"/>
      <c r="FA84" s="1286"/>
      <c r="FB84" s="1286"/>
      <c r="FC84" s="1286"/>
      <c r="FD84" s="1286"/>
      <c r="FE84" s="24085"/>
      <c r="FF84" s="24085"/>
      <c r="FG84" s="24085"/>
      <c r="FH84" s="24085"/>
      <c r="FI84" s="1286"/>
      <c r="FJ84" s="1286"/>
      <c r="FK84" s="1286"/>
      <c r="FL84" s="1286"/>
      <c r="FM84" s="1286"/>
      <c r="FN84" s="1286"/>
      <c r="FO84" s="1286"/>
      <c r="FP84" s="24085"/>
      <c r="FQ84" s="24085"/>
      <c r="FR84" s="24085"/>
      <c r="FS84" s="24085"/>
      <c r="FT84" s="1365"/>
      <c r="FU84" s="24162"/>
      <c r="FV84" s="1568"/>
      <c r="FW84" s="1550"/>
      <c r="FX84" s="1550" t="str">
        <f t="shared" si="1"/>
        <v/>
      </c>
      <c r="FY84" s="1550"/>
      <c r="FZ84" s="1550"/>
      <c r="GA84" s="1561">
        <v>0</v>
      </c>
    </row>
    <row r="85" spans="1:183" s="1747" customFormat="1" ht="21" customHeight="1">
      <c r="A85" s="1289"/>
      <c r="B85" s="1289"/>
      <c r="C85" s="1289"/>
      <c r="D85" s="1289"/>
      <c r="E85" s="24089"/>
      <c r="F85" s="24089"/>
      <c r="G85" s="24089" t="s">
        <v>81</v>
      </c>
      <c r="H85" s="24089"/>
      <c r="I85" s="24091"/>
      <c r="J85" s="24090"/>
      <c r="K85" s="1289"/>
      <c r="L85" s="1295"/>
      <c r="M85" s="1674"/>
      <c r="N85" s="1674"/>
      <c r="O85" s="1674"/>
      <c r="P85" s="24092"/>
      <c r="Q85" s="24092"/>
      <c r="R85" s="292"/>
      <c r="S85" s="2365"/>
      <c r="T85" s="2366" t="s">
        <v>712</v>
      </c>
      <c r="U85" s="2367"/>
      <c r="V85" s="2368"/>
      <c r="W85" s="2369"/>
      <c r="X85" s="2370"/>
      <c r="Y85" s="2371"/>
      <c r="Z85" s="2372"/>
      <c r="AA85" s="2373"/>
      <c r="AB85" s="2374"/>
      <c r="AC85" s="2375"/>
      <c r="AD85" s="2376"/>
      <c r="AE85" s="2377"/>
      <c r="AF85" s="2378"/>
      <c r="AG85" s="2379"/>
      <c r="AH85" s="2380"/>
      <c r="AI85" s="2381"/>
      <c r="AJ85" s="2382"/>
      <c r="AK85" s="2383"/>
      <c r="AL85" s="2384"/>
      <c r="AM85" s="2385"/>
      <c r="AN85" s="2386"/>
      <c r="AO85" s="2387"/>
      <c r="AP85" s="2388"/>
      <c r="AQ85" s="2389"/>
      <c r="AR85" s="6511"/>
      <c r="AS85" s="6512"/>
      <c r="AT85" s="6513"/>
      <c r="AU85" s="6514"/>
      <c r="AV85" s="6515"/>
      <c r="AW85" s="6516"/>
      <c r="AX85" s="6517"/>
      <c r="AY85" s="6518"/>
      <c r="AZ85" s="6519"/>
      <c r="BA85" s="6520"/>
      <c r="BB85" s="6521"/>
      <c r="BC85" s="6522"/>
      <c r="BD85" s="6523"/>
      <c r="BE85" s="9673"/>
      <c r="BF85" s="9674"/>
      <c r="BG85" s="21833"/>
      <c r="BH85" s="9675"/>
      <c r="BI85" s="9676"/>
      <c r="BJ85" s="9677"/>
      <c r="BK85" s="9678"/>
      <c r="BL85" s="9679"/>
      <c r="BM85" s="9680"/>
      <c r="BN85" s="2390"/>
      <c r="BO85" s="2391"/>
      <c r="BP85" s="9681"/>
      <c r="BQ85" s="9682"/>
      <c r="BR85" s="2392"/>
      <c r="BS85" s="9683"/>
      <c r="BT85" s="9684"/>
      <c r="BU85" s="9685"/>
      <c r="BV85" s="9686"/>
      <c r="BW85" s="9687"/>
      <c r="BX85" s="9688"/>
      <c r="BY85" s="9689"/>
      <c r="BZ85" s="9690"/>
      <c r="CA85" s="9691"/>
      <c r="CB85" s="9692"/>
      <c r="CC85" s="9693"/>
      <c r="CD85" s="9694"/>
      <c r="CE85" s="9695"/>
      <c r="CF85" s="9696"/>
      <c r="CG85" s="9697"/>
      <c r="CH85" s="9698"/>
      <c r="CI85" s="9699"/>
      <c r="CJ85" s="9700"/>
      <c r="CK85" s="9701"/>
      <c r="CL85" s="9702"/>
      <c r="CM85" s="9703"/>
      <c r="CN85" s="9704"/>
      <c r="CO85" s="9705"/>
      <c r="CP85" s="9706"/>
      <c r="CQ85" s="9707"/>
      <c r="CR85" s="9708"/>
      <c r="CS85" s="9709"/>
      <c r="CT85" s="9710"/>
      <c r="CU85" s="9711"/>
      <c r="CV85" s="9712"/>
      <c r="CW85" s="9713"/>
      <c r="CX85" s="9714"/>
      <c r="CY85" s="9715"/>
      <c r="CZ85" s="9716"/>
      <c r="DA85" s="9717"/>
      <c r="DB85" s="9718"/>
      <c r="DC85" s="9719"/>
      <c r="DD85" s="9720"/>
      <c r="DE85" s="9721"/>
      <c r="DF85" s="9722"/>
      <c r="DG85" s="9723"/>
      <c r="DH85" s="9724"/>
      <c r="DI85" s="9725"/>
      <c r="DJ85" s="9726"/>
      <c r="DK85" s="9727"/>
      <c r="DL85" s="9728"/>
      <c r="DM85" s="9729"/>
      <c r="DN85" s="9730"/>
      <c r="DO85" s="9731"/>
      <c r="DP85" s="9732"/>
      <c r="DQ85" s="9733"/>
      <c r="DR85" s="9734"/>
      <c r="DS85" s="9735"/>
      <c r="DT85" s="9736"/>
      <c r="DU85" s="9737"/>
      <c r="DV85" s="9738"/>
      <c r="DW85" s="9739"/>
      <c r="DX85" s="9740"/>
      <c r="DY85" s="9741"/>
      <c r="DZ85" s="9742"/>
      <c r="EA85" s="9743"/>
      <c r="EB85" s="9744"/>
      <c r="EC85" s="9745"/>
      <c r="ED85" s="9746"/>
      <c r="EE85" s="9747"/>
      <c r="EF85" s="9748"/>
      <c r="EG85" s="9749"/>
      <c r="EH85" s="9750"/>
      <c r="EI85" s="9751"/>
      <c r="EJ85" s="9752"/>
      <c r="EK85" s="9753"/>
      <c r="EL85" s="9754"/>
      <c r="EM85" s="21455"/>
      <c r="EN85" s="21456"/>
      <c r="EO85" s="9755"/>
      <c r="EP85" s="9756"/>
      <c r="EQ85" s="21457"/>
      <c r="ER85" s="9757"/>
      <c r="ES85" s="9758"/>
      <c r="ET85" s="9759"/>
      <c r="EU85" s="9760"/>
      <c r="EV85" s="9761"/>
      <c r="EW85" s="9762"/>
      <c r="EX85" s="2393"/>
      <c r="EY85" s="2394"/>
      <c r="EZ85" s="9763"/>
      <c r="FA85" s="9764"/>
      <c r="FB85" s="2395"/>
      <c r="FC85" s="9765"/>
      <c r="FD85" s="9766"/>
      <c r="FE85" s="9767"/>
      <c r="FF85" s="9768"/>
      <c r="FG85" s="9769"/>
      <c r="FH85" s="5673"/>
      <c r="FI85" s="22488"/>
      <c r="FJ85" s="22489"/>
      <c r="FK85" s="23307"/>
      <c r="FL85" s="23308"/>
      <c r="FM85" s="22490"/>
      <c r="FN85" s="23309"/>
      <c r="FO85" s="23310"/>
      <c r="FP85" s="22491"/>
      <c r="FQ85" s="22492"/>
      <c r="FR85" s="22493"/>
      <c r="FS85" s="23311"/>
      <c r="FT85" s="2396"/>
      <c r="FU85" s="1184" t="s">
        <v>713</v>
      </c>
      <c r="FV85" s="1568"/>
      <c r="FW85" s="1550"/>
      <c r="FX85" s="1550" t="str">
        <f t="shared" si="1"/>
        <v>Добавить значение признака дифференциации</v>
      </c>
      <c r="FY85" s="1550"/>
      <c r="FZ85" s="1550"/>
      <c r="GA85" s="1561">
        <v>0</v>
      </c>
    </row>
    <row r="86" spans="1:183" s="1747" customFormat="1" ht="21" customHeight="1">
      <c r="A86" s="1289"/>
      <c r="B86" s="1289"/>
      <c r="C86" s="1289"/>
      <c r="D86" s="1289"/>
      <c r="E86" s="24089"/>
      <c r="F86" s="24089"/>
      <c r="G86" s="24089" t="s">
        <v>81</v>
      </c>
      <c r="H86" s="24089"/>
      <c r="I86" s="24090"/>
      <c r="J86" s="1289"/>
      <c r="K86" s="1289"/>
      <c r="L86" s="1295"/>
      <c r="M86" s="1674"/>
      <c r="N86" s="1674"/>
      <c r="O86" s="1674"/>
      <c r="P86" s="24092"/>
      <c r="Q86" s="1978"/>
      <c r="R86" s="292"/>
      <c r="S86" s="2397"/>
      <c r="T86" s="2398" t="s">
        <v>641</v>
      </c>
      <c r="U86" s="2399"/>
      <c r="V86" s="2400"/>
      <c r="W86" s="2401"/>
      <c r="X86" s="2402"/>
      <c r="Y86" s="2403"/>
      <c r="Z86" s="2404"/>
      <c r="AA86" s="2405"/>
      <c r="AB86" s="2406"/>
      <c r="AC86" s="2407"/>
      <c r="AD86" s="2408"/>
      <c r="AE86" s="2409"/>
      <c r="AF86" s="2410"/>
      <c r="AG86" s="2411"/>
      <c r="AH86" s="2412"/>
      <c r="AI86" s="2413"/>
      <c r="AJ86" s="2414"/>
      <c r="AK86" s="2415"/>
      <c r="AL86" s="2416"/>
      <c r="AM86" s="2417"/>
      <c r="AN86" s="2418"/>
      <c r="AO86" s="2419"/>
      <c r="AP86" s="2420"/>
      <c r="AQ86" s="2421"/>
      <c r="AR86" s="6524"/>
      <c r="AS86" s="6525"/>
      <c r="AT86" s="6526"/>
      <c r="AU86" s="6527"/>
      <c r="AV86" s="6528"/>
      <c r="AW86" s="6529"/>
      <c r="AX86" s="6530"/>
      <c r="AY86" s="6531"/>
      <c r="AZ86" s="6532"/>
      <c r="BA86" s="6533"/>
      <c r="BB86" s="6534"/>
      <c r="BC86" s="6535"/>
      <c r="BD86" s="6536"/>
      <c r="BE86" s="9770"/>
      <c r="BF86" s="9771"/>
      <c r="BG86" s="21834"/>
      <c r="BH86" s="9772"/>
      <c r="BI86" s="9773"/>
      <c r="BJ86" s="9774"/>
      <c r="BK86" s="9775"/>
      <c r="BL86" s="9776"/>
      <c r="BM86" s="9777"/>
      <c r="BN86" s="2422"/>
      <c r="BO86" s="2423"/>
      <c r="BP86" s="9778"/>
      <c r="BQ86" s="9779"/>
      <c r="BR86" s="2424"/>
      <c r="BS86" s="9780"/>
      <c r="BT86" s="9781"/>
      <c r="BU86" s="9782"/>
      <c r="BV86" s="9783"/>
      <c r="BW86" s="9784"/>
      <c r="BX86" s="9785"/>
      <c r="BY86" s="9786"/>
      <c r="BZ86" s="9787"/>
      <c r="CA86" s="9788"/>
      <c r="CB86" s="9789"/>
      <c r="CC86" s="9790"/>
      <c r="CD86" s="9791"/>
      <c r="CE86" s="9792"/>
      <c r="CF86" s="9793"/>
      <c r="CG86" s="9794"/>
      <c r="CH86" s="9795"/>
      <c r="CI86" s="9796"/>
      <c r="CJ86" s="9797"/>
      <c r="CK86" s="9798"/>
      <c r="CL86" s="9799"/>
      <c r="CM86" s="9800"/>
      <c r="CN86" s="9801"/>
      <c r="CO86" s="9802"/>
      <c r="CP86" s="9803"/>
      <c r="CQ86" s="9804"/>
      <c r="CR86" s="9805"/>
      <c r="CS86" s="9806"/>
      <c r="CT86" s="9807"/>
      <c r="CU86" s="9808"/>
      <c r="CV86" s="9809"/>
      <c r="CW86" s="9810"/>
      <c r="CX86" s="9811"/>
      <c r="CY86" s="9812"/>
      <c r="CZ86" s="9813"/>
      <c r="DA86" s="9814"/>
      <c r="DB86" s="9815"/>
      <c r="DC86" s="9816"/>
      <c r="DD86" s="9817"/>
      <c r="DE86" s="9818"/>
      <c r="DF86" s="9819"/>
      <c r="DG86" s="9820"/>
      <c r="DH86" s="9821"/>
      <c r="DI86" s="9822"/>
      <c r="DJ86" s="9823"/>
      <c r="DK86" s="9824"/>
      <c r="DL86" s="9825"/>
      <c r="DM86" s="9826"/>
      <c r="DN86" s="9827"/>
      <c r="DO86" s="9828"/>
      <c r="DP86" s="9829"/>
      <c r="DQ86" s="9830"/>
      <c r="DR86" s="9831"/>
      <c r="DS86" s="9832"/>
      <c r="DT86" s="9833"/>
      <c r="DU86" s="9834"/>
      <c r="DV86" s="9835"/>
      <c r="DW86" s="9836"/>
      <c r="DX86" s="9837"/>
      <c r="DY86" s="9838"/>
      <c r="DZ86" s="9839"/>
      <c r="EA86" s="9840"/>
      <c r="EB86" s="9841"/>
      <c r="EC86" s="9842"/>
      <c r="ED86" s="9843"/>
      <c r="EE86" s="9844"/>
      <c r="EF86" s="9845"/>
      <c r="EG86" s="9846"/>
      <c r="EH86" s="9847"/>
      <c r="EI86" s="9848"/>
      <c r="EJ86" s="9849"/>
      <c r="EK86" s="9850"/>
      <c r="EL86" s="9851"/>
      <c r="EM86" s="21458"/>
      <c r="EN86" s="21459"/>
      <c r="EO86" s="9852"/>
      <c r="EP86" s="9853"/>
      <c r="EQ86" s="21460"/>
      <c r="ER86" s="9854"/>
      <c r="ES86" s="9855"/>
      <c r="ET86" s="9856"/>
      <c r="EU86" s="9857"/>
      <c r="EV86" s="9858"/>
      <c r="EW86" s="9859"/>
      <c r="EX86" s="2425"/>
      <c r="EY86" s="2426"/>
      <c r="EZ86" s="9860"/>
      <c r="FA86" s="9861"/>
      <c r="FB86" s="2427"/>
      <c r="FC86" s="9862"/>
      <c r="FD86" s="9863"/>
      <c r="FE86" s="9864"/>
      <c r="FF86" s="9865"/>
      <c r="FG86" s="9866"/>
      <c r="FH86" s="5674"/>
      <c r="FI86" s="22494"/>
      <c r="FJ86" s="22495"/>
      <c r="FK86" s="23312"/>
      <c r="FL86" s="23313"/>
      <c r="FM86" s="22496"/>
      <c r="FN86" s="23314"/>
      <c r="FO86" s="23315"/>
      <c r="FP86" s="22497"/>
      <c r="FQ86" s="22498"/>
      <c r="FR86" s="22499"/>
      <c r="FS86" s="23316"/>
      <c r="FT86" s="2428"/>
      <c r="FU86" s="2429"/>
      <c r="FV86" s="1568"/>
      <c r="FW86" s="1550"/>
      <c r="FX86" s="1550" t="str">
        <f t="shared" si="1"/>
        <v>Добавить группу потребителей</v>
      </c>
      <c r="FY86" s="1550"/>
      <c r="FZ86" s="1550"/>
      <c r="GA86" s="1561">
        <v>0</v>
      </c>
    </row>
    <row r="87" spans="1:183" s="1747" customFormat="1" ht="21" customHeight="1">
      <c r="A87" s="1289"/>
      <c r="B87" s="1289"/>
      <c r="C87" s="1289"/>
      <c r="D87" s="1289"/>
      <c r="E87" s="24089"/>
      <c r="F87" s="24089"/>
      <c r="G87" s="24089" t="s">
        <v>81</v>
      </c>
      <c r="H87" s="24088"/>
      <c r="I87" s="1289"/>
      <c r="J87" s="1289"/>
      <c r="K87" s="1289"/>
      <c r="L87" s="1295"/>
      <c r="M87" s="1291"/>
      <c r="N87" s="1291"/>
      <c r="O87" s="1292"/>
      <c r="P87" s="1720"/>
      <c r="Q87" s="311"/>
      <c r="R87" s="291"/>
      <c r="S87" s="2430"/>
      <c r="T87" s="2431" t="s">
        <v>714</v>
      </c>
      <c r="U87" s="2432"/>
      <c r="V87" s="2433"/>
      <c r="W87" s="2434"/>
      <c r="X87" s="2435"/>
      <c r="Y87" s="2436"/>
      <c r="Z87" s="2437"/>
      <c r="AA87" s="2438"/>
      <c r="AB87" s="2439"/>
      <c r="AC87" s="2440"/>
      <c r="AD87" s="2441"/>
      <c r="AE87" s="2442"/>
      <c r="AF87" s="2443"/>
      <c r="AG87" s="2444"/>
      <c r="AH87" s="2445"/>
      <c r="AI87" s="2446"/>
      <c r="AJ87" s="2447"/>
      <c r="AK87" s="2448"/>
      <c r="AL87" s="2449"/>
      <c r="AM87" s="2450"/>
      <c r="AN87" s="2451"/>
      <c r="AO87" s="2452"/>
      <c r="AP87" s="2453"/>
      <c r="AQ87" s="2454"/>
      <c r="AR87" s="6537"/>
      <c r="AS87" s="6538"/>
      <c r="AT87" s="6539"/>
      <c r="AU87" s="6540"/>
      <c r="AV87" s="6541"/>
      <c r="AW87" s="6542"/>
      <c r="AX87" s="6543"/>
      <c r="AY87" s="6544"/>
      <c r="AZ87" s="6545"/>
      <c r="BA87" s="6546"/>
      <c r="BB87" s="6547"/>
      <c r="BC87" s="6548"/>
      <c r="BD87" s="6549"/>
      <c r="BE87" s="9867"/>
      <c r="BF87" s="9868"/>
      <c r="BG87" s="21835"/>
      <c r="BH87" s="9869"/>
      <c r="BI87" s="9870"/>
      <c r="BJ87" s="9871"/>
      <c r="BK87" s="9872"/>
      <c r="BL87" s="9873"/>
      <c r="BM87" s="9874"/>
      <c r="BN87" s="2455"/>
      <c r="BO87" s="2456"/>
      <c r="BP87" s="9875"/>
      <c r="BQ87" s="9876"/>
      <c r="BR87" s="2457"/>
      <c r="BS87" s="9877"/>
      <c r="BT87" s="9878"/>
      <c r="BU87" s="9879"/>
      <c r="BV87" s="9880"/>
      <c r="BW87" s="9881"/>
      <c r="BX87" s="9882"/>
      <c r="BY87" s="9883"/>
      <c r="BZ87" s="9884"/>
      <c r="CA87" s="9885"/>
      <c r="CB87" s="9886"/>
      <c r="CC87" s="9887"/>
      <c r="CD87" s="9888"/>
      <c r="CE87" s="9889"/>
      <c r="CF87" s="9890"/>
      <c r="CG87" s="9891"/>
      <c r="CH87" s="9892"/>
      <c r="CI87" s="9893"/>
      <c r="CJ87" s="9894"/>
      <c r="CK87" s="9895"/>
      <c r="CL87" s="9896"/>
      <c r="CM87" s="9897"/>
      <c r="CN87" s="9898"/>
      <c r="CO87" s="9899"/>
      <c r="CP87" s="9900"/>
      <c r="CQ87" s="9901"/>
      <c r="CR87" s="9902"/>
      <c r="CS87" s="9903"/>
      <c r="CT87" s="9904"/>
      <c r="CU87" s="9905"/>
      <c r="CV87" s="9906"/>
      <c r="CW87" s="9907"/>
      <c r="CX87" s="9908"/>
      <c r="CY87" s="9909"/>
      <c r="CZ87" s="9910"/>
      <c r="DA87" s="9911"/>
      <c r="DB87" s="9912"/>
      <c r="DC87" s="9913"/>
      <c r="DD87" s="9914"/>
      <c r="DE87" s="9915"/>
      <c r="DF87" s="9916"/>
      <c r="DG87" s="9917"/>
      <c r="DH87" s="9918"/>
      <c r="DI87" s="9919"/>
      <c r="DJ87" s="9920"/>
      <c r="DK87" s="9921"/>
      <c r="DL87" s="9922"/>
      <c r="DM87" s="9923"/>
      <c r="DN87" s="9924"/>
      <c r="DO87" s="9925"/>
      <c r="DP87" s="9926"/>
      <c r="DQ87" s="9927"/>
      <c r="DR87" s="9928"/>
      <c r="DS87" s="9929"/>
      <c r="DT87" s="9930"/>
      <c r="DU87" s="9931"/>
      <c r="DV87" s="9932"/>
      <c r="DW87" s="9933"/>
      <c r="DX87" s="9934"/>
      <c r="DY87" s="9935"/>
      <c r="DZ87" s="9936"/>
      <c r="EA87" s="9937"/>
      <c r="EB87" s="9938"/>
      <c r="EC87" s="9939"/>
      <c r="ED87" s="9940"/>
      <c r="EE87" s="9941"/>
      <c r="EF87" s="9942"/>
      <c r="EG87" s="9943"/>
      <c r="EH87" s="9944"/>
      <c r="EI87" s="9945"/>
      <c r="EJ87" s="9946"/>
      <c r="EK87" s="9947"/>
      <c r="EL87" s="9948"/>
      <c r="EM87" s="21461"/>
      <c r="EN87" s="21462"/>
      <c r="EO87" s="9949"/>
      <c r="EP87" s="9950"/>
      <c r="EQ87" s="21463"/>
      <c r="ER87" s="9951"/>
      <c r="ES87" s="9952"/>
      <c r="ET87" s="9953"/>
      <c r="EU87" s="9954"/>
      <c r="EV87" s="9955"/>
      <c r="EW87" s="9956"/>
      <c r="EX87" s="2458"/>
      <c r="EY87" s="2459"/>
      <c r="EZ87" s="9957"/>
      <c r="FA87" s="9958"/>
      <c r="FB87" s="2460"/>
      <c r="FC87" s="9959"/>
      <c r="FD87" s="9960"/>
      <c r="FE87" s="9961"/>
      <c r="FF87" s="9962"/>
      <c r="FG87" s="9963"/>
      <c r="FH87" s="5675"/>
      <c r="FI87" s="22500"/>
      <c r="FJ87" s="22501"/>
      <c r="FK87" s="23317"/>
      <c r="FL87" s="23318"/>
      <c r="FM87" s="22502"/>
      <c r="FN87" s="23319"/>
      <c r="FO87" s="23320"/>
      <c r="FP87" s="22503"/>
      <c r="FQ87" s="22504"/>
      <c r="FR87" s="22505"/>
      <c r="FS87" s="23321"/>
      <c r="FT87" s="2461"/>
      <c r="FU87" s="2462"/>
      <c r="FV87" s="1568"/>
      <c r="FW87" s="1550"/>
      <c r="FX87" s="1550" t="str">
        <f t="shared" si="1"/>
        <v>Добавить наименование признака дифференциации</v>
      </c>
      <c r="FY87" s="1550"/>
      <c r="FZ87" s="1550"/>
      <c r="GA87" s="1561">
        <v>0</v>
      </c>
    </row>
    <row r="88" spans="1:183" s="1747" customFormat="1" ht="23.25" customHeight="1">
      <c r="A88" s="1289"/>
      <c r="B88" s="1289"/>
      <c r="C88" s="1289" t="s">
        <v>365</v>
      </c>
      <c r="D88" s="1289"/>
      <c r="E88" s="24089"/>
      <c r="F88" s="24089"/>
      <c r="G88" s="24088" t="s">
        <v>109</v>
      </c>
      <c r="H88" s="1289"/>
      <c r="I88" s="1289"/>
      <c r="J88" s="1289"/>
      <c r="K88" s="1289"/>
      <c r="L88" s="1295"/>
      <c r="M88" s="1291"/>
      <c r="N88" s="1291"/>
      <c r="O88" s="1291"/>
      <c r="P88" s="290"/>
      <c r="Q88" s="288"/>
      <c r="R88" s="289"/>
      <c r="S88" s="1976" t="str">
        <f>INDEX(PT_DIFFERENTIATION_NUM_CS,MATCH(C88,PT_DIFFERENTIATION_CS_ID,0))</f>
        <v>1.1.5</v>
      </c>
      <c r="T88" s="245" t="s">
        <v>756</v>
      </c>
      <c r="U88" s="236"/>
      <c r="V88" s="24082"/>
      <c r="W88" s="24083"/>
      <c r="X88" s="24083"/>
      <c r="Y88" s="24083"/>
      <c r="Z88" s="24083"/>
      <c r="AA88" s="24083"/>
      <c r="AB88" s="24083"/>
      <c r="AC88" s="24083"/>
      <c r="AD88" s="24083"/>
      <c r="AE88" s="24083"/>
      <c r="AF88" s="24084"/>
      <c r="AG88" s="24082" t="str">
        <f>INDEX(PT_DIFFERENTIATION_CS,MATCH(C88,PT_DIFFERENTIATION_CS_ID,0))</f>
        <v>Г. Вязьма, ул. Московская</v>
      </c>
      <c r="AH88" s="24083"/>
      <c r="AI88" s="24083"/>
      <c r="AJ88" s="24083"/>
      <c r="AK88" s="24083"/>
      <c r="AL88" s="24083"/>
      <c r="AM88" s="24083"/>
      <c r="AN88" s="24083"/>
      <c r="AO88" s="24083"/>
      <c r="AP88" s="24083"/>
      <c r="AQ88" s="24083"/>
      <c r="AR88" s="24173"/>
      <c r="AS88" s="24174"/>
      <c r="AT88" s="24174"/>
      <c r="AU88" s="24174"/>
      <c r="AV88" s="24174"/>
      <c r="AW88" s="24174"/>
      <c r="AX88" s="24174"/>
      <c r="AY88" s="24174"/>
      <c r="AZ88" s="24174"/>
      <c r="BA88" s="24174"/>
      <c r="BB88" s="24175"/>
      <c r="BC88" s="24173"/>
      <c r="BD88" s="24174"/>
      <c r="BE88" s="24174"/>
      <c r="BF88" s="24174"/>
      <c r="BG88" s="24174"/>
      <c r="BH88" s="24174"/>
      <c r="BI88" s="24174"/>
      <c r="BJ88" s="24174"/>
      <c r="BK88" s="24174"/>
      <c r="BL88" s="24174"/>
      <c r="BM88" s="24175"/>
      <c r="BN88" s="24082"/>
      <c r="BO88" s="24083"/>
      <c r="BP88" s="24174"/>
      <c r="BQ88" s="24174"/>
      <c r="BR88" s="24083"/>
      <c r="BS88" s="24174"/>
      <c r="BT88" s="24174"/>
      <c r="BU88" s="24174"/>
      <c r="BV88" s="24174"/>
      <c r="BW88" s="24174"/>
      <c r="BX88" s="24175"/>
      <c r="BY88" s="24173"/>
      <c r="BZ88" s="24174"/>
      <c r="CA88" s="24174"/>
      <c r="CB88" s="24174"/>
      <c r="CC88" s="24174"/>
      <c r="CD88" s="24174"/>
      <c r="CE88" s="24174"/>
      <c r="CF88" s="24174"/>
      <c r="CG88" s="24174"/>
      <c r="CH88" s="24174"/>
      <c r="CI88" s="24175"/>
      <c r="CJ88" s="24173"/>
      <c r="CK88" s="24174"/>
      <c r="CL88" s="24174"/>
      <c r="CM88" s="24174"/>
      <c r="CN88" s="24174"/>
      <c r="CO88" s="24174"/>
      <c r="CP88" s="24174"/>
      <c r="CQ88" s="24174"/>
      <c r="CR88" s="24174"/>
      <c r="CS88" s="24174"/>
      <c r="CT88" s="24175"/>
      <c r="CU88" s="24173"/>
      <c r="CV88" s="24174"/>
      <c r="CW88" s="24174"/>
      <c r="CX88" s="24174"/>
      <c r="CY88" s="24174"/>
      <c r="CZ88" s="24174"/>
      <c r="DA88" s="24174"/>
      <c r="DB88" s="24174"/>
      <c r="DC88" s="24174"/>
      <c r="DD88" s="24174"/>
      <c r="DE88" s="24175"/>
      <c r="DF88" s="24173"/>
      <c r="DG88" s="24174"/>
      <c r="DH88" s="24174"/>
      <c r="DI88" s="24174"/>
      <c r="DJ88" s="24174"/>
      <c r="DK88" s="24174"/>
      <c r="DL88" s="24174"/>
      <c r="DM88" s="24174"/>
      <c r="DN88" s="24174"/>
      <c r="DO88" s="24174"/>
      <c r="DP88" s="24175"/>
      <c r="DQ88" s="24173"/>
      <c r="DR88" s="24174"/>
      <c r="DS88" s="24174"/>
      <c r="DT88" s="24174"/>
      <c r="DU88" s="24174"/>
      <c r="DV88" s="24174"/>
      <c r="DW88" s="24174"/>
      <c r="DX88" s="24174"/>
      <c r="DY88" s="24174"/>
      <c r="DZ88" s="24174"/>
      <c r="EA88" s="24175"/>
      <c r="EB88" s="24173"/>
      <c r="EC88" s="24174"/>
      <c r="ED88" s="24174"/>
      <c r="EE88" s="24174"/>
      <c r="EF88" s="24174"/>
      <c r="EG88" s="24174"/>
      <c r="EH88" s="24174"/>
      <c r="EI88" s="24174"/>
      <c r="EJ88" s="24174"/>
      <c r="EK88" s="24174"/>
      <c r="EL88" s="24175"/>
      <c r="EM88" s="24173"/>
      <c r="EN88" s="24174"/>
      <c r="EO88" s="24174"/>
      <c r="EP88" s="24174"/>
      <c r="EQ88" s="24174"/>
      <c r="ER88" s="24174"/>
      <c r="ES88" s="24174"/>
      <c r="ET88" s="24174"/>
      <c r="EU88" s="24174"/>
      <c r="EV88" s="24174"/>
      <c r="EW88" s="24175"/>
      <c r="EX88" s="24082"/>
      <c r="EY88" s="24083"/>
      <c r="EZ88" s="24174"/>
      <c r="FA88" s="24174"/>
      <c r="FB88" s="24083"/>
      <c r="FC88" s="24174"/>
      <c r="FD88" s="24174"/>
      <c r="FE88" s="24174"/>
      <c r="FF88" s="24174"/>
      <c r="FG88" s="24174"/>
      <c r="FH88" s="24175"/>
      <c r="FI88" s="24082"/>
      <c r="FJ88" s="24083"/>
      <c r="FK88" s="24174"/>
      <c r="FL88" s="24174"/>
      <c r="FM88" s="24083"/>
      <c r="FN88" s="24174"/>
      <c r="FO88" s="24174"/>
      <c r="FP88" s="24083"/>
      <c r="FQ88" s="24083"/>
      <c r="FR88" s="24083"/>
      <c r="FS88" s="24175"/>
      <c r="FT88" s="24084"/>
      <c r="FU88" s="1184" t="s">
        <v>757</v>
      </c>
      <c r="FV88" s="1568"/>
      <c r="FW88" s="1550"/>
      <c r="FX88" s="1550" t="str">
        <f t="shared" si="1"/>
        <v>Наименование централизованной системы горячего водоснабжения</v>
      </c>
      <c r="FY88" s="1550"/>
      <c r="FZ88" s="1550"/>
      <c r="GA88" s="1561">
        <v>0</v>
      </c>
    </row>
    <row r="89" spans="1:183" s="1747" customFormat="1" ht="23.25" customHeight="1">
      <c r="A89" s="1289"/>
      <c r="B89" s="1289"/>
      <c r="C89" s="1289"/>
      <c r="D89" s="1289"/>
      <c r="E89" s="24089"/>
      <c r="F89" s="24089"/>
      <c r="G89" s="24089" t="s">
        <v>82</v>
      </c>
      <c r="H89" s="24089"/>
      <c r="I89" s="24090" t="str">
        <f>S88&amp;".1"</f>
        <v>1.1.5.1</v>
      </c>
      <c r="J89" s="1289"/>
      <c r="K89" s="1289"/>
      <c r="L89" s="1295"/>
      <c r="M89" s="1674"/>
      <c r="N89" s="1674"/>
      <c r="O89" s="1674"/>
      <c r="P89" s="24092">
        <v>1</v>
      </c>
      <c r="Q89" s="1978"/>
      <c r="R89" s="292"/>
      <c r="S89" s="1976" t="str">
        <f>$I89</f>
        <v>1.1.5.1</v>
      </c>
      <c r="T89" s="221" t="s">
        <v>709</v>
      </c>
      <c r="U89" s="236"/>
      <c r="V89" s="24156"/>
      <c r="W89" s="24157"/>
      <c r="X89" s="24157"/>
      <c r="Y89" s="24157"/>
      <c r="Z89" s="24157"/>
      <c r="AA89" s="24157"/>
      <c r="AB89" s="24157"/>
      <c r="AC89" s="24157"/>
      <c r="AD89" s="24157"/>
      <c r="AE89" s="24157"/>
      <c r="AF89" s="24158"/>
      <c r="AG89" s="24159"/>
      <c r="AH89" s="24160"/>
      <c r="AI89" s="24160"/>
      <c r="AJ89" s="24160"/>
      <c r="AK89" s="24160"/>
      <c r="AL89" s="24160"/>
      <c r="AM89" s="24160"/>
      <c r="AN89" s="24160"/>
      <c r="AO89" s="24160"/>
      <c r="AP89" s="24160"/>
      <c r="AQ89" s="24160"/>
      <c r="AR89" s="24176"/>
      <c r="AS89" s="24177"/>
      <c r="AT89" s="24177"/>
      <c r="AU89" s="24177"/>
      <c r="AV89" s="24177"/>
      <c r="AW89" s="24177"/>
      <c r="AX89" s="24177"/>
      <c r="AY89" s="24177"/>
      <c r="AZ89" s="24177"/>
      <c r="BA89" s="24177"/>
      <c r="BB89" s="24178"/>
      <c r="BC89" s="24176"/>
      <c r="BD89" s="24177"/>
      <c r="BE89" s="24177"/>
      <c r="BF89" s="24177"/>
      <c r="BG89" s="24177"/>
      <c r="BH89" s="24177"/>
      <c r="BI89" s="24177"/>
      <c r="BJ89" s="24177"/>
      <c r="BK89" s="24177"/>
      <c r="BL89" s="24177"/>
      <c r="BM89" s="24178"/>
      <c r="BN89" s="24156"/>
      <c r="BO89" s="24157"/>
      <c r="BP89" s="24177"/>
      <c r="BQ89" s="24177"/>
      <c r="BR89" s="24157"/>
      <c r="BS89" s="24177"/>
      <c r="BT89" s="24177"/>
      <c r="BU89" s="24177"/>
      <c r="BV89" s="24177"/>
      <c r="BW89" s="24177"/>
      <c r="BX89" s="24178"/>
      <c r="BY89" s="24176"/>
      <c r="BZ89" s="24177"/>
      <c r="CA89" s="24177"/>
      <c r="CB89" s="24177"/>
      <c r="CC89" s="24177"/>
      <c r="CD89" s="24177"/>
      <c r="CE89" s="24177"/>
      <c r="CF89" s="24177"/>
      <c r="CG89" s="24177"/>
      <c r="CH89" s="24177"/>
      <c r="CI89" s="24178"/>
      <c r="CJ89" s="24176"/>
      <c r="CK89" s="24177"/>
      <c r="CL89" s="24177"/>
      <c r="CM89" s="24177"/>
      <c r="CN89" s="24177"/>
      <c r="CO89" s="24177"/>
      <c r="CP89" s="24177"/>
      <c r="CQ89" s="24177"/>
      <c r="CR89" s="24177"/>
      <c r="CS89" s="24177"/>
      <c r="CT89" s="24178"/>
      <c r="CU89" s="24176"/>
      <c r="CV89" s="24177"/>
      <c r="CW89" s="24177"/>
      <c r="CX89" s="24177"/>
      <c r="CY89" s="24177"/>
      <c r="CZ89" s="24177"/>
      <c r="DA89" s="24177"/>
      <c r="DB89" s="24177"/>
      <c r="DC89" s="24177"/>
      <c r="DD89" s="24177"/>
      <c r="DE89" s="24178"/>
      <c r="DF89" s="24176"/>
      <c r="DG89" s="24177"/>
      <c r="DH89" s="24177"/>
      <c r="DI89" s="24177"/>
      <c r="DJ89" s="24177"/>
      <c r="DK89" s="24177"/>
      <c r="DL89" s="24177"/>
      <c r="DM89" s="24177"/>
      <c r="DN89" s="24177"/>
      <c r="DO89" s="24177"/>
      <c r="DP89" s="24178"/>
      <c r="DQ89" s="24176"/>
      <c r="DR89" s="24177"/>
      <c r="DS89" s="24177"/>
      <c r="DT89" s="24177"/>
      <c r="DU89" s="24177"/>
      <c r="DV89" s="24177"/>
      <c r="DW89" s="24177"/>
      <c r="DX89" s="24177"/>
      <c r="DY89" s="24177"/>
      <c r="DZ89" s="24177"/>
      <c r="EA89" s="24178"/>
      <c r="EB89" s="24176"/>
      <c r="EC89" s="24177"/>
      <c r="ED89" s="24177"/>
      <c r="EE89" s="24177"/>
      <c r="EF89" s="24177"/>
      <c r="EG89" s="24177"/>
      <c r="EH89" s="24177"/>
      <c r="EI89" s="24177"/>
      <c r="EJ89" s="24177"/>
      <c r="EK89" s="24177"/>
      <c r="EL89" s="24178"/>
      <c r="EM89" s="24176"/>
      <c r="EN89" s="24177"/>
      <c r="EO89" s="24177"/>
      <c r="EP89" s="24177"/>
      <c r="EQ89" s="24177"/>
      <c r="ER89" s="24177"/>
      <c r="ES89" s="24177"/>
      <c r="ET89" s="24177"/>
      <c r="EU89" s="24177"/>
      <c r="EV89" s="24177"/>
      <c r="EW89" s="24178"/>
      <c r="EX89" s="24156"/>
      <c r="EY89" s="24157"/>
      <c r="EZ89" s="24177"/>
      <c r="FA89" s="24177"/>
      <c r="FB89" s="24157"/>
      <c r="FC89" s="24177"/>
      <c r="FD89" s="24177"/>
      <c r="FE89" s="24177"/>
      <c r="FF89" s="24177"/>
      <c r="FG89" s="24177"/>
      <c r="FH89" s="24178"/>
      <c r="FI89" s="24156"/>
      <c r="FJ89" s="24157"/>
      <c r="FK89" s="24177"/>
      <c r="FL89" s="24177"/>
      <c r="FM89" s="24157"/>
      <c r="FN89" s="24177"/>
      <c r="FO89" s="24177"/>
      <c r="FP89" s="24157"/>
      <c r="FQ89" s="24157"/>
      <c r="FR89" s="24157"/>
      <c r="FS89" s="24178"/>
      <c r="FT89" s="24161"/>
      <c r="FU89" s="1184" t="s">
        <v>710</v>
      </c>
      <c r="FV89" s="1568"/>
      <c r="FW89" s="1550"/>
      <c r="FX89" s="1550" t="str">
        <f t="shared" si="1"/>
        <v>Наименование признака дифференциации</v>
      </c>
      <c r="FY89" s="1550"/>
      <c r="FZ89" s="1550"/>
      <c r="GA89" s="1561">
        <v>0</v>
      </c>
    </row>
    <row r="90" spans="1:183" s="1747" customFormat="1" ht="23.25" customHeight="1">
      <c r="A90" s="1289"/>
      <c r="B90" s="1289"/>
      <c r="C90" s="1289"/>
      <c r="D90" s="1289"/>
      <c r="E90" s="24089"/>
      <c r="F90" s="24089"/>
      <c r="G90" s="24089" t="s">
        <v>82</v>
      </c>
      <c r="H90" s="24089"/>
      <c r="I90" s="24091"/>
      <c r="J90" s="24090" t="str">
        <f>I89&amp;".1"</f>
        <v>1.1.5.1.1</v>
      </c>
      <c r="K90" s="1289"/>
      <c r="L90" s="1295" t="s">
        <v>635</v>
      </c>
      <c r="M90" s="1674"/>
      <c r="N90" s="1674"/>
      <c r="O90" s="1674"/>
      <c r="P90" s="24092"/>
      <c r="Q90" s="24092">
        <v>1</v>
      </c>
      <c r="R90" s="293"/>
      <c r="S90" s="1976" t="str">
        <f>$J90</f>
        <v>1.1.5.1.1</v>
      </c>
      <c r="T90" s="222" t="s">
        <v>636</v>
      </c>
      <c r="U90" s="236"/>
      <c r="V90" s="24076"/>
      <c r="W90" s="24077"/>
      <c r="X90" s="24077"/>
      <c r="Y90" s="24077"/>
      <c r="Z90" s="24077"/>
      <c r="AA90" s="24077"/>
      <c r="AB90" s="24077"/>
      <c r="AC90" s="24077"/>
      <c r="AD90" s="24077"/>
      <c r="AE90" s="24077"/>
      <c r="AF90" s="24078"/>
      <c r="AG90" s="24076" t="s">
        <v>769</v>
      </c>
      <c r="AH90" s="24077"/>
      <c r="AI90" s="24077"/>
      <c r="AJ90" s="24077"/>
      <c r="AK90" s="24077"/>
      <c r="AL90" s="24077"/>
      <c r="AM90" s="24077"/>
      <c r="AN90" s="24077"/>
      <c r="AO90" s="24077"/>
      <c r="AP90" s="24077"/>
      <c r="AQ90" s="24077"/>
      <c r="AR90" s="24179"/>
      <c r="AS90" s="24180"/>
      <c r="AT90" s="24180"/>
      <c r="AU90" s="24180"/>
      <c r="AV90" s="24180"/>
      <c r="AW90" s="24180"/>
      <c r="AX90" s="24180"/>
      <c r="AY90" s="24180"/>
      <c r="AZ90" s="24180"/>
      <c r="BA90" s="24180"/>
      <c r="BB90" s="24181"/>
      <c r="BC90" s="24179"/>
      <c r="BD90" s="24180"/>
      <c r="BE90" s="24180"/>
      <c r="BF90" s="24180"/>
      <c r="BG90" s="24180"/>
      <c r="BH90" s="24180"/>
      <c r="BI90" s="24180"/>
      <c r="BJ90" s="24180"/>
      <c r="BK90" s="24180"/>
      <c r="BL90" s="24180"/>
      <c r="BM90" s="24181"/>
      <c r="BN90" s="24076"/>
      <c r="BO90" s="24077"/>
      <c r="BP90" s="24180"/>
      <c r="BQ90" s="24180"/>
      <c r="BR90" s="24077"/>
      <c r="BS90" s="24180"/>
      <c r="BT90" s="24180"/>
      <c r="BU90" s="24180"/>
      <c r="BV90" s="24180"/>
      <c r="BW90" s="24180"/>
      <c r="BX90" s="24181"/>
      <c r="BY90" s="24179"/>
      <c r="BZ90" s="24180"/>
      <c r="CA90" s="24180"/>
      <c r="CB90" s="24180"/>
      <c r="CC90" s="24180"/>
      <c r="CD90" s="24180"/>
      <c r="CE90" s="24180"/>
      <c r="CF90" s="24180"/>
      <c r="CG90" s="24180"/>
      <c r="CH90" s="24180"/>
      <c r="CI90" s="24181"/>
      <c r="CJ90" s="24179"/>
      <c r="CK90" s="24180"/>
      <c r="CL90" s="24180"/>
      <c r="CM90" s="24180"/>
      <c r="CN90" s="24180"/>
      <c r="CO90" s="24180"/>
      <c r="CP90" s="24180"/>
      <c r="CQ90" s="24180"/>
      <c r="CR90" s="24180"/>
      <c r="CS90" s="24180"/>
      <c r="CT90" s="24181"/>
      <c r="CU90" s="24179"/>
      <c r="CV90" s="24180"/>
      <c r="CW90" s="24180"/>
      <c r="CX90" s="24180"/>
      <c r="CY90" s="24180"/>
      <c r="CZ90" s="24180"/>
      <c r="DA90" s="24180"/>
      <c r="DB90" s="24180"/>
      <c r="DC90" s="24180"/>
      <c r="DD90" s="24180"/>
      <c r="DE90" s="24181"/>
      <c r="DF90" s="24179"/>
      <c r="DG90" s="24180"/>
      <c r="DH90" s="24180"/>
      <c r="DI90" s="24180"/>
      <c r="DJ90" s="24180"/>
      <c r="DK90" s="24180"/>
      <c r="DL90" s="24180"/>
      <c r="DM90" s="24180"/>
      <c r="DN90" s="24180"/>
      <c r="DO90" s="24180"/>
      <c r="DP90" s="24181"/>
      <c r="DQ90" s="24179"/>
      <c r="DR90" s="24180"/>
      <c r="DS90" s="24180"/>
      <c r="DT90" s="24180"/>
      <c r="DU90" s="24180"/>
      <c r="DV90" s="24180"/>
      <c r="DW90" s="24180"/>
      <c r="DX90" s="24180"/>
      <c r="DY90" s="24180"/>
      <c r="DZ90" s="24180"/>
      <c r="EA90" s="24181"/>
      <c r="EB90" s="24179"/>
      <c r="EC90" s="24180"/>
      <c r="ED90" s="24180"/>
      <c r="EE90" s="24180"/>
      <c r="EF90" s="24180"/>
      <c r="EG90" s="24180"/>
      <c r="EH90" s="24180"/>
      <c r="EI90" s="24180"/>
      <c r="EJ90" s="24180"/>
      <c r="EK90" s="24180"/>
      <c r="EL90" s="24181"/>
      <c r="EM90" s="24179"/>
      <c r="EN90" s="24180"/>
      <c r="EO90" s="24180"/>
      <c r="EP90" s="24180"/>
      <c r="EQ90" s="24180"/>
      <c r="ER90" s="24180"/>
      <c r="ES90" s="24180"/>
      <c r="ET90" s="24180"/>
      <c r="EU90" s="24180"/>
      <c r="EV90" s="24180"/>
      <c r="EW90" s="24181"/>
      <c r="EX90" s="24076"/>
      <c r="EY90" s="24077"/>
      <c r="EZ90" s="24180"/>
      <c r="FA90" s="24180"/>
      <c r="FB90" s="24077"/>
      <c r="FC90" s="24180"/>
      <c r="FD90" s="24180"/>
      <c r="FE90" s="24180"/>
      <c r="FF90" s="24180"/>
      <c r="FG90" s="24180"/>
      <c r="FH90" s="24181"/>
      <c r="FI90" s="24076"/>
      <c r="FJ90" s="24077"/>
      <c r="FK90" s="24180"/>
      <c r="FL90" s="24180"/>
      <c r="FM90" s="24077"/>
      <c r="FN90" s="24180"/>
      <c r="FO90" s="24180"/>
      <c r="FP90" s="24077"/>
      <c r="FQ90" s="24077"/>
      <c r="FR90" s="24077"/>
      <c r="FS90" s="24181"/>
      <c r="FT90" s="24078"/>
      <c r="FU90" s="1233" t="s">
        <v>711</v>
      </c>
      <c r="FV90" s="1568"/>
      <c r="FW90" s="1550"/>
      <c r="FX90" s="1550" t="str">
        <f t="shared" si="1"/>
        <v>Группа потребителей</v>
      </c>
      <c r="FY90" s="1550"/>
      <c r="FZ90" s="1550"/>
      <c r="GA90" s="1561">
        <v>0</v>
      </c>
    </row>
    <row r="91" spans="1:183" s="1747" customFormat="1" ht="23.25" customHeight="1">
      <c r="A91" s="1289"/>
      <c r="B91" s="1289"/>
      <c r="C91" s="1289"/>
      <c r="D91" s="1289"/>
      <c r="E91" s="24089"/>
      <c r="F91" s="24089"/>
      <c r="G91" s="24089" t="s">
        <v>82</v>
      </c>
      <c r="H91" s="24089"/>
      <c r="I91" s="24091"/>
      <c r="J91" s="24091"/>
      <c r="K91" s="24090" t="str">
        <f>J90&amp;".1"</f>
        <v>1.1.5.1.1.1</v>
      </c>
      <c r="L91" s="1295"/>
      <c r="M91" s="1674"/>
      <c r="N91" s="1674"/>
      <c r="O91" s="1674"/>
      <c r="P91" s="24092"/>
      <c r="Q91" s="24092"/>
      <c r="R91" s="293">
        <v>1</v>
      </c>
      <c r="S91" s="1976" t="str">
        <f>$K91</f>
        <v>1.1.5.1.1.1</v>
      </c>
      <c r="T91" s="1363"/>
      <c r="U91" s="236"/>
      <c r="V91" s="1286"/>
      <c r="W91" s="1286"/>
      <c r="X91" s="1286"/>
      <c r="Y91" s="1286"/>
      <c r="Z91" s="1286"/>
      <c r="AA91" s="1286"/>
      <c r="AB91" s="1286"/>
      <c r="AC91" s="24086"/>
      <c r="AD91" s="24085" t="s">
        <v>59</v>
      </c>
      <c r="AE91" s="24086"/>
      <c r="AF91" s="24085" t="s">
        <v>59</v>
      </c>
      <c r="AG91" s="687">
        <v>183.71</v>
      </c>
      <c r="AH91" s="687">
        <v>38.840000000000003</v>
      </c>
      <c r="AI91" s="687"/>
      <c r="AJ91" s="687"/>
      <c r="AK91" s="687">
        <v>2287.54</v>
      </c>
      <c r="AL91" s="687"/>
      <c r="AM91" s="687"/>
      <c r="AN91" s="24093" t="s">
        <v>9</v>
      </c>
      <c r="AO91" s="23957" t="s">
        <v>59</v>
      </c>
      <c r="AP91" s="24095" t="s">
        <v>770</v>
      </c>
      <c r="AQ91" s="23957" t="s">
        <v>59</v>
      </c>
      <c r="AR91" s="687">
        <v>204.54</v>
      </c>
      <c r="AS91" s="687">
        <v>42.72</v>
      </c>
      <c r="AT91" s="687"/>
      <c r="AU91" s="687"/>
      <c r="AV91" s="687">
        <v>2555.1799999999998</v>
      </c>
      <c r="AW91" s="687"/>
      <c r="AX91" s="687"/>
      <c r="AY91" s="24093" t="s">
        <v>772</v>
      </c>
      <c r="AZ91" s="23957" t="s">
        <v>59</v>
      </c>
      <c r="BA91" s="24093" t="s">
        <v>773</v>
      </c>
      <c r="BB91" s="23957" t="s">
        <v>59</v>
      </c>
      <c r="BC91" s="687">
        <v>204.54</v>
      </c>
      <c r="BD91" s="687">
        <v>42.72</v>
      </c>
      <c r="BE91" s="687"/>
      <c r="BF91" s="687"/>
      <c r="BG91" s="687">
        <v>2555.1799999999998</v>
      </c>
      <c r="BH91" s="687"/>
      <c r="BI91" s="687"/>
      <c r="BJ91" s="24093" t="s">
        <v>774</v>
      </c>
      <c r="BK91" s="23957" t="s">
        <v>59</v>
      </c>
      <c r="BL91" s="24093" t="s">
        <v>775</v>
      </c>
      <c r="BM91" s="23957" t="s">
        <v>59</v>
      </c>
      <c r="BN91" s="687">
        <v>232.34</v>
      </c>
      <c r="BO91" s="687">
        <v>51.26</v>
      </c>
      <c r="BP91" s="687"/>
      <c r="BQ91" s="687"/>
      <c r="BR91" s="687">
        <v>2859.25</v>
      </c>
      <c r="BS91" s="687"/>
      <c r="BT91" s="687"/>
      <c r="BU91" s="24093" t="s">
        <v>776</v>
      </c>
      <c r="BV91" s="23957" t="s">
        <v>59</v>
      </c>
      <c r="BW91" s="24093" t="s">
        <v>777</v>
      </c>
      <c r="BX91" s="23957" t="s">
        <v>59</v>
      </c>
      <c r="BY91" s="687">
        <v>225.3</v>
      </c>
      <c r="BZ91" s="687">
        <v>44.22</v>
      </c>
      <c r="CA91" s="687"/>
      <c r="CB91" s="687"/>
      <c r="CC91" s="687">
        <v>2859.25</v>
      </c>
      <c r="CD91" s="687"/>
      <c r="CE91" s="687"/>
      <c r="CF91" s="24093" t="s">
        <v>778</v>
      </c>
      <c r="CG91" s="23957" t="s">
        <v>59</v>
      </c>
      <c r="CH91" s="24093">
        <v>46295</v>
      </c>
      <c r="CI91" s="23957" t="s">
        <v>59</v>
      </c>
      <c r="CJ91" s="687">
        <v>247.03</v>
      </c>
      <c r="CK91" s="687">
        <v>44.22</v>
      </c>
      <c r="CL91" s="687"/>
      <c r="CM91" s="687"/>
      <c r="CN91" s="687">
        <v>3202.36</v>
      </c>
      <c r="CO91" s="687"/>
      <c r="CP91" s="687"/>
      <c r="CQ91" s="24093">
        <v>46296</v>
      </c>
      <c r="CR91" s="23957" t="s">
        <v>59</v>
      </c>
      <c r="CS91" s="24093" t="s">
        <v>779</v>
      </c>
      <c r="CT91" s="23957" t="s">
        <v>59</v>
      </c>
      <c r="CU91" s="687">
        <v>246.85</v>
      </c>
      <c r="CV91" s="687">
        <v>44.04</v>
      </c>
      <c r="CW91" s="687"/>
      <c r="CX91" s="687"/>
      <c r="CY91" s="687">
        <v>3202.36</v>
      </c>
      <c r="CZ91" s="687"/>
      <c r="DA91" s="687"/>
      <c r="DB91" s="24093" t="s">
        <v>780</v>
      </c>
      <c r="DC91" s="23957" t="s">
        <v>59</v>
      </c>
      <c r="DD91" s="24093" t="s">
        <v>781</v>
      </c>
      <c r="DE91" s="23957" t="s">
        <v>59</v>
      </c>
      <c r="DF91" s="687">
        <v>264.49</v>
      </c>
      <c r="DG91" s="687">
        <v>44.04</v>
      </c>
      <c r="DH91" s="687"/>
      <c r="DI91" s="687"/>
      <c r="DJ91" s="687">
        <v>3480.98</v>
      </c>
      <c r="DK91" s="687"/>
      <c r="DL91" s="687"/>
      <c r="DM91" s="24093" t="s">
        <v>782</v>
      </c>
      <c r="DN91" s="23957" t="s">
        <v>59</v>
      </c>
      <c r="DO91" s="24093" t="s">
        <v>783</v>
      </c>
      <c r="DP91" s="23957" t="s">
        <v>59</v>
      </c>
      <c r="DQ91" s="687">
        <v>220.45</v>
      </c>
      <c r="DR91" s="687">
        <v>0</v>
      </c>
      <c r="DS91" s="687"/>
      <c r="DT91" s="687"/>
      <c r="DU91" s="687">
        <v>3480.98</v>
      </c>
      <c r="DV91" s="687"/>
      <c r="DW91" s="687"/>
      <c r="DX91" s="24093" t="s">
        <v>784</v>
      </c>
      <c r="DY91" s="23957" t="s">
        <v>59</v>
      </c>
      <c r="DZ91" s="24093" t="s">
        <v>785</v>
      </c>
      <c r="EA91" s="23957" t="s">
        <v>59</v>
      </c>
      <c r="EB91" s="687">
        <v>236.1</v>
      </c>
      <c r="EC91" s="687">
        <v>0</v>
      </c>
      <c r="ED91" s="687"/>
      <c r="EE91" s="687"/>
      <c r="EF91" s="687">
        <v>3728.08</v>
      </c>
      <c r="EG91" s="687"/>
      <c r="EH91" s="687"/>
      <c r="EI91" s="24093" t="s">
        <v>786</v>
      </c>
      <c r="EJ91" s="23957" t="s">
        <v>59</v>
      </c>
      <c r="EK91" s="24093" t="s">
        <v>787</v>
      </c>
      <c r="EL91" s="23957" t="s">
        <v>59</v>
      </c>
      <c r="EM91" s="687">
        <v>236.1</v>
      </c>
      <c r="EN91" s="687">
        <v>0</v>
      </c>
      <c r="EO91" s="687"/>
      <c r="EP91" s="687"/>
      <c r="EQ91" s="687">
        <v>3728.08</v>
      </c>
      <c r="ER91" s="687"/>
      <c r="ES91" s="687"/>
      <c r="ET91" s="24093" t="s">
        <v>788</v>
      </c>
      <c r="EU91" s="23957" t="s">
        <v>59</v>
      </c>
      <c r="EV91" s="24093" t="s">
        <v>789</v>
      </c>
      <c r="EW91" s="23957" t="s">
        <v>59</v>
      </c>
      <c r="EX91" s="687">
        <v>245.52</v>
      </c>
      <c r="EY91" s="687">
        <v>0</v>
      </c>
      <c r="EZ91" s="687"/>
      <c r="FA91" s="687"/>
      <c r="FB91" s="687">
        <v>3876.8</v>
      </c>
      <c r="FC91" s="687"/>
      <c r="FD91" s="687"/>
      <c r="FE91" s="24093" t="s">
        <v>790</v>
      </c>
      <c r="FF91" s="23957" t="s">
        <v>59</v>
      </c>
      <c r="FG91" s="24093" t="s">
        <v>13</v>
      </c>
      <c r="FH91" s="23957" t="s">
        <v>6</v>
      </c>
      <c r="FI91" s="1286"/>
      <c r="FJ91" s="1286"/>
      <c r="FK91" s="6354"/>
      <c r="FL91" s="6354"/>
      <c r="FM91" s="1286"/>
      <c r="FN91" s="6354"/>
      <c r="FO91" s="6354"/>
      <c r="FP91" s="24086"/>
      <c r="FQ91" s="24085" t="s">
        <v>59</v>
      </c>
      <c r="FR91" s="24086"/>
      <c r="FS91" s="24208" t="s">
        <v>59</v>
      </c>
      <c r="FT91" s="1364"/>
      <c r="FU9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91" s="1568" t="e">
        <f ca="1">STRCHECKDATE(V92:FT92)</f>
        <v>#NAME?</v>
      </c>
      <c r="FW91" s="1550"/>
      <c r="FX91" s="1550" t="str">
        <f t="shared" si="1"/>
        <v/>
      </c>
      <c r="FY91" s="1550"/>
      <c r="FZ91" s="1550"/>
      <c r="GA91" s="1561">
        <v>0</v>
      </c>
    </row>
    <row r="92" spans="1:183" s="1747" customFormat="1" ht="14.25" customHeight="1">
      <c r="A92" s="1289"/>
      <c r="B92" s="1289"/>
      <c r="C92" s="1289"/>
      <c r="D92" s="1289"/>
      <c r="E92" s="24089"/>
      <c r="F92" s="24089"/>
      <c r="G92" s="24089" t="s">
        <v>82</v>
      </c>
      <c r="H92" s="24089"/>
      <c r="I92" s="24091"/>
      <c r="J92" s="24091"/>
      <c r="K92" s="24090"/>
      <c r="L92" s="1295"/>
      <c r="M92" s="1674"/>
      <c r="N92" s="1674"/>
      <c r="O92" s="1674"/>
      <c r="P92" s="24092"/>
      <c r="Q92" s="24092"/>
      <c r="R92" s="293"/>
      <c r="S92" s="1982"/>
      <c r="T92" s="236"/>
      <c r="U92" s="236"/>
      <c r="V92" s="1286"/>
      <c r="W92" s="1286"/>
      <c r="X92" s="1286"/>
      <c r="Y92" s="1286"/>
      <c r="Z92" s="1286"/>
      <c r="AA92" s="1286"/>
      <c r="AB92" s="1286"/>
      <c r="AC92" s="24085"/>
      <c r="AD92" s="24085"/>
      <c r="AE92" s="24085"/>
      <c r="AF92" s="24085"/>
      <c r="AG92" s="261"/>
      <c r="AH92" s="261"/>
      <c r="AI92" s="261"/>
      <c r="AJ92" s="261"/>
      <c r="AK92" s="261"/>
      <c r="AL92" s="261"/>
      <c r="AM92" s="261"/>
      <c r="AN92" s="24094"/>
      <c r="AO92" s="23957"/>
      <c r="AP92" s="24096"/>
      <c r="AQ92" s="23957"/>
      <c r="AR92" s="261"/>
      <c r="AS92" s="261"/>
      <c r="AT92" s="261"/>
      <c r="AU92" s="261"/>
      <c r="AV92" s="261"/>
      <c r="AW92" s="261"/>
      <c r="AX92" s="261"/>
      <c r="AY92" s="24094"/>
      <c r="AZ92" s="23957"/>
      <c r="BA92" s="24094"/>
      <c r="BB92" s="23957"/>
      <c r="BC92" s="261"/>
      <c r="BD92" s="261"/>
      <c r="BE92" s="261"/>
      <c r="BF92" s="261"/>
      <c r="BG92" s="261"/>
      <c r="BH92" s="261"/>
      <c r="BI92" s="261"/>
      <c r="BJ92" s="24094"/>
      <c r="BK92" s="23957"/>
      <c r="BL92" s="24094"/>
      <c r="BM92" s="23957"/>
      <c r="BN92" s="261"/>
      <c r="BO92" s="261"/>
      <c r="BP92" s="261"/>
      <c r="BQ92" s="261"/>
      <c r="BR92" s="261"/>
      <c r="BS92" s="261"/>
      <c r="BT92" s="261"/>
      <c r="BU92" s="24094"/>
      <c r="BV92" s="23957"/>
      <c r="BW92" s="24094"/>
      <c r="BX92" s="23957"/>
      <c r="BY92" s="261"/>
      <c r="BZ92" s="261"/>
      <c r="CA92" s="261"/>
      <c r="CB92" s="261"/>
      <c r="CC92" s="261"/>
      <c r="CD92" s="261"/>
      <c r="CE92" s="261"/>
      <c r="CF92" s="24094"/>
      <c r="CG92" s="23957"/>
      <c r="CH92" s="24094"/>
      <c r="CI92" s="23957"/>
      <c r="CJ92" s="261"/>
      <c r="CK92" s="261"/>
      <c r="CL92" s="261"/>
      <c r="CM92" s="261"/>
      <c r="CN92" s="261"/>
      <c r="CO92" s="261"/>
      <c r="CP92" s="261"/>
      <c r="CQ92" s="24094"/>
      <c r="CR92" s="23957"/>
      <c r="CS92" s="24094"/>
      <c r="CT92" s="23957"/>
      <c r="CU92" s="261"/>
      <c r="CV92" s="261"/>
      <c r="CW92" s="261"/>
      <c r="CX92" s="261"/>
      <c r="CY92" s="261"/>
      <c r="CZ92" s="261"/>
      <c r="DA92" s="261"/>
      <c r="DB92" s="24094"/>
      <c r="DC92" s="23957"/>
      <c r="DD92" s="24094"/>
      <c r="DE92" s="23957"/>
      <c r="DF92" s="261"/>
      <c r="DG92" s="261"/>
      <c r="DH92" s="261"/>
      <c r="DI92" s="261"/>
      <c r="DJ92" s="261"/>
      <c r="DK92" s="261"/>
      <c r="DL92" s="261"/>
      <c r="DM92" s="24094"/>
      <c r="DN92" s="23957"/>
      <c r="DO92" s="24094"/>
      <c r="DP92" s="23957"/>
      <c r="DQ92" s="261"/>
      <c r="DR92" s="261"/>
      <c r="DS92" s="261"/>
      <c r="DT92" s="261"/>
      <c r="DU92" s="261"/>
      <c r="DV92" s="261"/>
      <c r="DW92" s="261"/>
      <c r="DX92" s="24094"/>
      <c r="DY92" s="23957"/>
      <c r="DZ92" s="24094"/>
      <c r="EA92" s="23957"/>
      <c r="EB92" s="261"/>
      <c r="EC92" s="261"/>
      <c r="ED92" s="261"/>
      <c r="EE92" s="261"/>
      <c r="EF92" s="261"/>
      <c r="EG92" s="261"/>
      <c r="EH92" s="261"/>
      <c r="EI92" s="24094"/>
      <c r="EJ92" s="23957"/>
      <c r="EK92" s="24094"/>
      <c r="EL92" s="23957"/>
      <c r="EM92" s="261"/>
      <c r="EN92" s="261"/>
      <c r="EO92" s="261"/>
      <c r="EP92" s="261"/>
      <c r="EQ92" s="261"/>
      <c r="ER92" s="261"/>
      <c r="ES92" s="261"/>
      <c r="ET92" s="24094"/>
      <c r="EU92" s="23957"/>
      <c r="EV92" s="24094"/>
      <c r="EW92" s="23957"/>
      <c r="EX92" s="261"/>
      <c r="EY92" s="261"/>
      <c r="EZ92" s="261"/>
      <c r="FA92" s="261"/>
      <c r="FB92" s="261"/>
      <c r="FC92" s="261"/>
      <c r="FD92" s="261"/>
      <c r="FE92" s="24094"/>
      <c r="FF92" s="23957"/>
      <c r="FG92" s="24094"/>
      <c r="FH92" s="23957"/>
      <c r="FI92" s="1286"/>
      <c r="FJ92" s="1286"/>
      <c r="FK92" s="6354"/>
      <c r="FL92" s="6354"/>
      <c r="FM92" s="1286"/>
      <c r="FN92" s="6354"/>
      <c r="FO92" s="6354"/>
      <c r="FP92" s="24085"/>
      <c r="FQ92" s="24085"/>
      <c r="FR92" s="24085"/>
      <c r="FS92" s="24208"/>
      <c r="FT92" s="1365"/>
      <c r="FU92" s="24162"/>
      <c r="FV92" s="1568"/>
      <c r="FW92" s="1550"/>
      <c r="FX92" s="1550" t="str">
        <f t="shared" si="1"/>
        <v/>
      </c>
      <c r="FY92" s="1550"/>
      <c r="FZ92" s="1550"/>
      <c r="GA92" s="1561">
        <v>0</v>
      </c>
    </row>
    <row r="93" spans="1:183" s="1747" customFormat="1" ht="21" customHeight="1">
      <c r="A93" s="1289"/>
      <c r="B93" s="1289"/>
      <c r="C93" s="1289"/>
      <c r="D93" s="1289"/>
      <c r="E93" s="24089"/>
      <c r="F93" s="24089"/>
      <c r="G93" s="24089" t="s">
        <v>82</v>
      </c>
      <c r="H93" s="24089"/>
      <c r="I93" s="24091"/>
      <c r="J93" s="24090"/>
      <c r="K93" s="1289"/>
      <c r="L93" s="1295"/>
      <c r="M93" s="1674"/>
      <c r="N93" s="1674"/>
      <c r="O93" s="1674"/>
      <c r="P93" s="24092"/>
      <c r="Q93" s="24092"/>
      <c r="R93" s="292"/>
      <c r="S93" s="2463"/>
      <c r="T93" s="2464" t="s">
        <v>712</v>
      </c>
      <c r="U93" s="2465"/>
      <c r="V93" s="2466"/>
      <c r="W93" s="2467"/>
      <c r="X93" s="2468"/>
      <c r="Y93" s="2469"/>
      <c r="Z93" s="2470"/>
      <c r="AA93" s="2471"/>
      <c r="AB93" s="2472"/>
      <c r="AC93" s="2473"/>
      <c r="AD93" s="2474"/>
      <c r="AE93" s="2475"/>
      <c r="AF93" s="2476"/>
      <c r="AG93" s="2477"/>
      <c r="AH93" s="2478"/>
      <c r="AI93" s="2479"/>
      <c r="AJ93" s="2480"/>
      <c r="AK93" s="2481"/>
      <c r="AL93" s="2482"/>
      <c r="AM93" s="2483"/>
      <c r="AN93" s="2484"/>
      <c r="AO93" s="2485"/>
      <c r="AP93" s="2486"/>
      <c r="AQ93" s="2487"/>
      <c r="AR93" s="6550"/>
      <c r="AS93" s="6551"/>
      <c r="AT93" s="6552"/>
      <c r="AU93" s="6553"/>
      <c r="AV93" s="6554"/>
      <c r="AW93" s="6555"/>
      <c r="AX93" s="6556"/>
      <c r="AY93" s="6557"/>
      <c r="AZ93" s="6558"/>
      <c r="BA93" s="6559"/>
      <c r="BB93" s="6560"/>
      <c r="BC93" s="6561"/>
      <c r="BD93" s="6562"/>
      <c r="BE93" s="9964"/>
      <c r="BF93" s="9965"/>
      <c r="BG93" s="21836"/>
      <c r="BH93" s="9966"/>
      <c r="BI93" s="9967"/>
      <c r="BJ93" s="9968"/>
      <c r="BK93" s="9969"/>
      <c r="BL93" s="9970"/>
      <c r="BM93" s="9971"/>
      <c r="BN93" s="2488"/>
      <c r="BO93" s="2489"/>
      <c r="BP93" s="9972"/>
      <c r="BQ93" s="9973"/>
      <c r="BR93" s="2490"/>
      <c r="BS93" s="9974"/>
      <c r="BT93" s="9975"/>
      <c r="BU93" s="9976"/>
      <c r="BV93" s="9977"/>
      <c r="BW93" s="9978"/>
      <c r="BX93" s="9979"/>
      <c r="BY93" s="9980"/>
      <c r="BZ93" s="9981"/>
      <c r="CA93" s="9982"/>
      <c r="CB93" s="9983"/>
      <c r="CC93" s="9984"/>
      <c r="CD93" s="9985"/>
      <c r="CE93" s="9986"/>
      <c r="CF93" s="9987"/>
      <c r="CG93" s="9988"/>
      <c r="CH93" s="9989"/>
      <c r="CI93" s="9990"/>
      <c r="CJ93" s="9991"/>
      <c r="CK93" s="9992"/>
      <c r="CL93" s="9993"/>
      <c r="CM93" s="9994"/>
      <c r="CN93" s="9995"/>
      <c r="CO93" s="9996"/>
      <c r="CP93" s="9997"/>
      <c r="CQ93" s="9998"/>
      <c r="CR93" s="9999"/>
      <c r="CS93" s="10000"/>
      <c r="CT93" s="10001"/>
      <c r="CU93" s="10002"/>
      <c r="CV93" s="10003"/>
      <c r="CW93" s="10004"/>
      <c r="CX93" s="10005"/>
      <c r="CY93" s="10006"/>
      <c r="CZ93" s="10007"/>
      <c r="DA93" s="10008"/>
      <c r="DB93" s="10009"/>
      <c r="DC93" s="10010"/>
      <c r="DD93" s="10011"/>
      <c r="DE93" s="10012"/>
      <c r="DF93" s="10013"/>
      <c r="DG93" s="10014"/>
      <c r="DH93" s="10015"/>
      <c r="DI93" s="10016"/>
      <c r="DJ93" s="10017"/>
      <c r="DK93" s="10018"/>
      <c r="DL93" s="10019"/>
      <c r="DM93" s="10020"/>
      <c r="DN93" s="10021"/>
      <c r="DO93" s="10022"/>
      <c r="DP93" s="10023"/>
      <c r="DQ93" s="10024"/>
      <c r="DR93" s="10025"/>
      <c r="DS93" s="10026"/>
      <c r="DT93" s="10027"/>
      <c r="DU93" s="10028"/>
      <c r="DV93" s="10029"/>
      <c r="DW93" s="10030"/>
      <c r="DX93" s="10031"/>
      <c r="DY93" s="10032"/>
      <c r="DZ93" s="10033"/>
      <c r="EA93" s="10034"/>
      <c r="EB93" s="10035"/>
      <c r="EC93" s="10036"/>
      <c r="ED93" s="10037"/>
      <c r="EE93" s="10038"/>
      <c r="EF93" s="10039"/>
      <c r="EG93" s="10040"/>
      <c r="EH93" s="10041"/>
      <c r="EI93" s="10042"/>
      <c r="EJ93" s="10043"/>
      <c r="EK93" s="10044"/>
      <c r="EL93" s="10045"/>
      <c r="EM93" s="21464"/>
      <c r="EN93" s="21465"/>
      <c r="EO93" s="10046"/>
      <c r="EP93" s="10047"/>
      <c r="EQ93" s="21466"/>
      <c r="ER93" s="10048"/>
      <c r="ES93" s="10049"/>
      <c r="ET93" s="10050"/>
      <c r="EU93" s="10051"/>
      <c r="EV93" s="10052"/>
      <c r="EW93" s="10053"/>
      <c r="EX93" s="2491"/>
      <c r="EY93" s="2492"/>
      <c r="EZ93" s="10054"/>
      <c r="FA93" s="10055"/>
      <c r="FB93" s="2493"/>
      <c r="FC93" s="10056"/>
      <c r="FD93" s="10057"/>
      <c r="FE93" s="10058"/>
      <c r="FF93" s="10059"/>
      <c r="FG93" s="10060"/>
      <c r="FH93" s="5676"/>
      <c r="FI93" s="22506"/>
      <c r="FJ93" s="22507"/>
      <c r="FK93" s="23322"/>
      <c r="FL93" s="23323"/>
      <c r="FM93" s="22508"/>
      <c r="FN93" s="23324"/>
      <c r="FO93" s="23325"/>
      <c r="FP93" s="22509"/>
      <c r="FQ93" s="22510"/>
      <c r="FR93" s="22511"/>
      <c r="FS93" s="23326"/>
      <c r="FT93" s="2494"/>
      <c r="FU93" s="1184" t="s">
        <v>713</v>
      </c>
      <c r="FV93" s="1568"/>
      <c r="FW93" s="1550"/>
      <c r="FX93" s="1550" t="str">
        <f t="shared" si="1"/>
        <v>Добавить значение признака дифференциации</v>
      </c>
      <c r="FY93" s="1550"/>
      <c r="FZ93" s="1550"/>
      <c r="GA93" s="1561">
        <v>0</v>
      </c>
    </row>
    <row r="94" spans="1:183" s="1747" customFormat="1" ht="23.25" customHeight="1">
      <c r="A94" s="1289"/>
      <c r="B94" s="1289"/>
      <c r="C94" s="1289"/>
      <c r="D94" s="1289"/>
      <c r="E94" s="24089"/>
      <c r="F94" s="24089"/>
      <c r="G94" s="24089"/>
      <c r="H94" s="24089"/>
      <c r="I94" s="24091"/>
      <c r="J94" s="24090" t="str">
        <f>I89&amp;".2"</f>
        <v>1.1.5.1.2</v>
      </c>
      <c r="K94" s="1289"/>
      <c r="L94" s="1295" t="s">
        <v>635</v>
      </c>
      <c r="M94" s="1674"/>
      <c r="N94" s="1674"/>
      <c r="O94" s="1674"/>
      <c r="P94" s="24092"/>
      <c r="Q94" s="24206" t="s">
        <v>96</v>
      </c>
      <c r="R94" s="293"/>
      <c r="S94" s="1976" t="str">
        <f>$J94</f>
        <v>1.1.5.1.2</v>
      </c>
      <c r="T94" s="222" t="s">
        <v>636</v>
      </c>
      <c r="U94" s="236"/>
      <c r="V94" s="24076"/>
      <c r="W94" s="24077"/>
      <c r="X94" s="24077"/>
      <c r="Y94" s="24077"/>
      <c r="Z94" s="24077"/>
      <c r="AA94" s="24077"/>
      <c r="AB94" s="24077"/>
      <c r="AC94" s="24077"/>
      <c r="AD94" s="24077"/>
      <c r="AE94" s="24077"/>
      <c r="AF94" s="24078"/>
      <c r="AG94" s="24076" t="s">
        <v>771</v>
      </c>
      <c r="AH94" s="24077"/>
      <c r="AI94" s="24077"/>
      <c r="AJ94" s="24077"/>
      <c r="AK94" s="24077"/>
      <c r="AL94" s="24077"/>
      <c r="AM94" s="24077"/>
      <c r="AN94" s="24077"/>
      <c r="AO94" s="24077"/>
      <c r="AP94" s="24077"/>
      <c r="AQ94" s="24077"/>
      <c r="AR94" s="24179"/>
      <c r="AS94" s="24180"/>
      <c r="AT94" s="24180"/>
      <c r="AU94" s="24180"/>
      <c r="AV94" s="24180"/>
      <c r="AW94" s="24180"/>
      <c r="AX94" s="24180"/>
      <c r="AY94" s="24180"/>
      <c r="AZ94" s="24180"/>
      <c r="BA94" s="24180"/>
      <c r="BB94" s="24181"/>
      <c r="BC94" s="24179"/>
      <c r="BD94" s="24180"/>
      <c r="BE94" s="24180"/>
      <c r="BF94" s="24180"/>
      <c r="BG94" s="24180"/>
      <c r="BH94" s="24180"/>
      <c r="BI94" s="24180"/>
      <c r="BJ94" s="24180"/>
      <c r="BK94" s="24180"/>
      <c r="BL94" s="24180"/>
      <c r="BM94" s="24181"/>
      <c r="BN94" s="24076"/>
      <c r="BO94" s="24077"/>
      <c r="BP94" s="24180"/>
      <c r="BQ94" s="24180"/>
      <c r="BR94" s="24077"/>
      <c r="BS94" s="24180"/>
      <c r="BT94" s="24180"/>
      <c r="BU94" s="24180"/>
      <c r="BV94" s="24180"/>
      <c r="BW94" s="24180"/>
      <c r="BX94" s="24181"/>
      <c r="BY94" s="24179"/>
      <c r="BZ94" s="24180"/>
      <c r="CA94" s="24180"/>
      <c r="CB94" s="24180"/>
      <c r="CC94" s="24180"/>
      <c r="CD94" s="24180"/>
      <c r="CE94" s="24180"/>
      <c r="CF94" s="24180"/>
      <c r="CG94" s="24180"/>
      <c r="CH94" s="24180"/>
      <c r="CI94" s="24181"/>
      <c r="CJ94" s="24179"/>
      <c r="CK94" s="24180"/>
      <c r="CL94" s="24180"/>
      <c r="CM94" s="24180"/>
      <c r="CN94" s="24180"/>
      <c r="CO94" s="24180"/>
      <c r="CP94" s="24180"/>
      <c r="CQ94" s="24180"/>
      <c r="CR94" s="24180"/>
      <c r="CS94" s="24180"/>
      <c r="CT94" s="24181"/>
      <c r="CU94" s="24179"/>
      <c r="CV94" s="24180"/>
      <c r="CW94" s="24180"/>
      <c r="CX94" s="24180"/>
      <c r="CY94" s="24180"/>
      <c r="CZ94" s="24180"/>
      <c r="DA94" s="24180"/>
      <c r="DB94" s="24180"/>
      <c r="DC94" s="24180"/>
      <c r="DD94" s="24180"/>
      <c r="DE94" s="24181"/>
      <c r="DF94" s="24179"/>
      <c r="DG94" s="24180"/>
      <c r="DH94" s="24180"/>
      <c r="DI94" s="24180"/>
      <c r="DJ94" s="24180"/>
      <c r="DK94" s="24180"/>
      <c r="DL94" s="24180"/>
      <c r="DM94" s="24180"/>
      <c r="DN94" s="24180"/>
      <c r="DO94" s="24180"/>
      <c r="DP94" s="24181"/>
      <c r="DQ94" s="24179"/>
      <c r="DR94" s="24180"/>
      <c r="DS94" s="24180"/>
      <c r="DT94" s="24180"/>
      <c r="DU94" s="24180"/>
      <c r="DV94" s="24180"/>
      <c r="DW94" s="24180"/>
      <c r="DX94" s="24180"/>
      <c r="DY94" s="24180"/>
      <c r="DZ94" s="24180"/>
      <c r="EA94" s="24181"/>
      <c r="EB94" s="24179"/>
      <c r="EC94" s="24180"/>
      <c r="ED94" s="24180"/>
      <c r="EE94" s="24180"/>
      <c r="EF94" s="24180"/>
      <c r="EG94" s="24180"/>
      <c r="EH94" s="24180"/>
      <c r="EI94" s="24180"/>
      <c r="EJ94" s="24180"/>
      <c r="EK94" s="24180"/>
      <c r="EL94" s="24181"/>
      <c r="EM94" s="24179"/>
      <c r="EN94" s="24180"/>
      <c r="EO94" s="24180"/>
      <c r="EP94" s="24180"/>
      <c r="EQ94" s="24180"/>
      <c r="ER94" s="24180"/>
      <c r="ES94" s="24180"/>
      <c r="ET94" s="24180"/>
      <c r="EU94" s="24180"/>
      <c r="EV94" s="24180"/>
      <c r="EW94" s="24181"/>
      <c r="EX94" s="24076"/>
      <c r="EY94" s="24077"/>
      <c r="EZ94" s="24180"/>
      <c r="FA94" s="24180"/>
      <c r="FB94" s="24077"/>
      <c r="FC94" s="24180"/>
      <c r="FD94" s="24180"/>
      <c r="FE94" s="24180"/>
      <c r="FF94" s="24180"/>
      <c r="FG94" s="24180"/>
      <c r="FH94" s="24181"/>
      <c r="FI94" s="24076"/>
      <c r="FJ94" s="24077"/>
      <c r="FK94" s="24180"/>
      <c r="FL94" s="24180"/>
      <c r="FM94" s="24077"/>
      <c r="FN94" s="24180"/>
      <c r="FO94" s="24180"/>
      <c r="FP94" s="24077"/>
      <c r="FQ94" s="24077"/>
      <c r="FR94" s="24077"/>
      <c r="FS94" s="24181"/>
      <c r="FT94" s="24078"/>
      <c r="FU94" s="1233" t="s">
        <v>711</v>
      </c>
      <c r="FV94" s="1568"/>
      <c r="FW94" s="1550"/>
      <c r="FX94" s="1550" t="str">
        <f t="shared" si="1"/>
        <v>Группа потребителей</v>
      </c>
      <c r="FY94" s="1550"/>
      <c r="FZ94" s="1550"/>
      <c r="GA94" s="1561">
        <v>0</v>
      </c>
    </row>
    <row r="95" spans="1:183" s="1747" customFormat="1" ht="23.25" customHeight="1">
      <c r="A95" s="1289"/>
      <c r="B95" s="1289"/>
      <c r="C95" s="1289"/>
      <c r="D95" s="1289"/>
      <c r="E95" s="24089"/>
      <c r="F95" s="24089"/>
      <c r="G95" s="24089"/>
      <c r="H95" s="24089"/>
      <c r="I95" s="24091"/>
      <c r="J95" s="24091" t="str">
        <f>I89&amp;".1"</f>
        <v>1.1.5.1.1</v>
      </c>
      <c r="K95" s="24090" t="str">
        <f>J94&amp;".1"</f>
        <v>1.1.5.1.2.1</v>
      </c>
      <c r="L95" s="1295"/>
      <c r="M95" s="1674"/>
      <c r="N95" s="1674"/>
      <c r="O95" s="1674"/>
      <c r="P95" s="24092"/>
      <c r="Q95" s="24092"/>
      <c r="R95" s="293">
        <v>1</v>
      </c>
      <c r="S95" s="1976" t="str">
        <f>$K95</f>
        <v>1.1.5.1.2.1</v>
      </c>
      <c r="T95" s="1363"/>
      <c r="U95" s="236"/>
      <c r="V95" s="1286"/>
      <c r="W95" s="1286"/>
      <c r="X95" s="1286"/>
      <c r="Y95" s="1286"/>
      <c r="Z95" s="1286"/>
      <c r="AA95" s="1286"/>
      <c r="AB95" s="1286"/>
      <c r="AC95" s="24086"/>
      <c r="AD95" s="24085" t="s">
        <v>59</v>
      </c>
      <c r="AE95" s="24086"/>
      <c r="AF95" s="24085" t="s">
        <v>59</v>
      </c>
      <c r="AG95" s="687">
        <v>197.21</v>
      </c>
      <c r="AH95" s="687">
        <v>46.61</v>
      </c>
      <c r="AI95" s="687"/>
      <c r="AJ95" s="687"/>
      <c r="AK95" s="687">
        <v>2377.96</v>
      </c>
      <c r="AL95" s="687"/>
      <c r="AM95" s="687"/>
      <c r="AN95" s="24093" t="s">
        <v>9</v>
      </c>
      <c r="AO95" s="23957" t="s">
        <v>59</v>
      </c>
      <c r="AP95" s="24095" t="s">
        <v>770</v>
      </c>
      <c r="AQ95" s="23957" t="s">
        <v>59</v>
      </c>
      <c r="AR95" s="687">
        <v>216.92</v>
      </c>
      <c r="AS95" s="687">
        <v>51.26</v>
      </c>
      <c r="AT95" s="687"/>
      <c r="AU95" s="687"/>
      <c r="AV95" s="687">
        <v>2615.75</v>
      </c>
      <c r="AW95" s="687"/>
      <c r="AX95" s="687"/>
      <c r="AY95" s="24093" t="s">
        <v>772</v>
      </c>
      <c r="AZ95" s="23957" t="s">
        <v>59</v>
      </c>
      <c r="BA95" s="24093" t="s">
        <v>773</v>
      </c>
      <c r="BB95" s="23957" t="s">
        <v>59</v>
      </c>
      <c r="BC95" s="687">
        <v>216.92</v>
      </c>
      <c r="BD95" s="687">
        <v>51.26</v>
      </c>
      <c r="BE95" s="687"/>
      <c r="BF95" s="687"/>
      <c r="BG95" s="687">
        <v>2615.75</v>
      </c>
      <c r="BH95" s="687"/>
      <c r="BI95" s="687"/>
      <c r="BJ95" s="24093" t="s">
        <v>774</v>
      </c>
      <c r="BK95" s="23957" t="s">
        <v>59</v>
      </c>
      <c r="BL95" s="24093" t="s">
        <v>775</v>
      </c>
      <c r="BM95" s="23957" t="s">
        <v>59</v>
      </c>
      <c r="BN95" s="687">
        <v>241.94</v>
      </c>
      <c r="BO95" s="687">
        <v>61.51</v>
      </c>
      <c r="BP95" s="687"/>
      <c r="BQ95" s="687"/>
      <c r="BR95" s="687">
        <v>2849.08</v>
      </c>
      <c r="BS95" s="687"/>
      <c r="BT95" s="687"/>
      <c r="BU95" s="24093" t="s">
        <v>776</v>
      </c>
      <c r="BV95" s="23957" t="s">
        <v>59</v>
      </c>
      <c r="BW95" s="24093" t="s">
        <v>777</v>
      </c>
      <c r="BX95" s="23957" t="s">
        <v>59</v>
      </c>
      <c r="BY95" s="687">
        <v>246.06</v>
      </c>
      <c r="BZ95" s="687">
        <v>53.95</v>
      </c>
      <c r="CA95" s="687"/>
      <c r="CB95" s="687"/>
      <c r="CC95" s="687">
        <v>3033.53</v>
      </c>
      <c r="CD95" s="687"/>
      <c r="CE95" s="687"/>
      <c r="CF95" s="24093" t="s">
        <v>778</v>
      </c>
      <c r="CG95" s="23957" t="s">
        <v>59</v>
      </c>
      <c r="CH95" s="24093">
        <v>46295</v>
      </c>
      <c r="CI95" s="23957" t="s">
        <v>59</v>
      </c>
      <c r="CJ95" s="687">
        <v>275.45</v>
      </c>
      <c r="CK95" s="687">
        <v>53.95</v>
      </c>
      <c r="CL95" s="687"/>
      <c r="CM95" s="687"/>
      <c r="CN95" s="687">
        <v>3497.65</v>
      </c>
      <c r="CO95" s="687"/>
      <c r="CP95" s="687"/>
      <c r="CQ95" s="24093">
        <v>46296</v>
      </c>
      <c r="CR95" s="23957" t="s">
        <v>59</v>
      </c>
      <c r="CS95" s="24093" t="s">
        <v>779</v>
      </c>
      <c r="CT95" s="23957" t="s">
        <v>59</v>
      </c>
      <c r="CU95" s="687">
        <v>275.23</v>
      </c>
      <c r="CV95" s="687">
        <v>53.73</v>
      </c>
      <c r="CW95" s="687"/>
      <c r="CX95" s="687"/>
      <c r="CY95" s="687">
        <v>3497.65</v>
      </c>
      <c r="CZ95" s="687"/>
      <c r="DA95" s="687"/>
      <c r="DB95" s="24093" t="s">
        <v>780</v>
      </c>
      <c r="DC95" s="23957" t="s">
        <v>59</v>
      </c>
      <c r="DD95" s="24093" t="s">
        <v>781</v>
      </c>
      <c r="DE95" s="23957" t="s">
        <v>59</v>
      </c>
      <c r="DF95" s="687">
        <v>294.51</v>
      </c>
      <c r="DG95" s="687">
        <v>53.73</v>
      </c>
      <c r="DH95" s="687"/>
      <c r="DI95" s="687"/>
      <c r="DJ95" s="687">
        <v>3801.95</v>
      </c>
      <c r="DK95" s="687"/>
      <c r="DL95" s="687"/>
      <c r="DM95" s="24093" t="s">
        <v>782</v>
      </c>
      <c r="DN95" s="23957" t="s">
        <v>59</v>
      </c>
      <c r="DO95" s="24093" t="s">
        <v>783</v>
      </c>
      <c r="DP95" s="23957" t="s">
        <v>59</v>
      </c>
      <c r="DQ95" s="687">
        <v>240.78</v>
      </c>
      <c r="DR95" s="687">
        <v>0</v>
      </c>
      <c r="DS95" s="687"/>
      <c r="DT95" s="687"/>
      <c r="DU95" s="687">
        <f>DJ95</f>
        <v>3801.95</v>
      </c>
      <c r="DV95" s="687"/>
      <c r="DW95" s="687"/>
      <c r="DX95" s="24093" t="s">
        <v>784</v>
      </c>
      <c r="DY95" s="23957" t="s">
        <v>59</v>
      </c>
      <c r="DZ95" s="24093" t="s">
        <v>785</v>
      </c>
      <c r="EA95" s="23957" t="s">
        <v>59</v>
      </c>
      <c r="EB95" s="687">
        <v>257.87</v>
      </c>
      <c r="EC95" s="687">
        <v>0</v>
      </c>
      <c r="ED95" s="687"/>
      <c r="EE95" s="687"/>
      <c r="EF95" s="687">
        <v>4071.88</v>
      </c>
      <c r="EG95" s="687"/>
      <c r="EH95" s="687"/>
      <c r="EI95" s="24093" t="s">
        <v>786</v>
      </c>
      <c r="EJ95" s="23957" t="s">
        <v>59</v>
      </c>
      <c r="EK95" s="24093" t="s">
        <v>787</v>
      </c>
      <c r="EL95" s="23957" t="s">
        <v>59</v>
      </c>
      <c r="EM95" s="687">
        <f>EB95</f>
        <v>257.87</v>
      </c>
      <c r="EN95" s="687">
        <v>0</v>
      </c>
      <c r="EO95" s="687"/>
      <c r="EP95" s="687"/>
      <c r="EQ95" s="687">
        <f>EF95</f>
        <v>4071.88</v>
      </c>
      <c r="ER95" s="687"/>
      <c r="ES95" s="687"/>
      <c r="ET95" s="24093" t="s">
        <v>788</v>
      </c>
      <c r="EU95" s="23957" t="s">
        <v>59</v>
      </c>
      <c r="EV95" s="24093" t="s">
        <v>791</v>
      </c>
      <c r="EW95" s="23957" t="s">
        <v>59</v>
      </c>
      <c r="EX95" s="687">
        <v>268.19</v>
      </c>
      <c r="EY95" s="687">
        <v>0</v>
      </c>
      <c r="EZ95" s="687"/>
      <c r="FA95" s="687"/>
      <c r="FB95" s="687">
        <v>4234.75</v>
      </c>
      <c r="FC95" s="687"/>
      <c r="FD95" s="687"/>
      <c r="FE95" s="24093" t="s">
        <v>790</v>
      </c>
      <c r="FF95" s="23957" t="s">
        <v>59</v>
      </c>
      <c r="FG95" s="24093" t="s">
        <v>13</v>
      </c>
      <c r="FH95" s="23957" t="s">
        <v>6</v>
      </c>
      <c r="FI95" s="1286"/>
      <c r="FJ95" s="1286"/>
      <c r="FK95" s="6354"/>
      <c r="FL95" s="6354"/>
      <c r="FM95" s="1286"/>
      <c r="FN95" s="6354"/>
      <c r="FO95" s="6354"/>
      <c r="FP95" s="24086"/>
      <c r="FQ95" s="24085" t="s">
        <v>59</v>
      </c>
      <c r="FR95" s="24086"/>
      <c r="FS95" s="24208" t="s">
        <v>59</v>
      </c>
      <c r="FT95" s="1364"/>
      <c r="FU9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95" s="1568" t="e">
        <f ca="1">STRCHECKDATE(V96:FT96)</f>
        <v>#NAME?</v>
      </c>
      <c r="FW95" s="1550"/>
      <c r="FX95" s="1550" t="str">
        <f t="shared" si="1"/>
        <v/>
      </c>
      <c r="FY95" s="1550"/>
      <c r="FZ95" s="1550"/>
      <c r="GA95" s="1561">
        <v>0</v>
      </c>
    </row>
    <row r="96" spans="1:183" s="1747" customFormat="1" ht="14.25" customHeight="1">
      <c r="A96" s="1289"/>
      <c r="B96" s="1289"/>
      <c r="C96" s="1289"/>
      <c r="D96" s="1289"/>
      <c r="E96" s="24089"/>
      <c r="F96" s="24089"/>
      <c r="G96" s="24089"/>
      <c r="H96" s="24089"/>
      <c r="I96" s="24091"/>
      <c r="J96" s="24091" t="str">
        <f>I89&amp;".1"</f>
        <v>1.1.5.1.1</v>
      </c>
      <c r="K96" s="24090"/>
      <c r="L96" s="1295"/>
      <c r="M96" s="1674"/>
      <c r="N96" s="1674"/>
      <c r="O96" s="1674"/>
      <c r="P96" s="24092"/>
      <c r="Q96" s="24092"/>
      <c r="R96" s="293"/>
      <c r="S96" s="1982"/>
      <c r="T96" s="236"/>
      <c r="U96" s="236"/>
      <c r="V96" s="1286"/>
      <c r="W96" s="1286"/>
      <c r="X96" s="1286"/>
      <c r="Y96" s="1286"/>
      <c r="Z96" s="1286"/>
      <c r="AA96" s="1286"/>
      <c r="AB96" s="1286"/>
      <c r="AC96" s="24085"/>
      <c r="AD96" s="24085"/>
      <c r="AE96" s="24085"/>
      <c r="AF96" s="24085"/>
      <c r="AG96" s="261"/>
      <c r="AH96" s="261"/>
      <c r="AI96" s="261"/>
      <c r="AJ96" s="261"/>
      <c r="AK96" s="261"/>
      <c r="AL96" s="261"/>
      <c r="AM96" s="261"/>
      <c r="AN96" s="24094"/>
      <c r="AO96" s="23957"/>
      <c r="AP96" s="24096"/>
      <c r="AQ96" s="23957"/>
      <c r="AR96" s="261"/>
      <c r="AS96" s="261"/>
      <c r="AT96" s="261"/>
      <c r="AU96" s="261"/>
      <c r="AV96" s="261"/>
      <c r="AW96" s="261"/>
      <c r="AX96" s="261"/>
      <c r="AY96" s="24094"/>
      <c r="AZ96" s="23957"/>
      <c r="BA96" s="24094"/>
      <c r="BB96" s="23957"/>
      <c r="BC96" s="261"/>
      <c r="BD96" s="261"/>
      <c r="BE96" s="261"/>
      <c r="BF96" s="261"/>
      <c r="BG96" s="261"/>
      <c r="BH96" s="261"/>
      <c r="BI96" s="261"/>
      <c r="BJ96" s="24094"/>
      <c r="BK96" s="23957"/>
      <c r="BL96" s="24094"/>
      <c r="BM96" s="23957"/>
      <c r="BN96" s="261"/>
      <c r="BO96" s="261"/>
      <c r="BP96" s="261"/>
      <c r="BQ96" s="261"/>
      <c r="BR96" s="261"/>
      <c r="BS96" s="261"/>
      <c r="BT96" s="261"/>
      <c r="BU96" s="24094"/>
      <c r="BV96" s="23957"/>
      <c r="BW96" s="24094"/>
      <c r="BX96" s="23957"/>
      <c r="BY96" s="261"/>
      <c r="BZ96" s="261"/>
      <c r="CA96" s="261"/>
      <c r="CB96" s="261"/>
      <c r="CC96" s="261"/>
      <c r="CD96" s="261"/>
      <c r="CE96" s="261"/>
      <c r="CF96" s="24094"/>
      <c r="CG96" s="23957"/>
      <c r="CH96" s="24094"/>
      <c r="CI96" s="23957"/>
      <c r="CJ96" s="261"/>
      <c r="CK96" s="261"/>
      <c r="CL96" s="261"/>
      <c r="CM96" s="261"/>
      <c r="CN96" s="261"/>
      <c r="CO96" s="261"/>
      <c r="CP96" s="261"/>
      <c r="CQ96" s="24094"/>
      <c r="CR96" s="23957"/>
      <c r="CS96" s="24094"/>
      <c r="CT96" s="23957"/>
      <c r="CU96" s="261"/>
      <c r="CV96" s="261"/>
      <c r="CW96" s="261"/>
      <c r="CX96" s="261"/>
      <c r="CY96" s="261"/>
      <c r="CZ96" s="261"/>
      <c r="DA96" s="261"/>
      <c r="DB96" s="24094"/>
      <c r="DC96" s="23957"/>
      <c r="DD96" s="24094"/>
      <c r="DE96" s="23957"/>
      <c r="DF96" s="261"/>
      <c r="DG96" s="261"/>
      <c r="DH96" s="261"/>
      <c r="DI96" s="261"/>
      <c r="DJ96" s="261"/>
      <c r="DK96" s="261"/>
      <c r="DL96" s="261"/>
      <c r="DM96" s="24094"/>
      <c r="DN96" s="23957"/>
      <c r="DO96" s="24094"/>
      <c r="DP96" s="23957"/>
      <c r="DQ96" s="261"/>
      <c r="DR96" s="261"/>
      <c r="DS96" s="261"/>
      <c r="DT96" s="261"/>
      <c r="DU96" s="261"/>
      <c r="DV96" s="261"/>
      <c r="DW96" s="261"/>
      <c r="DX96" s="24094"/>
      <c r="DY96" s="23957"/>
      <c r="DZ96" s="24094"/>
      <c r="EA96" s="23957"/>
      <c r="EB96" s="261"/>
      <c r="EC96" s="261"/>
      <c r="ED96" s="261"/>
      <c r="EE96" s="261"/>
      <c r="EF96" s="261"/>
      <c r="EG96" s="261"/>
      <c r="EH96" s="261"/>
      <c r="EI96" s="24094"/>
      <c r="EJ96" s="23957"/>
      <c r="EK96" s="24094"/>
      <c r="EL96" s="23957"/>
      <c r="EM96" s="261"/>
      <c r="EN96" s="261"/>
      <c r="EO96" s="261"/>
      <c r="EP96" s="261"/>
      <c r="EQ96" s="261"/>
      <c r="ER96" s="261"/>
      <c r="ES96" s="261"/>
      <c r="ET96" s="24094"/>
      <c r="EU96" s="23957"/>
      <c r="EV96" s="24094"/>
      <c r="EW96" s="23957"/>
      <c r="EX96" s="261"/>
      <c r="EY96" s="261"/>
      <c r="EZ96" s="261"/>
      <c r="FA96" s="261"/>
      <c r="FB96" s="261"/>
      <c r="FC96" s="261"/>
      <c r="FD96" s="261"/>
      <c r="FE96" s="24094"/>
      <c r="FF96" s="23957"/>
      <c r="FG96" s="24094"/>
      <c r="FH96" s="23957"/>
      <c r="FI96" s="1286"/>
      <c r="FJ96" s="1286"/>
      <c r="FK96" s="6354"/>
      <c r="FL96" s="6354"/>
      <c r="FM96" s="1286"/>
      <c r="FN96" s="6354"/>
      <c r="FO96" s="6354"/>
      <c r="FP96" s="24085"/>
      <c r="FQ96" s="24085"/>
      <c r="FR96" s="24085"/>
      <c r="FS96" s="24208"/>
      <c r="FT96" s="1365"/>
      <c r="FU96" s="24162"/>
      <c r="FV96" s="1568"/>
      <c r="FW96" s="1550"/>
      <c r="FX96" s="1550" t="str">
        <f t="shared" si="1"/>
        <v/>
      </c>
      <c r="FY96" s="1550"/>
      <c r="FZ96" s="1550"/>
      <c r="GA96" s="1561">
        <v>0</v>
      </c>
    </row>
    <row r="97" spans="1:183" s="1747" customFormat="1" ht="21" customHeight="1">
      <c r="A97" s="1289"/>
      <c r="B97" s="1289"/>
      <c r="C97" s="1289"/>
      <c r="D97" s="1289"/>
      <c r="E97" s="24089"/>
      <c r="F97" s="24089"/>
      <c r="G97" s="24089"/>
      <c r="H97" s="24089"/>
      <c r="I97" s="24091"/>
      <c r="J97" s="24090" t="str">
        <f>I89&amp;".1"</f>
        <v>1.1.5.1.1</v>
      </c>
      <c r="K97" s="1289"/>
      <c r="L97" s="1295"/>
      <c r="M97" s="1674"/>
      <c r="N97" s="1674"/>
      <c r="O97" s="1674"/>
      <c r="P97" s="24092"/>
      <c r="Q97" s="24092"/>
      <c r="R97" s="292"/>
      <c r="S97" s="2495"/>
      <c r="T97" s="2496" t="s">
        <v>712</v>
      </c>
      <c r="U97" s="2497"/>
      <c r="V97" s="2498"/>
      <c r="W97" s="2499"/>
      <c r="X97" s="2500"/>
      <c r="Y97" s="2501"/>
      <c r="Z97" s="2502"/>
      <c r="AA97" s="2503"/>
      <c r="AB97" s="2504"/>
      <c r="AC97" s="2505"/>
      <c r="AD97" s="2506"/>
      <c r="AE97" s="2507"/>
      <c r="AF97" s="2508"/>
      <c r="AG97" s="2509"/>
      <c r="AH97" s="2510"/>
      <c r="AI97" s="2511"/>
      <c r="AJ97" s="2512"/>
      <c r="AK97" s="2513"/>
      <c r="AL97" s="2514"/>
      <c r="AM97" s="2515"/>
      <c r="AN97" s="2516"/>
      <c r="AO97" s="2517"/>
      <c r="AP97" s="2518"/>
      <c r="AQ97" s="2519"/>
      <c r="AR97" s="6563"/>
      <c r="AS97" s="6564"/>
      <c r="AT97" s="6565"/>
      <c r="AU97" s="6566"/>
      <c r="AV97" s="6567"/>
      <c r="AW97" s="6568"/>
      <c r="AX97" s="6569"/>
      <c r="AY97" s="6570"/>
      <c r="AZ97" s="6571"/>
      <c r="BA97" s="6572"/>
      <c r="BB97" s="6573"/>
      <c r="BC97" s="6574"/>
      <c r="BD97" s="6575"/>
      <c r="BE97" s="10061"/>
      <c r="BF97" s="10062"/>
      <c r="BG97" s="21837"/>
      <c r="BH97" s="10063"/>
      <c r="BI97" s="10064"/>
      <c r="BJ97" s="10065"/>
      <c r="BK97" s="10066"/>
      <c r="BL97" s="10067"/>
      <c r="BM97" s="10068"/>
      <c r="BN97" s="2520"/>
      <c r="BO97" s="2521"/>
      <c r="BP97" s="10069"/>
      <c r="BQ97" s="10070"/>
      <c r="BR97" s="2522"/>
      <c r="BS97" s="10071"/>
      <c r="BT97" s="10072"/>
      <c r="BU97" s="10073"/>
      <c r="BV97" s="10074"/>
      <c r="BW97" s="10075"/>
      <c r="BX97" s="10076"/>
      <c r="BY97" s="10077"/>
      <c r="BZ97" s="10078"/>
      <c r="CA97" s="10079"/>
      <c r="CB97" s="10080"/>
      <c r="CC97" s="10081"/>
      <c r="CD97" s="10082"/>
      <c r="CE97" s="10083"/>
      <c r="CF97" s="10084"/>
      <c r="CG97" s="10085"/>
      <c r="CH97" s="10086"/>
      <c r="CI97" s="10087"/>
      <c r="CJ97" s="10088"/>
      <c r="CK97" s="10089"/>
      <c r="CL97" s="10090"/>
      <c r="CM97" s="10091"/>
      <c r="CN97" s="10092"/>
      <c r="CO97" s="10093"/>
      <c r="CP97" s="10094"/>
      <c r="CQ97" s="10095"/>
      <c r="CR97" s="10096"/>
      <c r="CS97" s="10097"/>
      <c r="CT97" s="10098"/>
      <c r="CU97" s="10099"/>
      <c r="CV97" s="10100"/>
      <c r="CW97" s="10101"/>
      <c r="CX97" s="10102"/>
      <c r="CY97" s="10103"/>
      <c r="CZ97" s="10104"/>
      <c r="DA97" s="10105"/>
      <c r="DB97" s="10106"/>
      <c r="DC97" s="10107"/>
      <c r="DD97" s="10108"/>
      <c r="DE97" s="10109"/>
      <c r="DF97" s="10110"/>
      <c r="DG97" s="10111"/>
      <c r="DH97" s="10112"/>
      <c r="DI97" s="10113"/>
      <c r="DJ97" s="10114"/>
      <c r="DK97" s="10115"/>
      <c r="DL97" s="10116"/>
      <c r="DM97" s="10117"/>
      <c r="DN97" s="10118"/>
      <c r="DO97" s="10119"/>
      <c r="DP97" s="10120"/>
      <c r="DQ97" s="10121"/>
      <c r="DR97" s="10122"/>
      <c r="DS97" s="10123"/>
      <c r="DT97" s="10124"/>
      <c r="DU97" s="10125"/>
      <c r="DV97" s="10126"/>
      <c r="DW97" s="10127"/>
      <c r="DX97" s="10128"/>
      <c r="DY97" s="10129"/>
      <c r="DZ97" s="10130"/>
      <c r="EA97" s="10131"/>
      <c r="EB97" s="10132"/>
      <c r="EC97" s="10133"/>
      <c r="ED97" s="10134"/>
      <c r="EE97" s="10135"/>
      <c r="EF97" s="10136"/>
      <c r="EG97" s="10137"/>
      <c r="EH97" s="10138"/>
      <c r="EI97" s="10139"/>
      <c r="EJ97" s="10140"/>
      <c r="EK97" s="10141"/>
      <c r="EL97" s="10142"/>
      <c r="EM97" s="21467"/>
      <c r="EN97" s="21468"/>
      <c r="EO97" s="10143"/>
      <c r="EP97" s="10144"/>
      <c r="EQ97" s="21469"/>
      <c r="ER97" s="10145"/>
      <c r="ES97" s="10146"/>
      <c r="ET97" s="10147"/>
      <c r="EU97" s="10148"/>
      <c r="EV97" s="10149"/>
      <c r="EW97" s="10150"/>
      <c r="EX97" s="2523"/>
      <c r="EY97" s="2524"/>
      <c r="EZ97" s="10151"/>
      <c r="FA97" s="10152"/>
      <c r="FB97" s="2525"/>
      <c r="FC97" s="10153"/>
      <c r="FD97" s="10154"/>
      <c r="FE97" s="10155"/>
      <c r="FF97" s="10156"/>
      <c r="FG97" s="10157"/>
      <c r="FH97" s="5677"/>
      <c r="FI97" s="22512"/>
      <c r="FJ97" s="22513"/>
      <c r="FK97" s="23327"/>
      <c r="FL97" s="23328"/>
      <c r="FM97" s="22514"/>
      <c r="FN97" s="23329"/>
      <c r="FO97" s="23330"/>
      <c r="FP97" s="22515"/>
      <c r="FQ97" s="22516"/>
      <c r="FR97" s="22517"/>
      <c r="FS97" s="23331"/>
      <c r="FT97" s="2526"/>
      <c r="FU97" s="1184" t="s">
        <v>713</v>
      </c>
      <c r="FV97" s="1568"/>
      <c r="FW97" s="1550"/>
      <c r="FX97" s="1550" t="str">
        <f t="shared" si="1"/>
        <v>Добавить значение признака дифференциации</v>
      </c>
      <c r="FY97" s="1550"/>
      <c r="FZ97" s="1550"/>
      <c r="GA97" s="1561">
        <v>0</v>
      </c>
    </row>
    <row r="98" spans="1:183" s="1747" customFormat="1" ht="21" customHeight="1">
      <c r="A98" s="1289"/>
      <c r="B98" s="1289"/>
      <c r="C98" s="1289"/>
      <c r="D98" s="1289"/>
      <c r="E98" s="24089"/>
      <c r="F98" s="24089"/>
      <c r="G98" s="24089" t="s">
        <v>82</v>
      </c>
      <c r="H98" s="24089"/>
      <c r="I98" s="24090"/>
      <c r="J98" s="1289"/>
      <c r="K98" s="1289"/>
      <c r="L98" s="1295"/>
      <c r="M98" s="1674"/>
      <c r="N98" s="1674"/>
      <c r="O98" s="1674"/>
      <c r="P98" s="24092"/>
      <c r="Q98" s="1978"/>
      <c r="R98" s="292"/>
      <c r="S98" s="2527"/>
      <c r="T98" s="2528" t="s">
        <v>641</v>
      </c>
      <c r="U98" s="2529"/>
      <c r="V98" s="2530"/>
      <c r="W98" s="2531"/>
      <c r="X98" s="2532"/>
      <c r="Y98" s="2533"/>
      <c r="Z98" s="2534"/>
      <c r="AA98" s="2535"/>
      <c r="AB98" s="2536"/>
      <c r="AC98" s="2537"/>
      <c r="AD98" s="2538"/>
      <c r="AE98" s="2539"/>
      <c r="AF98" s="2540"/>
      <c r="AG98" s="2541"/>
      <c r="AH98" s="2542"/>
      <c r="AI98" s="2543"/>
      <c r="AJ98" s="2544"/>
      <c r="AK98" s="2545"/>
      <c r="AL98" s="2546"/>
      <c r="AM98" s="2547"/>
      <c r="AN98" s="2548"/>
      <c r="AO98" s="2549"/>
      <c r="AP98" s="2550"/>
      <c r="AQ98" s="2551"/>
      <c r="AR98" s="6576"/>
      <c r="AS98" s="6577"/>
      <c r="AT98" s="6578"/>
      <c r="AU98" s="6579"/>
      <c r="AV98" s="6580"/>
      <c r="AW98" s="6581"/>
      <c r="AX98" s="6582"/>
      <c r="AY98" s="6583"/>
      <c r="AZ98" s="6584"/>
      <c r="BA98" s="6585"/>
      <c r="BB98" s="6586"/>
      <c r="BC98" s="6587"/>
      <c r="BD98" s="6588"/>
      <c r="BE98" s="10158"/>
      <c r="BF98" s="10159"/>
      <c r="BG98" s="21838"/>
      <c r="BH98" s="10160"/>
      <c r="BI98" s="10161"/>
      <c r="BJ98" s="10162"/>
      <c r="BK98" s="10163"/>
      <c r="BL98" s="10164"/>
      <c r="BM98" s="10165"/>
      <c r="BN98" s="2552"/>
      <c r="BO98" s="2553"/>
      <c r="BP98" s="10166"/>
      <c r="BQ98" s="10167"/>
      <c r="BR98" s="2554"/>
      <c r="BS98" s="10168"/>
      <c r="BT98" s="10169"/>
      <c r="BU98" s="10170"/>
      <c r="BV98" s="10171"/>
      <c r="BW98" s="10172"/>
      <c r="BX98" s="10173"/>
      <c r="BY98" s="10174"/>
      <c r="BZ98" s="10175"/>
      <c r="CA98" s="10176"/>
      <c r="CB98" s="10177"/>
      <c r="CC98" s="10178"/>
      <c r="CD98" s="10179"/>
      <c r="CE98" s="10180"/>
      <c r="CF98" s="10181"/>
      <c r="CG98" s="10182"/>
      <c r="CH98" s="10183"/>
      <c r="CI98" s="10184"/>
      <c r="CJ98" s="10185"/>
      <c r="CK98" s="10186"/>
      <c r="CL98" s="10187"/>
      <c r="CM98" s="10188"/>
      <c r="CN98" s="10189"/>
      <c r="CO98" s="10190"/>
      <c r="CP98" s="10191"/>
      <c r="CQ98" s="10192"/>
      <c r="CR98" s="10193"/>
      <c r="CS98" s="10194"/>
      <c r="CT98" s="10195"/>
      <c r="CU98" s="10196"/>
      <c r="CV98" s="10197"/>
      <c r="CW98" s="10198"/>
      <c r="CX98" s="10199"/>
      <c r="CY98" s="10200"/>
      <c r="CZ98" s="10201"/>
      <c r="DA98" s="10202"/>
      <c r="DB98" s="10203"/>
      <c r="DC98" s="10204"/>
      <c r="DD98" s="10205"/>
      <c r="DE98" s="10206"/>
      <c r="DF98" s="10207"/>
      <c r="DG98" s="10208"/>
      <c r="DH98" s="10209"/>
      <c r="DI98" s="10210"/>
      <c r="DJ98" s="10211"/>
      <c r="DK98" s="10212"/>
      <c r="DL98" s="10213"/>
      <c r="DM98" s="10214"/>
      <c r="DN98" s="10215"/>
      <c r="DO98" s="10216"/>
      <c r="DP98" s="10217"/>
      <c r="DQ98" s="10218"/>
      <c r="DR98" s="10219"/>
      <c r="DS98" s="10220"/>
      <c r="DT98" s="10221"/>
      <c r="DU98" s="10222"/>
      <c r="DV98" s="10223"/>
      <c r="DW98" s="10224"/>
      <c r="DX98" s="10225"/>
      <c r="DY98" s="10226"/>
      <c r="DZ98" s="10227"/>
      <c r="EA98" s="10228"/>
      <c r="EB98" s="10229"/>
      <c r="EC98" s="10230"/>
      <c r="ED98" s="10231"/>
      <c r="EE98" s="10232"/>
      <c r="EF98" s="10233"/>
      <c r="EG98" s="10234"/>
      <c r="EH98" s="10235"/>
      <c r="EI98" s="10236"/>
      <c r="EJ98" s="10237"/>
      <c r="EK98" s="10238"/>
      <c r="EL98" s="10239"/>
      <c r="EM98" s="21470"/>
      <c r="EN98" s="21471"/>
      <c r="EO98" s="10240"/>
      <c r="EP98" s="10241"/>
      <c r="EQ98" s="21472"/>
      <c r="ER98" s="10242"/>
      <c r="ES98" s="10243"/>
      <c r="ET98" s="10244"/>
      <c r="EU98" s="10245"/>
      <c r="EV98" s="10246"/>
      <c r="EW98" s="10247"/>
      <c r="EX98" s="2555"/>
      <c r="EY98" s="2556"/>
      <c r="EZ98" s="10248"/>
      <c r="FA98" s="10249"/>
      <c r="FB98" s="2557"/>
      <c r="FC98" s="10250"/>
      <c r="FD98" s="10251"/>
      <c r="FE98" s="10252"/>
      <c r="FF98" s="10253"/>
      <c r="FG98" s="10254"/>
      <c r="FH98" s="5678"/>
      <c r="FI98" s="22518"/>
      <c r="FJ98" s="22519"/>
      <c r="FK98" s="23332"/>
      <c r="FL98" s="23333"/>
      <c r="FM98" s="22520"/>
      <c r="FN98" s="23334"/>
      <c r="FO98" s="23335"/>
      <c r="FP98" s="22521"/>
      <c r="FQ98" s="22522"/>
      <c r="FR98" s="22523"/>
      <c r="FS98" s="23336"/>
      <c r="FT98" s="2558"/>
      <c r="FU98" s="2559"/>
      <c r="FV98" s="1568"/>
      <c r="FW98" s="1550"/>
      <c r="FX98" s="1550" t="str">
        <f t="shared" si="1"/>
        <v>Добавить группу потребителей</v>
      </c>
      <c r="FY98" s="1550"/>
      <c r="FZ98" s="1550"/>
      <c r="GA98" s="1561">
        <v>0</v>
      </c>
    </row>
    <row r="99" spans="1:183" s="1747" customFormat="1" ht="21" customHeight="1">
      <c r="A99" s="1289"/>
      <c r="B99" s="1289"/>
      <c r="C99" s="1289"/>
      <c r="D99" s="1289"/>
      <c r="E99" s="24089"/>
      <c r="F99" s="24089"/>
      <c r="G99" s="24089" t="s">
        <v>82</v>
      </c>
      <c r="H99" s="24088"/>
      <c r="I99" s="1289"/>
      <c r="J99" s="1289"/>
      <c r="K99" s="1289"/>
      <c r="L99" s="1295"/>
      <c r="M99" s="1291"/>
      <c r="N99" s="1291"/>
      <c r="O99" s="1292"/>
      <c r="P99" s="1720"/>
      <c r="Q99" s="311"/>
      <c r="R99" s="291"/>
      <c r="S99" s="2560"/>
      <c r="T99" s="2561" t="s">
        <v>714</v>
      </c>
      <c r="U99" s="2562"/>
      <c r="V99" s="2563"/>
      <c r="W99" s="2564"/>
      <c r="X99" s="2565"/>
      <c r="Y99" s="2566"/>
      <c r="Z99" s="2567"/>
      <c r="AA99" s="2568"/>
      <c r="AB99" s="2569"/>
      <c r="AC99" s="2570"/>
      <c r="AD99" s="2571"/>
      <c r="AE99" s="2572"/>
      <c r="AF99" s="2573"/>
      <c r="AG99" s="2574"/>
      <c r="AH99" s="2575"/>
      <c r="AI99" s="2576"/>
      <c r="AJ99" s="2577"/>
      <c r="AK99" s="2578"/>
      <c r="AL99" s="2579"/>
      <c r="AM99" s="2580"/>
      <c r="AN99" s="2581"/>
      <c r="AO99" s="2582"/>
      <c r="AP99" s="2583"/>
      <c r="AQ99" s="2584"/>
      <c r="AR99" s="6589"/>
      <c r="AS99" s="6590"/>
      <c r="AT99" s="6591"/>
      <c r="AU99" s="6592"/>
      <c r="AV99" s="6593"/>
      <c r="AW99" s="6594"/>
      <c r="AX99" s="6595"/>
      <c r="AY99" s="6596"/>
      <c r="AZ99" s="6597"/>
      <c r="BA99" s="6598"/>
      <c r="BB99" s="6599"/>
      <c r="BC99" s="6600"/>
      <c r="BD99" s="6601"/>
      <c r="BE99" s="10255"/>
      <c r="BF99" s="10256"/>
      <c r="BG99" s="21839"/>
      <c r="BH99" s="10257"/>
      <c r="BI99" s="10258"/>
      <c r="BJ99" s="10259"/>
      <c r="BK99" s="10260"/>
      <c r="BL99" s="10261"/>
      <c r="BM99" s="10262"/>
      <c r="BN99" s="2585"/>
      <c r="BO99" s="2586"/>
      <c r="BP99" s="10263"/>
      <c r="BQ99" s="10264"/>
      <c r="BR99" s="2587"/>
      <c r="BS99" s="10265"/>
      <c r="BT99" s="10266"/>
      <c r="BU99" s="10267"/>
      <c r="BV99" s="10268"/>
      <c r="BW99" s="10269"/>
      <c r="BX99" s="10270"/>
      <c r="BY99" s="10271"/>
      <c r="BZ99" s="10272"/>
      <c r="CA99" s="10273"/>
      <c r="CB99" s="10274"/>
      <c r="CC99" s="10275"/>
      <c r="CD99" s="10276"/>
      <c r="CE99" s="10277"/>
      <c r="CF99" s="10278"/>
      <c r="CG99" s="10279"/>
      <c r="CH99" s="10280"/>
      <c r="CI99" s="10281"/>
      <c r="CJ99" s="10282"/>
      <c r="CK99" s="10283"/>
      <c r="CL99" s="10284"/>
      <c r="CM99" s="10285"/>
      <c r="CN99" s="10286"/>
      <c r="CO99" s="10287"/>
      <c r="CP99" s="10288"/>
      <c r="CQ99" s="10289"/>
      <c r="CR99" s="10290"/>
      <c r="CS99" s="10291"/>
      <c r="CT99" s="10292"/>
      <c r="CU99" s="10293"/>
      <c r="CV99" s="10294"/>
      <c r="CW99" s="10295"/>
      <c r="CX99" s="10296"/>
      <c r="CY99" s="10297"/>
      <c r="CZ99" s="10298"/>
      <c r="DA99" s="10299"/>
      <c r="DB99" s="10300"/>
      <c r="DC99" s="10301"/>
      <c r="DD99" s="10302"/>
      <c r="DE99" s="10303"/>
      <c r="DF99" s="10304"/>
      <c r="DG99" s="10305"/>
      <c r="DH99" s="10306"/>
      <c r="DI99" s="10307"/>
      <c r="DJ99" s="10308"/>
      <c r="DK99" s="10309"/>
      <c r="DL99" s="10310"/>
      <c r="DM99" s="10311"/>
      <c r="DN99" s="10312"/>
      <c r="DO99" s="10313"/>
      <c r="DP99" s="10314"/>
      <c r="DQ99" s="10315"/>
      <c r="DR99" s="10316"/>
      <c r="DS99" s="10317"/>
      <c r="DT99" s="10318"/>
      <c r="DU99" s="10319"/>
      <c r="DV99" s="10320"/>
      <c r="DW99" s="10321"/>
      <c r="DX99" s="10322"/>
      <c r="DY99" s="10323"/>
      <c r="DZ99" s="10324"/>
      <c r="EA99" s="10325"/>
      <c r="EB99" s="10326"/>
      <c r="EC99" s="10327"/>
      <c r="ED99" s="10328"/>
      <c r="EE99" s="10329"/>
      <c r="EF99" s="10330"/>
      <c r="EG99" s="10331"/>
      <c r="EH99" s="10332"/>
      <c r="EI99" s="10333"/>
      <c r="EJ99" s="10334"/>
      <c r="EK99" s="10335"/>
      <c r="EL99" s="10336"/>
      <c r="EM99" s="21473"/>
      <c r="EN99" s="21474"/>
      <c r="EO99" s="10337"/>
      <c r="EP99" s="10338"/>
      <c r="EQ99" s="21475"/>
      <c r="ER99" s="10339"/>
      <c r="ES99" s="10340"/>
      <c r="ET99" s="10341"/>
      <c r="EU99" s="10342"/>
      <c r="EV99" s="10343"/>
      <c r="EW99" s="10344"/>
      <c r="EX99" s="2588"/>
      <c r="EY99" s="2589"/>
      <c r="EZ99" s="10345"/>
      <c r="FA99" s="10346"/>
      <c r="FB99" s="2590"/>
      <c r="FC99" s="10347"/>
      <c r="FD99" s="10348"/>
      <c r="FE99" s="10349"/>
      <c r="FF99" s="10350"/>
      <c r="FG99" s="10351"/>
      <c r="FH99" s="5679"/>
      <c r="FI99" s="22524"/>
      <c r="FJ99" s="22525"/>
      <c r="FK99" s="23337"/>
      <c r="FL99" s="23338"/>
      <c r="FM99" s="22526"/>
      <c r="FN99" s="23339"/>
      <c r="FO99" s="23340"/>
      <c r="FP99" s="22527"/>
      <c r="FQ99" s="22528"/>
      <c r="FR99" s="22529"/>
      <c r="FS99" s="23341"/>
      <c r="FT99" s="2591"/>
      <c r="FU99" s="2592"/>
      <c r="FV99" s="1568"/>
      <c r="FW99" s="1550"/>
      <c r="FX99" s="1550" t="str">
        <f t="shared" si="1"/>
        <v>Добавить наименование признака дифференциации</v>
      </c>
      <c r="FY99" s="1550"/>
      <c r="FZ99" s="1550"/>
      <c r="GA99" s="1561">
        <v>0</v>
      </c>
    </row>
    <row r="100" spans="1:183" s="1747" customFormat="1" ht="23.25" customHeight="1">
      <c r="A100" s="1289"/>
      <c r="B100" s="1289"/>
      <c r="C100" s="1289" t="s">
        <v>368</v>
      </c>
      <c r="D100" s="1289"/>
      <c r="E100" s="24089"/>
      <c r="F100" s="24089"/>
      <c r="G100" s="24088" t="s">
        <v>83</v>
      </c>
      <c r="H100" s="1289"/>
      <c r="I100" s="1289"/>
      <c r="J100" s="1289"/>
      <c r="K100" s="1289"/>
      <c r="L100" s="1295"/>
      <c r="M100" s="1291"/>
      <c r="N100" s="1291"/>
      <c r="O100" s="1291"/>
      <c r="P100" s="290"/>
      <c r="Q100" s="288"/>
      <c r="R100" s="289"/>
      <c r="S100" s="1976" t="str">
        <f>INDEX(PT_DIFFERENTIATION_NUM_CS,MATCH(C100,PT_DIFFERENTIATION_CS_ID,0))</f>
        <v>1.1.6</v>
      </c>
      <c r="T100" s="245" t="s">
        <v>756</v>
      </c>
      <c r="U100" s="236"/>
      <c r="V100" s="24082"/>
      <c r="W100" s="24083"/>
      <c r="X100" s="24083"/>
      <c r="Y100" s="24083"/>
      <c r="Z100" s="24083"/>
      <c r="AA100" s="24083"/>
      <c r="AB100" s="24083"/>
      <c r="AC100" s="24083"/>
      <c r="AD100" s="24083"/>
      <c r="AE100" s="24083"/>
      <c r="AF100" s="24084"/>
      <c r="AG100" s="24082" t="str">
        <f>INDEX(PT_DIFFERENTIATION_CS,MATCH(C100,PT_DIFFERENTIATION_CS_ID,0))</f>
        <v>для потребителей с. Вязьма-Брянская Вяземского муниципального округа Смоленской области</v>
      </c>
      <c r="AH100" s="24083"/>
      <c r="AI100" s="24083"/>
      <c r="AJ100" s="24083"/>
      <c r="AK100" s="24083"/>
      <c r="AL100" s="24083"/>
      <c r="AM100" s="24083"/>
      <c r="AN100" s="24083"/>
      <c r="AO100" s="24083"/>
      <c r="AP100" s="24083"/>
      <c r="AQ100" s="24083"/>
      <c r="AR100" s="24173"/>
      <c r="AS100" s="24174"/>
      <c r="AT100" s="24174"/>
      <c r="AU100" s="24174"/>
      <c r="AV100" s="24174"/>
      <c r="AW100" s="24174"/>
      <c r="AX100" s="24174"/>
      <c r="AY100" s="24174"/>
      <c r="AZ100" s="24174"/>
      <c r="BA100" s="24174"/>
      <c r="BB100" s="24175"/>
      <c r="BC100" s="24173"/>
      <c r="BD100" s="24174"/>
      <c r="BE100" s="24174"/>
      <c r="BF100" s="24174"/>
      <c r="BG100" s="24174"/>
      <c r="BH100" s="24174"/>
      <c r="BI100" s="24174"/>
      <c r="BJ100" s="24174"/>
      <c r="BK100" s="24174"/>
      <c r="BL100" s="24174"/>
      <c r="BM100" s="24175"/>
      <c r="BN100" s="24082"/>
      <c r="BO100" s="24083"/>
      <c r="BP100" s="24174"/>
      <c r="BQ100" s="24174"/>
      <c r="BR100" s="24083"/>
      <c r="BS100" s="24174"/>
      <c r="BT100" s="24174"/>
      <c r="BU100" s="24174"/>
      <c r="BV100" s="24174"/>
      <c r="BW100" s="24174"/>
      <c r="BX100" s="24175"/>
      <c r="BY100" s="24173"/>
      <c r="BZ100" s="24174"/>
      <c r="CA100" s="24174"/>
      <c r="CB100" s="24174"/>
      <c r="CC100" s="24174"/>
      <c r="CD100" s="24174"/>
      <c r="CE100" s="24174"/>
      <c r="CF100" s="24174"/>
      <c r="CG100" s="24174"/>
      <c r="CH100" s="24174"/>
      <c r="CI100" s="24175"/>
      <c r="CJ100" s="24173"/>
      <c r="CK100" s="24174"/>
      <c r="CL100" s="24174"/>
      <c r="CM100" s="24174"/>
      <c r="CN100" s="24174"/>
      <c r="CO100" s="24174"/>
      <c r="CP100" s="24174"/>
      <c r="CQ100" s="24174"/>
      <c r="CR100" s="24174"/>
      <c r="CS100" s="24174"/>
      <c r="CT100" s="24175"/>
      <c r="CU100" s="24173"/>
      <c r="CV100" s="24174"/>
      <c r="CW100" s="24174"/>
      <c r="CX100" s="24174"/>
      <c r="CY100" s="24174"/>
      <c r="CZ100" s="24174"/>
      <c r="DA100" s="24174"/>
      <c r="DB100" s="24174"/>
      <c r="DC100" s="24174"/>
      <c r="DD100" s="24174"/>
      <c r="DE100" s="24175"/>
      <c r="DF100" s="24173"/>
      <c r="DG100" s="24174"/>
      <c r="DH100" s="24174"/>
      <c r="DI100" s="24174"/>
      <c r="DJ100" s="24174"/>
      <c r="DK100" s="24174"/>
      <c r="DL100" s="24174"/>
      <c r="DM100" s="24174"/>
      <c r="DN100" s="24174"/>
      <c r="DO100" s="24174"/>
      <c r="DP100" s="24175"/>
      <c r="DQ100" s="24173"/>
      <c r="DR100" s="24174"/>
      <c r="DS100" s="24174"/>
      <c r="DT100" s="24174"/>
      <c r="DU100" s="24174"/>
      <c r="DV100" s="24174"/>
      <c r="DW100" s="24174"/>
      <c r="DX100" s="24174"/>
      <c r="DY100" s="24174"/>
      <c r="DZ100" s="24174"/>
      <c r="EA100" s="24175"/>
      <c r="EB100" s="24173"/>
      <c r="EC100" s="24174"/>
      <c r="ED100" s="24174"/>
      <c r="EE100" s="24174"/>
      <c r="EF100" s="24174"/>
      <c r="EG100" s="24174"/>
      <c r="EH100" s="24174"/>
      <c r="EI100" s="24174"/>
      <c r="EJ100" s="24174"/>
      <c r="EK100" s="24174"/>
      <c r="EL100" s="24175"/>
      <c r="EM100" s="24173"/>
      <c r="EN100" s="24174"/>
      <c r="EO100" s="24174"/>
      <c r="EP100" s="24174"/>
      <c r="EQ100" s="24174"/>
      <c r="ER100" s="24174"/>
      <c r="ES100" s="24174"/>
      <c r="ET100" s="24174"/>
      <c r="EU100" s="24174"/>
      <c r="EV100" s="24174"/>
      <c r="EW100" s="24175"/>
      <c r="EX100" s="24082"/>
      <c r="EY100" s="24083"/>
      <c r="EZ100" s="24174"/>
      <c r="FA100" s="24174"/>
      <c r="FB100" s="24083"/>
      <c r="FC100" s="24174"/>
      <c r="FD100" s="24174"/>
      <c r="FE100" s="24174"/>
      <c r="FF100" s="24174"/>
      <c r="FG100" s="24174"/>
      <c r="FH100" s="24175"/>
      <c r="FI100" s="24082"/>
      <c r="FJ100" s="24083"/>
      <c r="FK100" s="24174"/>
      <c r="FL100" s="24174"/>
      <c r="FM100" s="24083"/>
      <c r="FN100" s="24174"/>
      <c r="FO100" s="24174"/>
      <c r="FP100" s="24083"/>
      <c r="FQ100" s="24083"/>
      <c r="FR100" s="24083"/>
      <c r="FS100" s="24175"/>
      <c r="FT100" s="24084"/>
      <c r="FU100" s="1184" t="s">
        <v>757</v>
      </c>
      <c r="FV100" s="1568"/>
      <c r="FW100" s="1550"/>
      <c r="FX100" s="1550" t="str">
        <f t="shared" si="1"/>
        <v>Наименование централизованной системы горячего водоснабжения</v>
      </c>
      <c r="FY100" s="1550"/>
      <c r="FZ100" s="1550"/>
      <c r="GA100" s="1561">
        <v>0</v>
      </c>
    </row>
    <row r="101" spans="1:183" s="1747" customFormat="1" ht="23.25" customHeight="1">
      <c r="A101" s="1289"/>
      <c r="B101" s="1289"/>
      <c r="C101" s="1289"/>
      <c r="D101" s="1289"/>
      <c r="E101" s="24089"/>
      <c r="F101" s="24089"/>
      <c r="G101" s="24089" t="s">
        <v>109</v>
      </c>
      <c r="H101" s="24089"/>
      <c r="I101" s="24090" t="str">
        <f>S100&amp;".1"</f>
        <v>1.1.6.1</v>
      </c>
      <c r="J101" s="1289"/>
      <c r="K101" s="1289"/>
      <c r="L101" s="1295"/>
      <c r="M101" s="1674"/>
      <c r="N101" s="1674"/>
      <c r="O101" s="1674"/>
      <c r="P101" s="24092">
        <v>1</v>
      </c>
      <c r="Q101" s="1978"/>
      <c r="R101" s="292"/>
      <c r="S101" s="1976" t="str">
        <f>$I101</f>
        <v>1.1.6.1</v>
      </c>
      <c r="T101" s="221" t="s">
        <v>709</v>
      </c>
      <c r="U101" s="236"/>
      <c r="V101" s="24156"/>
      <c r="W101" s="24157"/>
      <c r="X101" s="24157"/>
      <c r="Y101" s="24157"/>
      <c r="Z101" s="24157"/>
      <c r="AA101" s="24157"/>
      <c r="AB101" s="24157"/>
      <c r="AC101" s="24157"/>
      <c r="AD101" s="24157"/>
      <c r="AE101" s="24157"/>
      <c r="AF101" s="24158"/>
      <c r="AG101" s="24159"/>
      <c r="AH101" s="24160"/>
      <c r="AI101" s="24160"/>
      <c r="AJ101" s="24160"/>
      <c r="AK101" s="24160"/>
      <c r="AL101" s="24160"/>
      <c r="AM101" s="24160"/>
      <c r="AN101" s="24160"/>
      <c r="AO101" s="24160"/>
      <c r="AP101" s="24160"/>
      <c r="AQ101" s="24160"/>
      <c r="AR101" s="24176"/>
      <c r="AS101" s="24177"/>
      <c r="AT101" s="24177"/>
      <c r="AU101" s="24177"/>
      <c r="AV101" s="24177"/>
      <c r="AW101" s="24177"/>
      <c r="AX101" s="24177"/>
      <c r="AY101" s="24177"/>
      <c r="AZ101" s="24177"/>
      <c r="BA101" s="24177"/>
      <c r="BB101" s="24178"/>
      <c r="BC101" s="24176"/>
      <c r="BD101" s="24177"/>
      <c r="BE101" s="24177"/>
      <c r="BF101" s="24177"/>
      <c r="BG101" s="24177"/>
      <c r="BH101" s="24177"/>
      <c r="BI101" s="24177"/>
      <c r="BJ101" s="24177"/>
      <c r="BK101" s="24177"/>
      <c r="BL101" s="24177"/>
      <c r="BM101" s="24178"/>
      <c r="BN101" s="24156"/>
      <c r="BO101" s="24157"/>
      <c r="BP101" s="24177"/>
      <c r="BQ101" s="24177"/>
      <c r="BR101" s="24157"/>
      <c r="BS101" s="24177"/>
      <c r="BT101" s="24177"/>
      <c r="BU101" s="24177"/>
      <c r="BV101" s="24177"/>
      <c r="BW101" s="24177"/>
      <c r="BX101" s="24178"/>
      <c r="BY101" s="24176"/>
      <c r="BZ101" s="24177"/>
      <c r="CA101" s="24177"/>
      <c r="CB101" s="24177"/>
      <c r="CC101" s="24177"/>
      <c r="CD101" s="24177"/>
      <c r="CE101" s="24177"/>
      <c r="CF101" s="24177"/>
      <c r="CG101" s="24177"/>
      <c r="CH101" s="24177"/>
      <c r="CI101" s="24178"/>
      <c r="CJ101" s="24176"/>
      <c r="CK101" s="24177"/>
      <c r="CL101" s="24177"/>
      <c r="CM101" s="24177"/>
      <c r="CN101" s="24177"/>
      <c r="CO101" s="24177"/>
      <c r="CP101" s="24177"/>
      <c r="CQ101" s="24177"/>
      <c r="CR101" s="24177"/>
      <c r="CS101" s="24177"/>
      <c r="CT101" s="24178"/>
      <c r="CU101" s="24176"/>
      <c r="CV101" s="24177"/>
      <c r="CW101" s="24177"/>
      <c r="CX101" s="24177"/>
      <c r="CY101" s="24177"/>
      <c r="CZ101" s="24177"/>
      <c r="DA101" s="24177"/>
      <c r="DB101" s="24177"/>
      <c r="DC101" s="24177"/>
      <c r="DD101" s="24177"/>
      <c r="DE101" s="24178"/>
      <c r="DF101" s="24176"/>
      <c r="DG101" s="24177"/>
      <c r="DH101" s="24177"/>
      <c r="DI101" s="24177"/>
      <c r="DJ101" s="24177"/>
      <c r="DK101" s="24177"/>
      <c r="DL101" s="24177"/>
      <c r="DM101" s="24177"/>
      <c r="DN101" s="24177"/>
      <c r="DO101" s="24177"/>
      <c r="DP101" s="24178"/>
      <c r="DQ101" s="24176"/>
      <c r="DR101" s="24177"/>
      <c r="DS101" s="24177"/>
      <c r="DT101" s="24177"/>
      <c r="DU101" s="24177"/>
      <c r="DV101" s="24177"/>
      <c r="DW101" s="24177"/>
      <c r="DX101" s="24177"/>
      <c r="DY101" s="24177"/>
      <c r="DZ101" s="24177"/>
      <c r="EA101" s="24178"/>
      <c r="EB101" s="24176"/>
      <c r="EC101" s="24177"/>
      <c r="ED101" s="24177"/>
      <c r="EE101" s="24177"/>
      <c r="EF101" s="24177"/>
      <c r="EG101" s="24177"/>
      <c r="EH101" s="24177"/>
      <c r="EI101" s="24177"/>
      <c r="EJ101" s="24177"/>
      <c r="EK101" s="24177"/>
      <c r="EL101" s="24178"/>
      <c r="EM101" s="24176"/>
      <c r="EN101" s="24177"/>
      <c r="EO101" s="24177"/>
      <c r="EP101" s="24177"/>
      <c r="EQ101" s="24177"/>
      <c r="ER101" s="24177"/>
      <c r="ES101" s="24177"/>
      <c r="ET101" s="24177"/>
      <c r="EU101" s="24177"/>
      <c r="EV101" s="24177"/>
      <c r="EW101" s="24178"/>
      <c r="EX101" s="24156"/>
      <c r="EY101" s="24157"/>
      <c r="EZ101" s="24177"/>
      <c r="FA101" s="24177"/>
      <c r="FB101" s="24157"/>
      <c r="FC101" s="24177"/>
      <c r="FD101" s="24177"/>
      <c r="FE101" s="24177"/>
      <c r="FF101" s="24177"/>
      <c r="FG101" s="24177"/>
      <c r="FH101" s="24178"/>
      <c r="FI101" s="24156"/>
      <c r="FJ101" s="24157"/>
      <c r="FK101" s="24177"/>
      <c r="FL101" s="24177"/>
      <c r="FM101" s="24157"/>
      <c r="FN101" s="24177"/>
      <c r="FO101" s="24177"/>
      <c r="FP101" s="24157"/>
      <c r="FQ101" s="24157"/>
      <c r="FR101" s="24157"/>
      <c r="FS101" s="24178"/>
      <c r="FT101" s="24161"/>
      <c r="FU101" s="1184" t="s">
        <v>710</v>
      </c>
      <c r="FV101" s="1568"/>
      <c r="FW101" s="1550"/>
      <c r="FX101" s="1550" t="str">
        <f t="shared" si="1"/>
        <v>Наименование признака дифференциации</v>
      </c>
      <c r="FY101" s="1550"/>
      <c r="FZ101" s="1550"/>
      <c r="GA101" s="1561">
        <v>0</v>
      </c>
    </row>
    <row r="102" spans="1:183" s="1747" customFormat="1" ht="23.25" customHeight="1">
      <c r="A102" s="1289"/>
      <c r="B102" s="1289"/>
      <c r="C102" s="1289"/>
      <c r="D102" s="1289"/>
      <c r="E102" s="24089"/>
      <c r="F102" s="24089"/>
      <c r="G102" s="24089" t="s">
        <v>109</v>
      </c>
      <c r="H102" s="24089"/>
      <c r="I102" s="24091"/>
      <c r="J102" s="24090" t="str">
        <f>I101&amp;".1"</f>
        <v>1.1.6.1.1</v>
      </c>
      <c r="K102" s="1289"/>
      <c r="L102" s="1295" t="s">
        <v>635</v>
      </c>
      <c r="M102" s="1674"/>
      <c r="N102" s="1674"/>
      <c r="O102" s="1674"/>
      <c r="P102" s="24092"/>
      <c r="Q102" s="24092">
        <v>1</v>
      </c>
      <c r="R102" s="293"/>
      <c r="S102" s="1976" t="str">
        <f>$J102</f>
        <v>1.1.6.1.1</v>
      </c>
      <c r="T102" s="222" t="s">
        <v>636</v>
      </c>
      <c r="U102" s="236"/>
      <c r="V102" s="24076"/>
      <c r="W102" s="24077"/>
      <c r="X102" s="24077"/>
      <c r="Y102" s="24077"/>
      <c r="Z102" s="24077"/>
      <c r="AA102" s="24077"/>
      <c r="AB102" s="24077"/>
      <c r="AC102" s="24077"/>
      <c r="AD102" s="24077"/>
      <c r="AE102" s="24077"/>
      <c r="AF102" s="24078"/>
      <c r="AG102" s="24076" t="s">
        <v>769</v>
      </c>
      <c r="AH102" s="24077"/>
      <c r="AI102" s="24077"/>
      <c r="AJ102" s="24077"/>
      <c r="AK102" s="24077"/>
      <c r="AL102" s="24077"/>
      <c r="AM102" s="24077"/>
      <c r="AN102" s="24077"/>
      <c r="AO102" s="24077"/>
      <c r="AP102" s="24077"/>
      <c r="AQ102" s="24077"/>
      <c r="AR102" s="24179"/>
      <c r="AS102" s="24180"/>
      <c r="AT102" s="24180"/>
      <c r="AU102" s="24180"/>
      <c r="AV102" s="24180"/>
      <c r="AW102" s="24180"/>
      <c r="AX102" s="24180"/>
      <c r="AY102" s="24180"/>
      <c r="AZ102" s="24180"/>
      <c r="BA102" s="24180"/>
      <c r="BB102" s="24181"/>
      <c r="BC102" s="24179"/>
      <c r="BD102" s="24180"/>
      <c r="BE102" s="24180"/>
      <c r="BF102" s="24180"/>
      <c r="BG102" s="24180"/>
      <c r="BH102" s="24180"/>
      <c r="BI102" s="24180"/>
      <c r="BJ102" s="24180"/>
      <c r="BK102" s="24180"/>
      <c r="BL102" s="24180"/>
      <c r="BM102" s="24181"/>
      <c r="BN102" s="24076"/>
      <c r="BO102" s="24077"/>
      <c r="BP102" s="24180"/>
      <c r="BQ102" s="24180"/>
      <c r="BR102" s="24077"/>
      <c r="BS102" s="24180"/>
      <c r="BT102" s="24180"/>
      <c r="BU102" s="24180"/>
      <c r="BV102" s="24180"/>
      <c r="BW102" s="24180"/>
      <c r="BX102" s="24181"/>
      <c r="BY102" s="24179"/>
      <c r="BZ102" s="24180"/>
      <c r="CA102" s="24180"/>
      <c r="CB102" s="24180"/>
      <c r="CC102" s="24180"/>
      <c r="CD102" s="24180"/>
      <c r="CE102" s="24180"/>
      <c r="CF102" s="24180"/>
      <c r="CG102" s="24180"/>
      <c r="CH102" s="24180"/>
      <c r="CI102" s="24181"/>
      <c r="CJ102" s="24179"/>
      <c r="CK102" s="24180"/>
      <c r="CL102" s="24180"/>
      <c r="CM102" s="24180"/>
      <c r="CN102" s="24180"/>
      <c r="CO102" s="24180"/>
      <c r="CP102" s="24180"/>
      <c r="CQ102" s="24180"/>
      <c r="CR102" s="24180"/>
      <c r="CS102" s="24180"/>
      <c r="CT102" s="24181"/>
      <c r="CU102" s="24179"/>
      <c r="CV102" s="24180"/>
      <c r="CW102" s="24180"/>
      <c r="CX102" s="24180"/>
      <c r="CY102" s="24180"/>
      <c r="CZ102" s="24180"/>
      <c r="DA102" s="24180"/>
      <c r="DB102" s="24180"/>
      <c r="DC102" s="24180"/>
      <c r="DD102" s="24180"/>
      <c r="DE102" s="24181"/>
      <c r="DF102" s="24179"/>
      <c r="DG102" s="24180"/>
      <c r="DH102" s="24180"/>
      <c r="DI102" s="24180"/>
      <c r="DJ102" s="24180"/>
      <c r="DK102" s="24180"/>
      <c r="DL102" s="24180"/>
      <c r="DM102" s="24180"/>
      <c r="DN102" s="24180"/>
      <c r="DO102" s="24180"/>
      <c r="DP102" s="24181"/>
      <c r="DQ102" s="24179"/>
      <c r="DR102" s="24180"/>
      <c r="DS102" s="24180"/>
      <c r="DT102" s="24180"/>
      <c r="DU102" s="24180"/>
      <c r="DV102" s="24180"/>
      <c r="DW102" s="24180"/>
      <c r="DX102" s="24180"/>
      <c r="DY102" s="24180"/>
      <c r="DZ102" s="24180"/>
      <c r="EA102" s="24181"/>
      <c r="EB102" s="24179"/>
      <c r="EC102" s="24180"/>
      <c r="ED102" s="24180"/>
      <c r="EE102" s="24180"/>
      <c r="EF102" s="24180"/>
      <c r="EG102" s="24180"/>
      <c r="EH102" s="24180"/>
      <c r="EI102" s="24180"/>
      <c r="EJ102" s="24180"/>
      <c r="EK102" s="24180"/>
      <c r="EL102" s="24181"/>
      <c r="EM102" s="24179"/>
      <c r="EN102" s="24180"/>
      <c r="EO102" s="24180"/>
      <c r="EP102" s="24180"/>
      <c r="EQ102" s="24180"/>
      <c r="ER102" s="24180"/>
      <c r="ES102" s="24180"/>
      <c r="ET102" s="24180"/>
      <c r="EU102" s="24180"/>
      <c r="EV102" s="24180"/>
      <c r="EW102" s="24181"/>
      <c r="EX102" s="24076"/>
      <c r="EY102" s="24077"/>
      <c r="EZ102" s="24180"/>
      <c r="FA102" s="24180"/>
      <c r="FB102" s="24077"/>
      <c r="FC102" s="24180"/>
      <c r="FD102" s="24180"/>
      <c r="FE102" s="24180"/>
      <c r="FF102" s="24180"/>
      <c r="FG102" s="24180"/>
      <c r="FH102" s="24181"/>
      <c r="FI102" s="24076"/>
      <c r="FJ102" s="24077"/>
      <c r="FK102" s="24180"/>
      <c r="FL102" s="24180"/>
      <c r="FM102" s="24077"/>
      <c r="FN102" s="24180"/>
      <c r="FO102" s="24180"/>
      <c r="FP102" s="24077"/>
      <c r="FQ102" s="24077"/>
      <c r="FR102" s="24077"/>
      <c r="FS102" s="24181"/>
      <c r="FT102" s="24078"/>
      <c r="FU102" s="1233" t="s">
        <v>711</v>
      </c>
      <c r="FV102" s="1568"/>
      <c r="FW102" s="1550"/>
      <c r="FX102" s="1550" t="str">
        <f t="shared" si="1"/>
        <v>Группа потребителей</v>
      </c>
      <c r="FY102" s="1550"/>
      <c r="FZ102" s="1550"/>
      <c r="GA102" s="1561">
        <v>0</v>
      </c>
    </row>
    <row r="103" spans="1:183" s="1747" customFormat="1" ht="23.25" customHeight="1">
      <c r="A103" s="1289"/>
      <c r="B103" s="1289"/>
      <c r="C103" s="1289"/>
      <c r="D103" s="1289"/>
      <c r="E103" s="24089"/>
      <c r="F103" s="24089"/>
      <c r="G103" s="24089" t="s">
        <v>109</v>
      </c>
      <c r="H103" s="24089"/>
      <c r="I103" s="24091"/>
      <c r="J103" s="24091"/>
      <c r="K103" s="24090" t="str">
        <f>J102&amp;".1"</f>
        <v>1.1.6.1.1.1</v>
      </c>
      <c r="L103" s="1295"/>
      <c r="M103" s="1674"/>
      <c r="N103" s="1674"/>
      <c r="O103" s="1674"/>
      <c r="P103" s="24092"/>
      <c r="Q103" s="24092"/>
      <c r="R103" s="293">
        <v>1</v>
      </c>
      <c r="S103" s="1976" t="str">
        <f>$K103</f>
        <v>1.1.6.1.1.1</v>
      </c>
      <c r="T103" s="1363"/>
      <c r="U103" s="236"/>
      <c r="V103" s="1286"/>
      <c r="W103" s="1286"/>
      <c r="X103" s="1286"/>
      <c r="Y103" s="1286"/>
      <c r="Z103" s="1286"/>
      <c r="AA103" s="1286"/>
      <c r="AB103" s="1286"/>
      <c r="AC103" s="24086"/>
      <c r="AD103" s="24085" t="s">
        <v>59</v>
      </c>
      <c r="AE103" s="24086"/>
      <c r="AF103" s="24085" t="s">
        <v>59</v>
      </c>
      <c r="AG103" s="687">
        <v>312.83999999999997</v>
      </c>
      <c r="AH103" s="687">
        <v>72.42</v>
      </c>
      <c r="AI103" s="687"/>
      <c r="AJ103" s="687"/>
      <c r="AK103" s="687">
        <v>3629.54</v>
      </c>
      <c r="AL103" s="687"/>
      <c r="AM103" s="687"/>
      <c r="AN103" s="24093">
        <v>45987.423958333333</v>
      </c>
      <c r="AO103" s="23957" t="s">
        <v>59</v>
      </c>
      <c r="AP103" s="24095">
        <v>46022.424050925925</v>
      </c>
      <c r="AQ103" s="23957" t="s">
        <v>59</v>
      </c>
      <c r="AR103" s="6310">
        <v>310.56</v>
      </c>
      <c r="AS103" s="6310">
        <v>70.14</v>
      </c>
      <c r="AT103" s="6310"/>
      <c r="AU103" s="6310"/>
      <c r="AV103" s="6310">
        <f>AK103</f>
        <v>3629.54</v>
      </c>
      <c r="AW103" s="6310"/>
      <c r="AX103" s="6310"/>
      <c r="AY103" s="24185">
        <v>46023.613611111112</v>
      </c>
      <c r="AZ103" s="24205" t="s">
        <v>59</v>
      </c>
      <c r="BA103" s="24207">
        <v>46295.613692129627</v>
      </c>
      <c r="BB103" s="24205" t="s">
        <v>59</v>
      </c>
      <c r="BC103" s="6310">
        <v>355.27</v>
      </c>
      <c r="BD103" s="6310">
        <v>78.55</v>
      </c>
      <c r="BE103" s="6310"/>
      <c r="BF103" s="6310"/>
      <c r="BG103" s="687">
        <v>4177.4799999999996</v>
      </c>
      <c r="BH103" s="6310"/>
      <c r="BI103" s="6310"/>
      <c r="BJ103" s="24185">
        <v>46296.613796296297</v>
      </c>
      <c r="BK103" s="24205" t="s">
        <v>59</v>
      </c>
      <c r="BL103" s="24207">
        <v>46387.613842592589</v>
      </c>
      <c r="BM103" s="24205" t="s">
        <v>6</v>
      </c>
      <c r="BN103" s="1286"/>
      <c r="BO103" s="1286"/>
      <c r="BP103" s="6354"/>
      <c r="BQ103" s="6354"/>
      <c r="BR103" s="1286"/>
      <c r="BS103" s="6354"/>
      <c r="BT103" s="6354"/>
      <c r="BU103" s="24210"/>
      <c r="BV103" s="24208" t="s">
        <v>59</v>
      </c>
      <c r="BW103" s="24210"/>
      <c r="BX103" s="24208" t="s">
        <v>59</v>
      </c>
      <c r="BY103" s="6354"/>
      <c r="BZ103" s="6354"/>
      <c r="CA103" s="6354"/>
      <c r="CB103" s="6354"/>
      <c r="CC103" s="6354"/>
      <c r="CD103" s="6354"/>
      <c r="CE103" s="6354"/>
      <c r="CF103" s="24210"/>
      <c r="CG103" s="24208" t="s">
        <v>59</v>
      </c>
      <c r="CH103" s="24210"/>
      <c r="CI103" s="24208" t="s">
        <v>59</v>
      </c>
      <c r="CJ103" s="6354"/>
      <c r="CK103" s="6354"/>
      <c r="CL103" s="6354"/>
      <c r="CM103" s="6354"/>
      <c r="CN103" s="6354"/>
      <c r="CO103" s="6354"/>
      <c r="CP103" s="6354"/>
      <c r="CQ103" s="24210"/>
      <c r="CR103" s="24208" t="s">
        <v>59</v>
      </c>
      <c r="CS103" s="24210"/>
      <c r="CT103" s="24208" t="s">
        <v>59</v>
      </c>
      <c r="CU103" s="6354"/>
      <c r="CV103" s="6354"/>
      <c r="CW103" s="6354"/>
      <c r="CX103" s="6354"/>
      <c r="CY103" s="6354"/>
      <c r="CZ103" s="6354"/>
      <c r="DA103" s="6354"/>
      <c r="DB103" s="24210"/>
      <c r="DC103" s="24208" t="s">
        <v>59</v>
      </c>
      <c r="DD103" s="24210"/>
      <c r="DE103" s="24208" t="s">
        <v>59</v>
      </c>
      <c r="DF103" s="6354"/>
      <c r="DG103" s="6354"/>
      <c r="DH103" s="6354"/>
      <c r="DI103" s="6354"/>
      <c r="DJ103" s="6354"/>
      <c r="DK103" s="6354"/>
      <c r="DL103" s="6354"/>
      <c r="DM103" s="24210"/>
      <c r="DN103" s="24208" t="s">
        <v>59</v>
      </c>
      <c r="DO103" s="24210"/>
      <c r="DP103" s="24208" t="s">
        <v>59</v>
      </c>
      <c r="DQ103" s="6354"/>
      <c r="DR103" s="6354"/>
      <c r="DS103" s="6354"/>
      <c r="DT103" s="6354"/>
      <c r="DU103" s="6354"/>
      <c r="DV103" s="6354"/>
      <c r="DW103" s="6354"/>
      <c r="DX103" s="24210"/>
      <c r="DY103" s="24208" t="s">
        <v>59</v>
      </c>
      <c r="DZ103" s="24210"/>
      <c r="EA103" s="24208" t="s">
        <v>59</v>
      </c>
      <c r="EB103" s="6354"/>
      <c r="EC103" s="6354"/>
      <c r="ED103" s="6354"/>
      <c r="EE103" s="6354"/>
      <c r="EF103" s="6354"/>
      <c r="EG103" s="6354"/>
      <c r="EH103" s="6354"/>
      <c r="EI103" s="24210"/>
      <c r="EJ103" s="24208" t="s">
        <v>59</v>
      </c>
      <c r="EK103" s="24210"/>
      <c r="EL103" s="24208" t="s">
        <v>59</v>
      </c>
      <c r="EM103" s="1286"/>
      <c r="EN103" s="1286"/>
      <c r="EO103" s="6354"/>
      <c r="EP103" s="6354"/>
      <c r="EQ103" s="1286"/>
      <c r="ER103" s="6354"/>
      <c r="ES103" s="6354"/>
      <c r="ET103" s="24210"/>
      <c r="EU103" s="24208" t="s">
        <v>59</v>
      </c>
      <c r="EV103" s="24210"/>
      <c r="EW103" s="24208" t="s">
        <v>59</v>
      </c>
      <c r="EX103" s="1286"/>
      <c r="EY103" s="1286"/>
      <c r="EZ103" s="6354"/>
      <c r="FA103" s="6354"/>
      <c r="FB103" s="1286"/>
      <c r="FC103" s="6354"/>
      <c r="FD103" s="6354"/>
      <c r="FE103" s="24210"/>
      <c r="FF103" s="24208" t="s">
        <v>59</v>
      </c>
      <c r="FG103" s="24210"/>
      <c r="FH103" s="24208" t="s">
        <v>59</v>
      </c>
      <c r="FI103" s="1286"/>
      <c r="FJ103" s="1286"/>
      <c r="FK103" s="1286"/>
      <c r="FL103" s="1286"/>
      <c r="FM103" s="1286"/>
      <c r="FN103" s="1286"/>
      <c r="FO103" s="1286"/>
      <c r="FP103" s="24086"/>
      <c r="FQ103" s="24085" t="s">
        <v>59</v>
      </c>
      <c r="FR103" s="24086"/>
      <c r="FS103" s="24085" t="s">
        <v>59</v>
      </c>
      <c r="FT103" s="1364"/>
      <c r="FU10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03" s="1568" t="e">
        <f ca="1">STRCHECKDATE(V104:FT104)</f>
        <v>#NAME?</v>
      </c>
      <c r="FW103" s="1550"/>
      <c r="FX103" s="1550" t="str">
        <f t="shared" si="1"/>
        <v/>
      </c>
      <c r="FY103" s="1550"/>
      <c r="FZ103" s="1550"/>
      <c r="GA103" s="1561">
        <v>0</v>
      </c>
    </row>
    <row r="104" spans="1:183" s="1747" customFormat="1" ht="14.25" customHeight="1">
      <c r="A104" s="1289"/>
      <c r="B104" s="1289"/>
      <c r="C104" s="1289"/>
      <c r="D104" s="1289"/>
      <c r="E104" s="24089"/>
      <c r="F104" s="24089"/>
      <c r="G104" s="24089" t="s">
        <v>109</v>
      </c>
      <c r="H104" s="24089"/>
      <c r="I104" s="24091"/>
      <c r="J104" s="24091"/>
      <c r="K104" s="24090"/>
      <c r="L104" s="1295"/>
      <c r="M104" s="1674"/>
      <c r="N104" s="1674"/>
      <c r="O104" s="1674"/>
      <c r="P104" s="24092"/>
      <c r="Q104" s="24092"/>
      <c r="R104" s="293"/>
      <c r="S104" s="1982"/>
      <c r="T104" s="236"/>
      <c r="U104" s="236"/>
      <c r="V104" s="1286"/>
      <c r="W104" s="1286"/>
      <c r="X104" s="1286"/>
      <c r="Y104" s="1286"/>
      <c r="Z104" s="1286"/>
      <c r="AA104" s="1286"/>
      <c r="AB104" s="1286"/>
      <c r="AC104" s="24085"/>
      <c r="AD104" s="24085"/>
      <c r="AE104" s="24085"/>
      <c r="AF104" s="24085"/>
      <c r="AG104" s="261"/>
      <c r="AH104" s="261"/>
      <c r="AI104" s="261"/>
      <c r="AJ104" s="261"/>
      <c r="AK104" s="261"/>
      <c r="AL104" s="261"/>
      <c r="AM104" s="261"/>
      <c r="AN104" s="24094"/>
      <c r="AO104" s="23957"/>
      <c r="AP104" s="24096"/>
      <c r="AQ104" s="23957"/>
      <c r="AR104" s="6311"/>
      <c r="AS104" s="6311"/>
      <c r="AT104" s="6311"/>
      <c r="AU104" s="6311"/>
      <c r="AV104" s="6311"/>
      <c r="AW104" s="6311"/>
      <c r="AX104" s="6311"/>
      <c r="AY104" s="24186"/>
      <c r="AZ104" s="24205"/>
      <c r="BA104" s="24209"/>
      <c r="BB104" s="24205"/>
      <c r="BC104" s="6311"/>
      <c r="BD104" s="6311"/>
      <c r="BE104" s="6311"/>
      <c r="BF104" s="6311"/>
      <c r="BG104" s="261"/>
      <c r="BH104" s="6311"/>
      <c r="BI104" s="6311"/>
      <c r="BJ104" s="24186"/>
      <c r="BK104" s="24205"/>
      <c r="BL104" s="24209"/>
      <c r="BM104" s="24205"/>
      <c r="BN104" s="1286"/>
      <c r="BO104" s="1286"/>
      <c r="BP104" s="6354"/>
      <c r="BQ104" s="6354"/>
      <c r="BR104" s="1286"/>
      <c r="BS104" s="6354"/>
      <c r="BT104" s="6354"/>
      <c r="BU104" s="24208"/>
      <c r="BV104" s="24208"/>
      <c r="BW104" s="24208"/>
      <c r="BX104" s="24208"/>
      <c r="BY104" s="6354"/>
      <c r="BZ104" s="6354"/>
      <c r="CA104" s="6354"/>
      <c r="CB104" s="6354"/>
      <c r="CC104" s="6354"/>
      <c r="CD104" s="6354"/>
      <c r="CE104" s="6354"/>
      <c r="CF104" s="24208"/>
      <c r="CG104" s="24208"/>
      <c r="CH104" s="24208"/>
      <c r="CI104" s="24208"/>
      <c r="CJ104" s="6354"/>
      <c r="CK104" s="6354"/>
      <c r="CL104" s="6354"/>
      <c r="CM104" s="6354"/>
      <c r="CN104" s="6354"/>
      <c r="CO104" s="6354"/>
      <c r="CP104" s="6354"/>
      <c r="CQ104" s="24208"/>
      <c r="CR104" s="24208"/>
      <c r="CS104" s="24208"/>
      <c r="CT104" s="24208"/>
      <c r="CU104" s="6354"/>
      <c r="CV104" s="6354"/>
      <c r="CW104" s="6354"/>
      <c r="CX104" s="6354"/>
      <c r="CY104" s="6354"/>
      <c r="CZ104" s="6354"/>
      <c r="DA104" s="6354"/>
      <c r="DB104" s="24208"/>
      <c r="DC104" s="24208"/>
      <c r="DD104" s="24208"/>
      <c r="DE104" s="24208"/>
      <c r="DF104" s="6354"/>
      <c r="DG104" s="6354"/>
      <c r="DH104" s="6354"/>
      <c r="DI104" s="6354"/>
      <c r="DJ104" s="6354"/>
      <c r="DK104" s="6354"/>
      <c r="DL104" s="6354"/>
      <c r="DM104" s="24208"/>
      <c r="DN104" s="24208"/>
      <c r="DO104" s="24208"/>
      <c r="DP104" s="24208"/>
      <c r="DQ104" s="6354"/>
      <c r="DR104" s="6354"/>
      <c r="DS104" s="6354"/>
      <c r="DT104" s="6354"/>
      <c r="DU104" s="6354"/>
      <c r="DV104" s="6354"/>
      <c r="DW104" s="6354"/>
      <c r="DX104" s="24208"/>
      <c r="DY104" s="24208"/>
      <c r="DZ104" s="24208"/>
      <c r="EA104" s="24208"/>
      <c r="EB104" s="6354"/>
      <c r="EC104" s="6354"/>
      <c r="ED104" s="6354"/>
      <c r="EE104" s="6354"/>
      <c r="EF104" s="6354"/>
      <c r="EG104" s="6354"/>
      <c r="EH104" s="6354"/>
      <c r="EI104" s="24208"/>
      <c r="EJ104" s="24208"/>
      <c r="EK104" s="24208"/>
      <c r="EL104" s="24208"/>
      <c r="EM104" s="1286"/>
      <c r="EN104" s="1286"/>
      <c r="EO104" s="6354"/>
      <c r="EP104" s="6354"/>
      <c r="EQ104" s="1286"/>
      <c r="ER104" s="6354"/>
      <c r="ES104" s="6354"/>
      <c r="ET104" s="24208"/>
      <c r="EU104" s="24208"/>
      <c r="EV104" s="24208"/>
      <c r="EW104" s="24208"/>
      <c r="EX104" s="1286"/>
      <c r="EY104" s="1286"/>
      <c r="EZ104" s="6354"/>
      <c r="FA104" s="6354"/>
      <c r="FB104" s="1286"/>
      <c r="FC104" s="6354"/>
      <c r="FD104" s="6354"/>
      <c r="FE104" s="24208"/>
      <c r="FF104" s="24208"/>
      <c r="FG104" s="24208"/>
      <c r="FH104" s="24208"/>
      <c r="FI104" s="1286"/>
      <c r="FJ104" s="1286"/>
      <c r="FK104" s="1286"/>
      <c r="FL104" s="1286"/>
      <c r="FM104" s="1286"/>
      <c r="FN104" s="1286"/>
      <c r="FO104" s="1286"/>
      <c r="FP104" s="24085"/>
      <c r="FQ104" s="24085"/>
      <c r="FR104" s="24085"/>
      <c r="FS104" s="24085"/>
      <c r="FT104" s="1365"/>
      <c r="FU104" s="24162"/>
      <c r="FV104" s="1568"/>
      <c r="FW104" s="1550"/>
      <c r="FX104" s="1550" t="str">
        <f t="shared" si="1"/>
        <v/>
      </c>
      <c r="FY104" s="1550"/>
      <c r="FZ104" s="1550"/>
      <c r="GA104" s="1561">
        <v>0</v>
      </c>
    </row>
    <row r="105" spans="1:183" s="1747" customFormat="1" ht="21" customHeight="1">
      <c r="A105" s="1289"/>
      <c r="B105" s="1289"/>
      <c r="C105" s="1289"/>
      <c r="D105" s="1289"/>
      <c r="E105" s="24089"/>
      <c r="F105" s="24089"/>
      <c r="G105" s="24089" t="s">
        <v>109</v>
      </c>
      <c r="H105" s="24089"/>
      <c r="I105" s="24091"/>
      <c r="J105" s="24090"/>
      <c r="K105" s="1289"/>
      <c r="L105" s="1295"/>
      <c r="M105" s="1674"/>
      <c r="N105" s="1674"/>
      <c r="O105" s="1674"/>
      <c r="P105" s="24092"/>
      <c r="Q105" s="24092"/>
      <c r="R105" s="292"/>
      <c r="S105" s="6602"/>
      <c r="T105" s="6603" t="s">
        <v>712</v>
      </c>
      <c r="U105" s="6604"/>
      <c r="V105" s="6605"/>
      <c r="W105" s="6606"/>
      <c r="X105" s="6607"/>
      <c r="Y105" s="6608"/>
      <c r="Z105" s="6609"/>
      <c r="AA105" s="6610"/>
      <c r="AB105" s="6611"/>
      <c r="AC105" s="6612"/>
      <c r="AD105" s="6613"/>
      <c r="AE105" s="6614"/>
      <c r="AF105" s="6615"/>
      <c r="AG105" s="6616"/>
      <c r="AH105" s="6617"/>
      <c r="AI105" s="6618"/>
      <c r="AJ105" s="6619"/>
      <c r="AK105" s="6620"/>
      <c r="AL105" s="6621"/>
      <c r="AM105" s="6622"/>
      <c r="AN105" s="6623"/>
      <c r="AO105" s="6624"/>
      <c r="AP105" s="6625"/>
      <c r="AQ105" s="6626"/>
      <c r="AR105" s="6627"/>
      <c r="AS105" s="6628"/>
      <c r="AT105" s="6629"/>
      <c r="AU105" s="6630"/>
      <c r="AV105" s="6631"/>
      <c r="AW105" s="6632"/>
      <c r="AX105" s="6633"/>
      <c r="AY105" s="6634"/>
      <c r="AZ105" s="6635"/>
      <c r="BA105" s="6636"/>
      <c r="BB105" s="6637"/>
      <c r="BC105" s="6638"/>
      <c r="BD105" s="6639"/>
      <c r="BE105" s="10352"/>
      <c r="BF105" s="10353"/>
      <c r="BG105" s="21840"/>
      <c r="BH105" s="10354"/>
      <c r="BI105" s="10355"/>
      <c r="BJ105" s="10356"/>
      <c r="BK105" s="10357"/>
      <c r="BL105" s="10358"/>
      <c r="BM105" s="10359"/>
      <c r="BN105" s="6640"/>
      <c r="BO105" s="6641"/>
      <c r="BP105" s="10360"/>
      <c r="BQ105" s="10361"/>
      <c r="BR105" s="6642"/>
      <c r="BS105" s="10362"/>
      <c r="BT105" s="10363"/>
      <c r="BU105" s="10364"/>
      <c r="BV105" s="10365"/>
      <c r="BW105" s="10366"/>
      <c r="BX105" s="10367"/>
      <c r="BY105" s="10368"/>
      <c r="BZ105" s="10369"/>
      <c r="CA105" s="10370"/>
      <c r="CB105" s="10371"/>
      <c r="CC105" s="10372"/>
      <c r="CD105" s="10373"/>
      <c r="CE105" s="10374"/>
      <c r="CF105" s="10375"/>
      <c r="CG105" s="10376"/>
      <c r="CH105" s="10377"/>
      <c r="CI105" s="10378"/>
      <c r="CJ105" s="10379"/>
      <c r="CK105" s="10380"/>
      <c r="CL105" s="10381"/>
      <c r="CM105" s="10382"/>
      <c r="CN105" s="10383"/>
      <c r="CO105" s="10384"/>
      <c r="CP105" s="10385"/>
      <c r="CQ105" s="10386"/>
      <c r="CR105" s="10387"/>
      <c r="CS105" s="10388"/>
      <c r="CT105" s="10389"/>
      <c r="CU105" s="10390"/>
      <c r="CV105" s="10391"/>
      <c r="CW105" s="10392"/>
      <c r="CX105" s="10393"/>
      <c r="CY105" s="10394"/>
      <c r="CZ105" s="10395"/>
      <c r="DA105" s="10396"/>
      <c r="DB105" s="10397"/>
      <c r="DC105" s="10398"/>
      <c r="DD105" s="10399"/>
      <c r="DE105" s="10400"/>
      <c r="DF105" s="10401"/>
      <c r="DG105" s="10402"/>
      <c r="DH105" s="10403"/>
      <c r="DI105" s="10404"/>
      <c r="DJ105" s="10405"/>
      <c r="DK105" s="10406"/>
      <c r="DL105" s="10407"/>
      <c r="DM105" s="10408"/>
      <c r="DN105" s="10409"/>
      <c r="DO105" s="10410"/>
      <c r="DP105" s="10411"/>
      <c r="DQ105" s="10412"/>
      <c r="DR105" s="10413"/>
      <c r="DS105" s="10414"/>
      <c r="DT105" s="10415"/>
      <c r="DU105" s="10416"/>
      <c r="DV105" s="10417"/>
      <c r="DW105" s="10418"/>
      <c r="DX105" s="10419"/>
      <c r="DY105" s="10420"/>
      <c r="DZ105" s="10421"/>
      <c r="EA105" s="10422"/>
      <c r="EB105" s="10423"/>
      <c r="EC105" s="10424"/>
      <c r="ED105" s="10425"/>
      <c r="EE105" s="10426"/>
      <c r="EF105" s="10427"/>
      <c r="EG105" s="10428"/>
      <c r="EH105" s="10429"/>
      <c r="EI105" s="10430"/>
      <c r="EJ105" s="10431"/>
      <c r="EK105" s="10432"/>
      <c r="EL105" s="10433"/>
      <c r="EM105" s="21476"/>
      <c r="EN105" s="21477"/>
      <c r="EO105" s="10434"/>
      <c r="EP105" s="10435"/>
      <c r="EQ105" s="21478"/>
      <c r="ER105" s="10436"/>
      <c r="ES105" s="10437"/>
      <c r="ET105" s="10438"/>
      <c r="EU105" s="10439"/>
      <c r="EV105" s="10440"/>
      <c r="EW105" s="10441"/>
      <c r="EX105" s="6643"/>
      <c r="EY105" s="6644"/>
      <c r="EZ105" s="10442"/>
      <c r="FA105" s="10443"/>
      <c r="FB105" s="6645"/>
      <c r="FC105" s="10444"/>
      <c r="FD105" s="10445"/>
      <c r="FE105" s="10446"/>
      <c r="FF105" s="10447"/>
      <c r="FG105" s="10448"/>
      <c r="FH105" s="6646"/>
      <c r="FI105" s="22530"/>
      <c r="FJ105" s="22531"/>
      <c r="FK105" s="23342"/>
      <c r="FL105" s="23343"/>
      <c r="FM105" s="22532"/>
      <c r="FN105" s="23344"/>
      <c r="FO105" s="23345"/>
      <c r="FP105" s="22533"/>
      <c r="FQ105" s="22534"/>
      <c r="FR105" s="22535"/>
      <c r="FS105" s="23346"/>
      <c r="FT105" s="6647"/>
      <c r="FU105" s="1184" t="s">
        <v>713</v>
      </c>
      <c r="FV105" s="1568"/>
      <c r="FW105" s="1550"/>
      <c r="FX105" s="1550" t="str">
        <f t="shared" si="1"/>
        <v>Добавить значение признака дифференциации</v>
      </c>
      <c r="FY105" s="1550"/>
      <c r="FZ105" s="1550"/>
      <c r="GA105" s="1561">
        <v>0</v>
      </c>
    </row>
    <row r="106" spans="1:183" s="1747" customFormat="1" ht="23.25" customHeight="1">
      <c r="A106" s="1289"/>
      <c r="B106" s="1289"/>
      <c r="C106" s="1289"/>
      <c r="D106" s="1289"/>
      <c r="E106" s="24089"/>
      <c r="F106" s="24089"/>
      <c r="G106" s="24089"/>
      <c r="H106" s="24089"/>
      <c r="I106" s="24091"/>
      <c r="J106" s="24090" t="str">
        <f>I101&amp;".2"</f>
        <v>1.1.6.1.2</v>
      </c>
      <c r="K106" s="1289"/>
      <c r="L106" s="1295" t="s">
        <v>635</v>
      </c>
      <c r="M106" s="1674"/>
      <c r="N106" s="1674"/>
      <c r="O106" s="1674"/>
      <c r="P106" s="24092"/>
      <c r="Q106" s="24206" t="s">
        <v>96</v>
      </c>
      <c r="R106" s="293"/>
      <c r="S106" s="1976" t="str">
        <f>$J106</f>
        <v>1.1.6.1.2</v>
      </c>
      <c r="T106" s="222" t="s">
        <v>636</v>
      </c>
      <c r="U106" s="236"/>
      <c r="V106" s="24076"/>
      <c r="W106" s="24077"/>
      <c r="X106" s="24077"/>
      <c r="Y106" s="24077"/>
      <c r="Z106" s="24077"/>
      <c r="AA106" s="24077"/>
      <c r="AB106" s="24077"/>
      <c r="AC106" s="24077"/>
      <c r="AD106" s="24077"/>
      <c r="AE106" s="24077"/>
      <c r="AF106" s="24078"/>
      <c r="AG106" s="24076" t="s">
        <v>771</v>
      </c>
      <c r="AH106" s="24077"/>
      <c r="AI106" s="24077"/>
      <c r="AJ106" s="24077"/>
      <c r="AK106" s="24077"/>
      <c r="AL106" s="24077"/>
      <c r="AM106" s="24077"/>
      <c r="AN106" s="24077"/>
      <c r="AO106" s="24077"/>
      <c r="AP106" s="24077"/>
      <c r="AQ106" s="24077"/>
      <c r="AR106" s="24179"/>
      <c r="AS106" s="24180"/>
      <c r="AT106" s="24180"/>
      <c r="AU106" s="24180"/>
      <c r="AV106" s="24180"/>
      <c r="AW106" s="24180"/>
      <c r="AX106" s="24180"/>
      <c r="AY106" s="24180"/>
      <c r="AZ106" s="24180"/>
      <c r="BA106" s="24180"/>
      <c r="BB106" s="24181"/>
      <c r="BC106" s="24179"/>
      <c r="BD106" s="24180"/>
      <c r="BE106" s="24180"/>
      <c r="BF106" s="24180"/>
      <c r="BG106" s="24180"/>
      <c r="BH106" s="24180"/>
      <c r="BI106" s="24180"/>
      <c r="BJ106" s="24180"/>
      <c r="BK106" s="24180"/>
      <c r="BL106" s="24180"/>
      <c r="BM106" s="24181"/>
      <c r="BN106" s="24076"/>
      <c r="BO106" s="24077"/>
      <c r="BP106" s="24180"/>
      <c r="BQ106" s="24180"/>
      <c r="BR106" s="24077"/>
      <c r="BS106" s="24180"/>
      <c r="BT106" s="24180"/>
      <c r="BU106" s="24180"/>
      <c r="BV106" s="24180"/>
      <c r="BW106" s="24180"/>
      <c r="BX106" s="24181"/>
      <c r="BY106" s="24179"/>
      <c r="BZ106" s="24180"/>
      <c r="CA106" s="24180"/>
      <c r="CB106" s="24180"/>
      <c r="CC106" s="24180"/>
      <c r="CD106" s="24180"/>
      <c r="CE106" s="24180"/>
      <c r="CF106" s="24180"/>
      <c r="CG106" s="24180"/>
      <c r="CH106" s="24180"/>
      <c r="CI106" s="24181"/>
      <c r="CJ106" s="24179"/>
      <c r="CK106" s="24180"/>
      <c r="CL106" s="24180"/>
      <c r="CM106" s="24180"/>
      <c r="CN106" s="24180"/>
      <c r="CO106" s="24180"/>
      <c r="CP106" s="24180"/>
      <c r="CQ106" s="24180"/>
      <c r="CR106" s="24180"/>
      <c r="CS106" s="24180"/>
      <c r="CT106" s="24181"/>
      <c r="CU106" s="24179"/>
      <c r="CV106" s="24180"/>
      <c r="CW106" s="24180"/>
      <c r="CX106" s="24180"/>
      <c r="CY106" s="24180"/>
      <c r="CZ106" s="24180"/>
      <c r="DA106" s="24180"/>
      <c r="DB106" s="24180"/>
      <c r="DC106" s="24180"/>
      <c r="DD106" s="24180"/>
      <c r="DE106" s="24181"/>
      <c r="DF106" s="24179"/>
      <c r="DG106" s="24180"/>
      <c r="DH106" s="24180"/>
      <c r="DI106" s="24180"/>
      <c r="DJ106" s="24180"/>
      <c r="DK106" s="24180"/>
      <c r="DL106" s="24180"/>
      <c r="DM106" s="24180"/>
      <c r="DN106" s="24180"/>
      <c r="DO106" s="24180"/>
      <c r="DP106" s="24181"/>
      <c r="DQ106" s="24179"/>
      <c r="DR106" s="24180"/>
      <c r="DS106" s="24180"/>
      <c r="DT106" s="24180"/>
      <c r="DU106" s="24180"/>
      <c r="DV106" s="24180"/>
      <c r="DW106" s="24180"/>
      <c r="DX106" s="24180"/>
      <c r="DY106" s="24180"/>
      <c r="DZ106" s="24180"/>
      <c r="EA106" s="24181"/>
      <c r="EB106" s="24179"/>
      <c r="EC106" s="24180"/>
      <c r="ED106" s="24180"/>
      <c r="EE106" s="24180"/>
      <c r="EF106" s="24180"/>
      <c r="EG106" s="24180"/>
      <c r="EH106" s="24180"/>
      <c r="EI106" s="24180"/>
      <c r="EJ106" s="24180"/>
      <c r="EK106" s="24180"/>
      <c r="EL106" s="24181"/>
      <c r="EM106" s="24179"/>
      <c r="EN106" s="24180"/>
      <c r="EO106" s="24180"/>
      <c r="EP106" s="24180"/>
      <c r="EQ106" s="24180"/>
      <c r="ER106" s="24180"/>
      <c r="ES106" s="24180"/>
      <c r="ET106" s="24180"/>
      <c r="EU106" s="24180"/>
      <c r="EV106" s="24180"/>
      <c r="EW106" s="24181"/>
      <c r="EX106" s="24076"/>
      <c r="EY106" s="24077"/>
      <c r="EZ106" s="24180"/>
      <c r="FA106" s="24180"/>
      <c r="FB106" s="24077"/>
      <c r="FC106" s="24180"/>
      <c r="FD106" s="24180"/>
      <c r="FE106" s="24180"/>
      <c r="FF106" s="24180"/>
      <c r="FG106" s="24180"/>
      <c r="FH106" s="24181"/>
      <c r="FI106" s="24076"/>
      <c r="FJ106" s="24077"/>
      <c r="FK106" s="24180"/>
      <c r="FL106" s="24180"/>
      <c r="FM106" s="24077"/>
      <c r="FN106" s="24180"/>
      <c r="FO106" s="24180"/>
      <c r="FP106" s="24077"/>
      <c r="FQ106" s="24077"/>
      <c r="FR106" s="24077"/>
      <c r="FS106" s="24181"/>
      <c r="FT106" s="24078"/>
      <c r="FU106" s="1233" t="s">
        <v>711</v>
      </c>
      <c r="FV106" s="1568"/>
      <c r="FW106" s="1550"/>
      <c r="FX106" s="1550" t="str">
        <f t="shared" ref="FX106:FX169" si="2">IF(T106="","",T106)</f>
        <v>Группа потребителей</v>
      </c>
      <c r="FY106" s="1550"/>
      <c r="FZ106" s="1550"/>
      <c r="GA106" s="1561">
        <v>0</v>
      </c>
    </row>
    <row r="107" spans="1:183" s="1747" customFormat="1" ht="23.25" customHeight="1">
      <c r="A107" s="1289"/>
      <c r="B107" s="1289"/>
      <c r="C107" s="1289"/>
      <c r="D107" s="1289"/>
      <c r="E107" s="24089"/>
      <c r="F107" s="24089"/>
      <c r="G107" s="24089"/>
      <c r="H107" s="24089"/>
      <c r="I107" s="24091"/>
      <c r="J107" s="24091" t="str">
        <f>I101&amp;".1"</f>
        <v>1.1.6.1.1</v>
      </c>
      <c r="K107" s="24090" t="str">
        <f>J106&amp;".1"</f>
        <v>1.1.6.1.2.1</v>
      </c>
      <c r="L107" s="1295"/>
      <c r="M107" s="1674"/>
      <c r="N107" s="1674"/>
      <c r="O107" s="1674"/>
      <c r="P107" s="24092"/>
      <c r="Q107" s="24092"/>
      <c r="R107" s="293">
        <v>1</v>
      </c>
      <c r="S107" s="1976" t="str">
        <f>$K107</f>
        <v>1.1.6.1.2.1</v>
      </c>
      <c r="T107" s="1363"/>
      <c r="U107" s="236"/>
      <c r="V107" s="1286"/>
      <c r="W107" s="1286"/>
      <c r="X107" s="1286"/>
      <c r="Y107" s="1286"/>
      <c r="Z107" s="1286"/>
      <c r="AA107" s="1286"/>
      <c r="AB107" s="1286"/>
      <c r="AC107" s="24086"/>
      <c r="AD107" s="24085" t="s">
        <v>59</v>
      </c>
      <c r="AE107" s="24086"/>
      <c r="AF107" s="24085" t="s">
        <v>59</v>
      </c>
      <c r="AG107" s="687">
        <v>239.86</v>
      </c>
      <c r="AH107" s="687">
        <v>48.89</v>
      </c>
      <c r="AI107" s="687"/>
      <c r="AJ107" s="687"/>
      <c r="AK107" s="687">
        <v>2735.33</v>
      </c>
      <c r="AL107" s="687"/>
      <c r="AM107" s="687"/>
      <c r="AN107" s="24093">
        <v>45987.424097222225</v>
      </c>
      <c r="AO107" s="23957" t="s">
        <v>59</v>
      </c>
      <c r="AP107" s="24095">
        <v>46022.424166666664</v>
      </c>
      <c r="AQ107" s="23957" t="s">
        <v>59</v>
      </c>
      <c r="AR107" s="6310">
        <v>243.94</v>
      </c>
      <c r="AS107" s="6310">
        <v>49.72</v>
      </c>
      <c r="AT107" s="6310"/>
      <c r="AU107" s="6310"/>
      <c r="AV107" s="6310">
        <v>2810.56</v>
      </c>
      <c r="AW107" s="6310"/>
      <c r="AX107" s="6310"/>
      <c r="AY107" s="24185">
        <v>46023.613657407404</v>
      </c>
      <c r="AZ107" s="24205" t="s">
        <v>59</v>
      </c>
      <c r="BA107" s="24207">
        <v>46295.613738425927</v>
      </c>
      <c r="BB107" s="24205" t="s">
        <v>59</v>
      </c>
      <c r="BC107" s="6310">
        <v>273.20999999999998</v>
      </c>
      <c r="BD107" s="6310">
        <v>55.68</v>
      </c>
      <c r="BE107" s="6310"/>
      <c r="BF107" s="6310"/>
      <c r="BG107" s="687">
        <v>3147.8</v>
      </c>
      <c r="BH107" s="6310"/>
      <c r="BI107" s="6310"/>
      <c r="BJ107" s="24185">
        <v>46296.613900462966</v>
      </c>
      <c r="BK107" s="24205" t="s">
        <v>59</v>
      </c>
      <c r="BL107" s="24207">
        <v>46387.613958333335</v>
      </c>
      <c r="BM107" s="24205" t="s">
        <v>6</v>
      </c>
      <c r="BN107" s="1286"/>
      <c r="BO107" s="1286"/>
      <c r="BP107" s="6354"/>
      <c r="BQ107" s="6354"/>
      <c r="BR107" s="1286"/>
      <c r="BS107" s="6354"/>
      <c r="BT107" s="6354"/>
      <c r="BU107" s="24210"/>
      <c r="BV107" s="24208" t="s">
        <v>59</v>
      </c>
      <c r="BW107" s="24210"/>
      <c r="BX107" s="24208" t="s">
        <v>59</v>
      </c>
      <c r="BY107" s="6354"/>
      <c r="BZ107" s="6354"/>
      <c r="CA107" s="6354"/>
      <c r="CB107" s="6354"/>
      <c r="CC107" s="6354"/>
      <c r="CD107" s="6354"/>
      <c r="CE107" s="6354"/>
      <c r="CF107" s="24210"/>
      <c r="CG107" s="24208" t="s">
        <v>59</v>
      </c>
      <c r="CH107" s="24210"/>
      <c r="CI107" s="24208" t="s">
        <v>59</v>
      </c>
      <c r="CJ107" s="6354"/>
      <c r="CK107" s="6354"/>
      <c r="CL107" s="6354"/>
      <c r="CM107" s="6354"/>
      <c r="CN107" s="6354"/>
      <c r="CO107" s="6354"/>
      <c r="CP107" s="6354"/>
      <c r="CQ107" s="24210"/>
      <c r="CR107" s="24208" t="s">
        <v>59</v>
      </c>
      <c r="CS107" s="24210"/>
      <c r="CT107" s="24208" t="s">
        <v>59</v>
      </c>
      <c r="CU107" s="6354"/>
      <c r="CV107" s="6354"/>
      <c r="CW107" s="6354"/>
      <c r="CX107" s="6354"/>
      <c r="CY107" s="6354"/>
      <c r="CZ107" s="6354"/>
      <c r="DA107" s="6354"/>
      <c r="DB107" s="24210"/>
      <c r="DC107" s="24208" t="s">
        <v>59</v>
      </c>
      <c r="DD107" s="24210"/>
      <c r="DE107" s="24208" t="s">
        <v>59</v>
      </c>
      <c r="DF107" s="6354"/>
      <c r="DG107" s="6354"/>
      <c r="DH107" s="6354"/>
      <c r="DI107" s="6354"/>
      <c r="DJ107" s="6354"/>
      <c r="DK107" s="6354"/>
      <c r="DL107" s="6354"/>
      <c r="DM107" s="24210"/>
      <c r="DN107" s="24208" t="s">
        <v>59</v>
      </c>
      <c r="DO107" s="24210"/>
      <c r="DP107" s="24208" t="s">
        <v>59</v>
      </c>
      <c r="DQ107" s="6354"/>
      <c r="DR107" s="6354"/>
      <c r="DS107" s="6354"/>
      <c r="DT107" s="6354"/>
      <c r="DU107" s="6354"/>
      <c r="DV107" s="6354"/>
      <c r="DW107" s="6354"/>
      <c r="DX107" s="24210"/>
      <c r="DY107" s="24208" t="s">
        <v>59</v>
      </c>
      <c r="DZ107" s="24210"/>
      <c r="EA107" s="24208" t="s">
        <v>59</v>
      </c>
      <c r="EB107" s="6354"/>
      <c r="EC107" s="6354"/>
      <c r="ED107" s="6354"/>
      <c r="EE107" s="6354"/>
      <c r="EF107" s="6354"/>
      <c r="EG107" s="6354"/>
      <c r="EH107" s="6354"/>
      <c r="EI107" s="24210"/>
      <c r="EJ107" s="24208" t="s">
        <v>59</v>
      </c>
      <c r="EK107" s="24210"/>
      <c r="EL107" s="24208" t="s">
        <v>59</v>
      </c>
      <c r="EM107" s="1286"/>
      <c r="EN107" s="1286"/>
      <c r="EO107" s="6354"/>
      <c r="EP107" s="6354"/>
      <c r="EQ107" s="1286"/>
      <c r="ER107" s="6354"/>
      <c r="ES107" s="6354"/>
      <c r="ET107" s="24210"/>
      <c r="EU107" s="24208" t="s">
        <v>59</v>
      </c>
      <c r="EV107" s="24210"/>
      <c r="EW107" s="24208" t="s">
        <v>59</v>
      </c>
      <c r="EX107" s="1286"/>
      <c r="EY107" s="1286"/>
      <c r="EZ107" s="6354"/>
      <c r="FA107" s="6354"/>
      <c r="FB107" s="1286"/>
      <c r="FC107" s="6354"/>
      <c r="FD107" s="6354"/>
      <c r="FE107" s="24210"/>
      <c r="FF107" s="24208" t="s">
        <v>59</v>
      </c>
      <c r="FG107" s="24210"/>
      <c r="FH107" s="24208" t="s">
        <v>59</v>
      </c>
      <c r="FI107" s="1286"/>
      <c r="FJ107" s="1286"/>
      <c r="FK107" s="1286"/>
      <c r="FL107" s="1286"/>
      <c r="FM107" s="1286"/>
      <c r="FN107" s="1286"/>
      <c r="FO107" s="1286"/>
      <c r="FP107" s="24086"/>
      <c r="FQ107" s="24085" t="s">
        <v>59</v>
      </c>
      <c r="FR107" s="24086"/>
      <c r="FS107" s="24085" t="s">
        <v>59</v>
      </c>
      <c r="FT107" s="1364"/>
      <c r="FU10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07" s="1568" t="e">
        <f ca="1">STRCHECKDATE(V108:FT108)</f>
        <v>#NAME?</v>
      </c>
      <c r="FW107" s="1550"/>
      <c r="FX107" s="1550" t="str">
        <f t="shared" si="2"/>
        <v/>
      </c>
      <c r="FY107" s="1550"/>
      <c r="FZ107" s="1550"/>
      <c r="GA107" s="1561">
        <v>0</v>
      </c>
    </row>
    <row r="108" spans="1:183" s="1747" customFormat="1" ht="14.25" customHeight="1">
      <c r="A108" s="1289"/>
      <c r="B108" s="1289"/>
      <c r="C108" s="1289"/>
      <c r="D108" s="1289"/>
      <c r="E108" s="24089"/>
      <c r="F108" s="24089"/>
      <c r="G108" s="24089"/>
      <c r="H108" s="24089"/>
      <c r="I108" s="24091"/>
      <c r="J108" s="24091" t="str">
        <f>I101&amp;".1"</f>
        <v>1.1.6.1.1</v>
      </c>
      <c r="K108" s="24090"/>
      <c r="L108" s="1295"/>
      <c r="M108" s="1674"/>
      <c r="N108" s="1674"/>
      <c r="O108" s="1674"/>
      <c r="P108" s="24092"/>
      <c r="Q108" s="24092"/>
      <c r="R108" s="293"/>
      <c r="S108" s="1982"/>
      <c r="T108" s="236"/>
      <c r="U108" s="236"/>
      <c r="V108" s="1286"/>
      <c r="W108" s="1286"/>
      <c r="X108" s="1286"/>
      <c r="Y108" s="1286"/>
      <c r="Z108" s="1286"/>
      <c r="AA108" s="1286"/>
      <c r="AB108" s="1286"/>
      <c r="AC108" s="24085"/>
      <c r="AD108" s="24085"/>
      <c r="AE108" s="24085"/>
      <c r="AF108" s="24085"/>
      <c r="AG108" s="261"/>
      <c r="AH108" s="261"/>
      <c r="AI108" s="261"/>
      <c r="AJ108" s="261"/>
      <c r="AK108" s="261"/>
      <c r="AL108" s="261"/>
      <c r="AM108" s="261"/>
      <c r="AN108" s="24094"/>
      <c r="AO108" s="23957"/>
      <c r="AP108" s="24096"/>
      <c r="AQ108" s="23957"/>
      <c r="AR108" s="6311"/>
      <c r="AS108" s="6311"/>
      <c r="AT108" s="6311"/>
      <c r="AU108" s="6311"/>
      <c r="AV108" s="6311"/>
      <c r="AW108" s="6311"/>
      <c r="AX108" s="6311"/>
      <c r="AY108" s="24186"/>
      <c r="AZ108" s="24205"/>
      <c r="BA108" s="24209"/>
      <c r="BB108" s="24205"/>
      <c r="BC108" s="6311"/>
      <c r="BD108" s="6311"/>
      <c r="BE108" s="6311"/>
      <c r="BF108" s="6311"/>
      <c r="BG108" s="261"/>
      <c r="BH108" s="6311"/>
      <c r="BI108" s="6311"/>
      <c r="BJ108" s="24186"/>
      <c r="BK108" s="24205"/>
      <c r="BL108" s="24209"/>
      <c r="BM108" s="24205"/>
      <c r="BN108" s="1286"/>
      <c r="BO108" s="1286"/>
      <c r="BP108" s="6354"/>
      <c r="BQ108" s="6354"/>
      <c r="BR108" s="1286"/>
      <c r="BS108" s="6354"/>
      <c r="BT108" s="6354"/>
      <c r="BU108" s="24208"/>
      <c r="BV108" s="24208"/>
      <c r="BW108" s="24208"/>
      <c r="BX108" s="24208"/>
      <c r="BY108" s="6354"/>
      <c r="BZ108" s="6354"/>
      <c r="CA108" s="6354"/>
      <c r="CB108" s="6354"/>
      <c r="CC108" s="6354"/>
      <c r="CD108" s="6354"/>
      <c r="CE108" s="6354"/>
      <c r="CF108" s="24208"/>
      <c r="CG108" s="24208"/>
      <c r="CH108" s="24208"/>
      <c r="CI108" s="24208"/>
      <c r="CJ108" s="6354"/>
      <c r="CK108" s="6354"/>
      <c r="CL108" s="6354"/>
      <c r="CM108" s="6354"/>
      <c r="CN108" s="6354"/>
      <c r="CO108" s="6354"/>
      <c r="CP108" s="6354"/>
      <c r="CQ108" s="24208"/>
      <c r="CR108" s="24208"/>
      <c r="CS108" s="24208"/>
      <c r="CT108" s="24208"/>
      <c r="CU108" s="6354"/>
      <c r="CV108" s="6354"/>
      <c r="CW108" s="6354"/>
      <c r="CX108" s="6354"/>
      <c r="CY108" s="6354"/>
      <c r="CZ108" s="6354"/>
      <c r="DA108" s="6354"/>
      <c r="DB108" s="24208"/>
      <c r="DC108" s="24208"/>
      <c r="DD108" s="24208"/>
      <c r="DE108" s="24208"/>
      <c r="DF108" s="6354"/>
      <c r="DG108" s="6354"/>
      <c r="DH108" s="6354"/>
      <c r="DI108" s="6354"/>
      <c r="DJ108" s="6354"/>
      <c r="DK108" s="6354"/>
      <c r="DL108" s="6354"/>
      <c r="DM108" s="24208"/>
      <c r="DN108" s="24208"/>
      <c r="DO108" s="24208"/>
      <c r="DP108" s="24208"/>
      <c r="DQ108" s="6354"/>
      <c r="DR108" s="6354"/>
      <c r="DS108" s="6354"/>
      <c r="DT108" s="6354"/>
      <c r="DU108" s="6354"/>
      <c r="DV108" s="6354"/>
      <c r="DW108" s="6354"/>
      <c r="DX108" s="24208"/>
      <c r="DY108" s="24208"/>
      <c r="DZ108" s="24208"/>
      <c r="EA108" s="24208"/>
      <c r="EB108" s="6354"/>
      <c r="EC108" s="6354"/>
      <c r="ED108" s="6354"/>
      <c r="EE108" s="6354"/>
      <c r="EF108" s="6354"/>
      <c r="EG108" s="6354"/>
      <c r="EH108" s="6354"/>
      <c r="EI108" s="24208"/>
      <c r="EJ108" s="24208"/>
      <c r="EK108" s="24208"/>
      <c r="EL108" s="24208"/>
      <c r="EM108" s="1286"/>
      <c r="EN108" s="1286"/>
      <c r="EO108" s="6354"/>
      <c r="EP108" s="6354"/>
      <c r="EQ108" s="1286"/>
      <c r="ER108" s="6354"/>
      <c r="ES108" s="6354"/>
      <c r="ET108" s="24208"/>
      <c r="EU108" s="24208"/>
      <c r="EV108" s="24208"/>
      <c r="EW108" s="24208"/>
      <c r="EX108" s="1286"/>
      <c r="EY108" s="1286"/>
      <c r="EZ108" s="6354"/>
      <c r="FA108" s="6354"/>
      <c r="FB108" s="1286"/>
      <c r="FC108" s="6354"/>
      <c r="FD108" s="6354"/>
      <c r="FE108" s="24208"/>
      <c r="FF108" s="24208"/>
      <c r="FG108" s="24208"/>
      <c r="FH108" s="24208"/>
      <c r="FI108" s="1286"/>
      <c r="FJ108" s="1286"/>
      <c r="FK108" s="1286"/>
      <c r="FL108" s="1286"/>
      <c r="FM108" s="1286"/>
      <c r="FN108" s="1286"/>
      <c r="FO108" s="1286"/>
      <c r="FP108" s="24085"/>
      <c r="FQ108" s="24085"/>
      <c r="FR108" s="24085"/>
      <c r="FS108" s="24085"/>
      <c r="FT108" s="1365"/>
      <c r="FU108" s="24162"/>
      <c r="FV108" s="1568"/>
      <c r="FW108" s="1550"/>
      <c r="FX108" s="1550" t="str">
        <f t="shared" si="2"/>
        <v/>
      </c>
      <c r="FY108" s="1550"/>
      <c r="FZ108" s="1550"/>
      <c r="GA108" s="1561">
        <v>0</v>
      </c>
    </row>
    <row r="109" spans="1:183" s="1747" customFormat="1" ht="21" customHeight="1">
      <c r="A109" s="1289"/>
      <c r="B109" s="1289"/>
      <c r="C109" s="1289"/>
      <c r="D109" s="1289"/>
      <c r="E109" s="24089"/>
      <c r="F109" s="24089"/>
      <c r="G109" s="24089"/>
      <c r="H109" s="24089"/>
      <c r="I109" s="24091"/>
      <c r="J109" s="24090" t="str">
        <f>I101&amp;".1"</f>
        <v>1.1.6.1.1</v>
      </c>
      <c r="K109" s="1289"/>
      <c r="L109" s="1295"/>
      <c r="M109" s="1674"/>
      <c r="N109" s="1674"/>
      <c r="O109" s="1674"/>
      <c r="P109" s="24092"/>
      <c r="Q109" s="24092"/>
      <c r="R109" s="292"/>
      <c r="S109" s="6648"/>
      <c r="T109" s="6649" t="s">
        <v>712</v>
      </c>
      <c r="U109" s="6650"/>
      <c r="V109" s="6651"/>
      <c r="W109" s="6652"/>
      <c r="X109" s="6653"/>
      <c r="Y109" s="6654"/>
      <c r="Z109" s="6655"/>
      <c r="AA109" s="6656"/>
      <c r="AB109" s="6657"/>
      <c r="AC109" s="6658"/>
      <c r="AD109" s="6659"/>
      <c r="AE109" s="6660"/>
      <c r="AF109" s="6661"/>
      <c r="AG109" s="6662"/>
      <c r="AH109" s="6663"/>
      <c r="AI109" s="6664"/>
      <c r="AJ109" s="6665"/>
      <c r="AK109" s="6666"/>
      <c r="AL109" s="6667"/>
      <c r="AM109" s="6668"/>
      <c r="AN109" s="6669"/>
      <c r="AO109" s="6670"/>
      <c r="AP109" s="6671"/>
      <c r="AQ109" s="6672"/>
      <c r="AR109" s="6673"/>
      <c r="AS109" s="6674"/>
      <c r="AT109" s="6675"/>
      <c r="AU109" s="6676"/>
      <c r="AV109" s="6677"/>
      <c r="AW109" s="6678"/>
      <c r="AX109" s="6679"/>
      <c r="AY109" s="6680"/>
      <c r="AZ109" s="6681"/>
      <c r="BA109" s="6682"/>
      <c r="BB109" s="6683"/>
      <c r="BC109" s="6684"/>
      <c r="BD109" s="6685"/>
      <c r="BE109" s="10449"/>
      <c r="BF109" s="10450"/>
      <c r="BG109" s="21841"/>
      <c r="BH109" s="10451"/>
      <c r="BI109" s="10452"/>
      <c r="BJ109" s="10453"/>
      <c r="BK109" s="10454"/>
      <c r="BL109" s="10455"/>
      <c r="BM109" s="10456"/>
      <c r="BN109" s="6686"/>
      <c r="BO109" s="6687"/>
      <c r="BP109" s="10457"/>
      <c r="BQ109" s="10458"/>
      <c r="BR109" s="6688"/>
      <c r="BS109" s="10459"/>
      <c r="BT109" s="10460"/>
      <c r="BU109" s="10461"/>
      <c r="BV109" s="10462"/>
      <c r="BW109" s="10463"/>
      <c r="BX109" s="10464"/>
      <c r="BY109" s="10465"/>
      <c r="BZ109" s="10466"/>
      <c r="CA109" s="10467"/>
      <c r="CB109" s="10468"/>
      <c r="CC109" s="10469"/>
      <c r="CD109" s="10470"/>
      <c r="CE109" s="10471"/>
      <c r="CF109" s="10472"/>
      <c r="CG109" s="10473"/>
      <c r="CH109" s="10474"/>
      <c r="CI109" s="10475"/>
      <c r="CJ109" s="10476"/>
      <c r="CK109" s="10477"/>
      <c r="CL109" s="10478"/>
      <c r="CM109" s="10479"/>
      <c r="CN109" s="10480"/>
      <c r="CO109" s="10481"/>
      <c r="CP109" s="10482"/>
      <c r="CQ109" s="10483"/>
      <c r="CR109" s="10484"/>
      <c r="CS109" s="10485"/>
      <c r="CT109" s="10486"/>
      <c r="CU109" s="10487"/>
      <c r="CV109" s="10488"/>
      <c r="CW109" s="10489"/>
      <c r="CX109" s="10490"/>
      <c r="CY109" s="10491"/>
      <c r="CZ109" s="10492"/>
      <c r="DA109" s="10493"/>
      <c r="DB109" s="10494"/>
      <c r="DC109" s="10495"/>
      <c r="DD109" s="10496"/>
      <c r="DE109" s="10497"/>
      <c r="DF109" s="10498"/>
      <c r="DG109" s="10499"/>
      <c r="DH109" s="10500"/>
      <c r="DI109" s="10501"/>
      <c r="DJ109" s="10502"/>
      <c r="DK109" s="10503"/>
      <c r="DL109" s="10504"/>
      <c r="DM109" s="10505"/>
      <c r="DN109" s="10506"/>
      <c r="DO109" s="10507"/>
      <c r="DP109" s="10508"/>
      <c r="DQ109" s="10509"/>
      <c r="DR109" s="10510"/>
      <c r="DS109" s="10511"/>
      <c r="DT109" s="10512"/>
      <c r="DU109" s="10513"/>
      <c r="DV109" s="10514"/>
      <c r="DW109" s="10515"/>
      <c r="DX109" s="10516"/>
      <c r="DY109" s="10517"/>
      <c r="DZ109" s="10518"/>
      <c r="EA109" s="10519"/>
      <c r="EB109" s="10520"/>
      <c r="EC109" s="10521"/>
      <c r="ED109" s="10522"/>
      <c r="EE109" s="10523"/>
      <c r="EF109" s="10524"/>
      <c r="EG109" s="10525"/>
      <c r="EH109" s="10526"/>
      <c r="EI109" s="10527"/>
      <c r="EJ109" s="10528"/>
      <c r="EK109" s="10529"/>
      <c r="EL109" s="10530"/>
      <c r="EM109" s="21479"/>
      <c r="EN109" s="21480"/>
      <c r="EO109" s="10531"/>
      <c r="EP109" s="10532"/>
      <c r="EQ109" s="21481"/>
      <c r="ER109" s="10533"/>
      <c r="ES109" s="10534"/>
      <c r="ET109" s="10535"/>
      <c r="EU109" s="10536"/>
      <c r="EV109" s="10537"/>
      <c r="EW109" s="10538"/>
      <c r="EX109" s="6689"/>
      <c r="EY109" s="6690"/>
      <c r="EZ109" s="10539"/>
      <c r="FA109" s="10540"/>
      <c r="FB109" s="6691"/>
      <c r="FC109" s="10541"/>
      <c r="FD109" s="10542"/>
      <c r="FE109" s="10543"/>
      <c r="FF109" s="10544"/>
      <c r="FG109" s="10545"/>
      <c r="FH109" s="6692"/>
      <c r="FI109" s="22536"/>
      <c r="FJ109" s="22537"/>
      <c r="FK109" s="23347"/>
      <c r="FL109" s="23348"/>
      <c r="FM109" s="22538"/>
      <c r="FN109" s="23349"/>
      <c r="FO109" s="23350"/>
      <c r="FP109" s="22539"/>
      <c r="FQ109" s="22540"/>
      <c r="FR109" s="22541"/>
      <c r="FS109" s="23351"/>
      <c r="FT109" s="6693"/>
      <c r="FU109" s="1184" t="s">
        <v>713</v>
      </c>
      <c r="FV109" s="1568"/>
      <c r="FW109" s="1550"/>
      <c r="FX109" s="1550" t="str">
        <f t="shared" si="2"/>
        <v>Добавить значение признака дифференциации</v>
      </c>
      <c r="FY109" s="1550"/>
      <c r="FZ109" s="1550"/>
      <c r="GA109" s="1561">
        <v>0</v>
      </c>
    </row>
    <row r="110" spans="1:183" s="1747" customFormat="1" ht="21" customHeight="1">
      <c r="A110" s="1289"/>
      <c r="B110" s="1289"/>
      <c r="C110" s="1289"/>
      <c r="D110" s="1289"/>
      <c r="E110" s="24089"/>
      <c r="F110" s="24089"/>
      <c r="G110" s="24089" t="s">
        <v>109</v>
      </c>
      <c r="H110" s="24089"/>
      <c r="I110" s="24090"/>
      <c r="J110" s="1289"/>
      <c r="K110" s="1289"/>
      <c r="L110" s="1295"/>
      <c r="M110" s="1674"/>
      <c r="N110" s="1674"/>
      <c r="O110" s="1674"/>
      <c r="P110" s="24092"/>
      <c r="Q110" s="1978"/>
      <c r="R110" s="292"/>
      <c r="S110" s="6694"/>
      <c r="T110" s="6695" t="s">
        <v>641</v>
      </c>
      <c r="U110" s="6696"/>
      <c r="V110" s="6697"/>
      <c r="W110" s="6698"/>
      <c r="X110" s="6699"/>
      <c r="Y110" s="6700"/>
      <c r="Z110" s="6701"/>
      <c r="AA110" s="6702"/>
      <c r="AB110" s="6703"/>
      <c r="AC110" s="6704"/>
      <c r="AD110" s="6705"/>
      <c r="AE110" s="6706"/>
      <c r="AF110" s="6707"/>
      <c r="AG110" s="6708"/>
      <c r="AH110" s="6709"/>
      <c r="AI110" s="6710"/>
      <c r="AJ110" s="6711"/>
      <c r="AK110" s="6712"/>
      <c r="AL110" s="6713"/>
      <c r="AM110" s="6714"/>
      <c r="AN110" s="6715"/>
      <c r="AO110" s="6716"/>
      <c r="AP110" s="6717"/>
      <c r="AQ110" s="6718"/>
      <c r="AR110" s="6719"/>
      <c r="AS110" s="6720"/>
      <c r="AT110" s="6721"/>
      <c r="AU110" s="6722"/>
      <c r="AV110" s="6723"/>
      <c r="AW110" s="6724"/>
      <c r="AX110" s="6725"/>
      <c r="AY110" s="6726"/>
      <c r="AZ110" s="6727"/>
      <c r="BA110" s="6728"/>
      <c r="BB110" s="6729"/>
      <c r="BC110" s="6730"/>
      <c r="BD110" s="6731"/>
      <c r="BE110" s="10546"/>
      <c r="BF110" s="10547"/>
      <c r="BG110" s="21842"/>
      <c r="BH110" s="10548"/>
      <c r="BI110" s="10549"/>
      <c r="BJ110" s="10550"/>
      <c r="BK110" s="10551"/>
      <c r="BL110" s="10552"/>
      <c r="BM110" s="10553"/>
      <c r="BN110" s="6732"/>
      <c r="BO110" s="6733"/>
      <c r="BP110" s="10554"/>
      <c r="BQ110" s="10555"/>
      <c r="BR110" s="6734"/>
      <c r="BS110" s="10556"/>
      <c r="BT110" s="10557"/>
      <c r="BU110" s="10558"/>
      <c r="BV110" s="10559"/>
      <c r="BW110" s="10560"/>
      <c r="BX110" s="10561"/>
      <c r="BY110" s="10562"/>
      <c r="BZ110" s="10563"/>
      <c r="CA110" s="10564"/>
      <c r="CB110" s="10565"/>
      <c r="CC110" s="10566"/>
      <c r="CD110" s="10567"/>
      <c r="CE110" s="10568"/>
      <c r="CF110" s="10569"/>
      <c r="CG110" s="10570"/>
      <c r="CH110" s="10571"/>
      <c r="CI110" s="10572"/>
      <c r="CJ110" s="10573"/>
      <c r="CK110" s="10574"/>
      <c r="CL110" s="10575"/>
      <c r="CM110" s="10576"/>
      <c r="CN110" s="10577"/>
      <c r="CO110" s="10578"/>
      <c r="CP110" s="10579"/>
      <c r="CQ110" s="10580"/>
      <c r="CR110" s="10581"/>
      <c r="CS110" s="10582"/>
      <c r="CT110" s="10583"/>
      <c r="CU110" s="10584"/>
      <c r="CV110" s="10585"/>
      <c r="CW110" s="10586"/>
      <c r="CX110" s="10587"/>
      <c r="CY110" s="10588"/>
      <c r="CZ110" s="10589"/>
      <c r="DA110" s="10590"/>
      <c r="DB110" s="10591"/>
      <c r="DC110" s="10592"/>
      <c r="DD110" s="10593"/>
      <c r="DE110" s="10594"/>
      <c r="DF110" s="10595"/>
      <c r="DG110" s="10596"/>
      <c r="DH110" s="10597"/>
      <c r="DI110" s="10598"/>
      <c r="DJ110" s="10599"/>
      <c r="DK110" s="10600"/>
      <c r="DL110" s="10601"/>
      <c r="DM110" s="10602"/>
      <c r="DN110" s="10603"/>
      <c r="DO110" s="10604"/>
      <c r="DP110" s="10605"/>
      <c r="DQ110" s="10606"/>
      <c r="DR110" s="10607"/>
      <c r="DS110" s="10608"/>
      <c r="DT110" s="10609"/>
      <c r="DU110" s="10610"/>
      <c r="DV110" s="10611"/>
      <c r="DW110" s="10612"/>
      <c r="DX110" s="10613"/>
      <c r="DY110" s="10614"/>
      <c r="DZ110" s="10615"/>
      <c r="EA110" s="10616"/>
      <c r="EB110" s="10617"/>
      <c r="EC110" s="10618"/>
      <c r="ED110" s="10619"/>
      <c r="EE110" s="10620"/>
      <c r="EF110" s="10621"/>
      <c r="EG110" s="10622"/>
      <c r="EH110" s="10623"/>
      <c r="EI110" s="10624"/>
      <c r="EJ110" s="10625"/>
      <c r="EK110" s="10626"/>
      <c r="EL110" s="10627"/>
      <c r="EM110" s="21482"/>
      <c r="EN110" s="21483"/>
      <c r="EO110" s="10628"/>
      <c r="EP110" s="10629"/>
      <c r="EQ110" s="21484"/>
      <c r="ER110" s="10630"/>
      <c r="ES110" s="10631"/>
      <c r="ET110" s="10632"/>
      <c r="EU110" s="10633"/>
      <c r="EV110" s="10634"/>
      <c r="EW110" s="10635"/>
      <c r="EX110" s="6735"/>
      <c r="EY110" s="6736"/>
      <c r="EZ110" s="10636"/>
      <c r="FA110" s="10637"/>
      <c r="FB110" s="6737"/>
      <c r="FC110" s="10638"/>
      <c r="FD110" s="10639"/>
      <c r="FE110" s="10640"/>
      <c r="FF110" s="10641"/>
      <c r="FG110" s="10642"/>
      <c r="FH110" s="6738"/>
      <c r="FI110" s="22542"/>
      <c r="FJ110" s="22543"/>
      <c r="FK110" s="23352"/>
      <c r="FL110" s="23353"/>
      <c r="FM110" s="22544"/>
      <c r="FN110" s="23354"/>
      <c r="FO110" s="23355"/>
      <c r="FP110" s="22545"/>
      <c r="FQ110" s="22546"/>
      <c r="FR110" s="22547"/>
      <c r="FS110" s="23356"/>
      <c r="FT110" s="6739"/>
      <c r="FU110" s="6740"/>
      <c r="FV110" s="1568"/>
      <c r="FW110" s="1550"/>
      <c r="FX110" s="1550" t="str">
        <f t="shared" si="2"/>
        <v>Добавить группу потребителей</v>
      </c>
      <c r="FY110" s="1550"/>
      <c r="FZ110" s="1550"/>
      <c r="GA110" s="1561">
        <v>0</v>
      </c>
    </row>
    <row r="111" spans="1:183" s="1747" customFormat="1" ht="21" customHeight="1">
      <c r="A111" s="1289"/>
      <c r="B111" s="1289"/>
      <c r="C111" s="1289"/>
      <c r="D111" s="1289"/>
      <c r="E111" s="24089"/>
      <c r="F111" s="24089"/>
      <c r="G111" s="24089" t="s">
        <v>109</v>
      </c>
      <c r="H111" s="24088"/>
      <c r="I111" s="1289"/>
      <c r="J111" s="1289"/>
      <c r="K111" s="1289"/>
      <c r="L111" s="1295"/>
      <c r="M111" s="1291"/>
      <c r="N111" s="1291"/>
      <c r="O111" s="1292"/>
      <c r="P111" s="1720"/>
      <c r="Q111" s="311"/>
      <c r="R111" s="291"/>
      <c r="S111" s="6741"/>
      <c r="T111" s="6742" t="s">
        <v>714</v>
      </c>
      <c r="U111" s="6743"/>
      <c r="V111" s="6744"/>
      <c r="W111" s="6745"/>
      <c r="X111" s="6746"/>
      <c r="Y111" s="6747"/>
      <c r="Z111" s="6748"/>
      <c r="AA111" s="6749"/>
      <c r="AB111" s="6750"/>
      <c r="AC111" s="6751"/>
      <c r="AD111" s="6752"/>
      <c r="AE111" s="6753"/>
      <c r="AF111" s="6754"/>
      <c r="AG111" s="6755"/>
      <c r="AH111" s="6756"/>
      <c r="AI111" s="6757"/>
      <c r="AJ111" s="6758"/>
      <c r="AK111" s="6759"/>
      <c r="AL111" s="6760"/>
      <c r="AM111" s="6761"/>
      <c r="AN111" s="6762"/>
      <c r="AO111" s="6763"/>
      <c r="AP111" s="6764"/>
      <c r="AQ111" s="6765"/>
      <c r="AR111" s="6766"/>
      <c r="AS111" s="6767"/>
      <c r="AT111" s="6768"/>
      <c r="AU111" s="6769"/>
      <c r="AV111" s="6770"/>
      <c r="AW111" s="6771"/>
      <c r="AX111" s="6772"/>
      <c r="AY111" s="6773"/>
      <c r="AZ111" s="6774"/>
      <c r="BA111" s="6775"/>
      <c r="BB111" s="6776"/>
      <c r="BC111" s="6777"/>
      <c r="BD111" s="6778"/>
      <c r="BE111" s="10643"/>
      <c r="BF111" s="10644"/>
      <c r="BG111" s="21843"/>
      <c r="BH111" s="10645"/>
      <c r="BI111" s="10646"/>
      <c r="BJ111" s="10647"/>
      <c r="BK111" s="10648"/>
      <c r="BL111" s="10649"/>
      <c r="BM111" s="10650"/>
      <c r="BN111" s="6779"/>
      <c r="BO111" s="6780"/>
      <c r="BP111" s="10651"/>
      <c r="BQ111" s="10652"/>
      <c r="BR111" s="6781"/>
      <c r="BS111" s="10653"/>
      <c r="BT111" s="10654"/>
      <c r="BU111" s="10655"/>
      <c r="BV111" s="10656"/>
      <c r="BW111" s="10657"/>
      <c r="BX111" s="10658"/>
      <c r="BY111" s="10659"/>
      <c r="BZ111" s="10660"/>
      <c r="CA111" s="10661"/>
      <c r="CB111" s="10662"/>
      <c r="CC111" s="10663"/>
      <c r="CD111" s="10664"/>
      <c r="CE111" s="10665"/>
      <c r="CF111" s="10666"/>
      <c r="CG111" s="10667"/>
      <c r="CH111" s="10668"/>
      <c r="CI111" s="10669"/>
      <c r="CJ111" s="10670"/>
      <c r="CK111" s="10671"/>
      <c r="CL111" s="10672"/>
      <c r="CM111" s="10673"/>
      <c r="CN111" s="10674"/>
      <c r="CO111" s="10675"/>
      <c r="CP111" s="10676"/>
      <c r="CQ111" s="10677"/>
      <c r="CR111" s="10678"/>
      <c r="CS111" s="10679"/>
      <c r="CT111" s="10680"/>
      <c r="CU111" s="10681"/>
      <c r="CV111" s="10682"/>
      <c r="CW111" s="10683"/>
      <c r="CX111" s="10684"/>
      <c r="CY111" s="10685"/>
      <c r="CZ111" s="10686"/>
      <c r="DA111" s="10687"/>
      <c r="DB111" s="10688"/>
      <c r="DC111" s="10689"/>
      <c r="DD111" s="10690"/>
      <c r="DE111" s="10691"/>
      <c r="DF111" s="10692"/>
      <c r="DG111" s="10693"/>
      <c r="DH111" s="10694"/>
      <c r="DI111" s="10695"/>
      <c r="DJ111" s="10696"/>
      <c r="DK111" s="10697"/>
      <c r="DL111" s="10698"/>
      <c r="DM111" s="10699"/>
      <c r="DN111" s="10700"/>
      <c r="DO111" s="10701"/>
      <c r="DP111" s="10702"/>
      <c r="DQ111" s="10703"/>
      <c r="DR111" s="10704"/>
      <c r="DS111" s="10705"/>
      <c r="DT111" s="10706"/>
      <c r="DU111" s="10707"/>
      <c r="DV111" s="10708"/>
      <c r="DW111" s="10709"/>
      <c r="DX111" s="10710"/>
      <c r="DY111" s="10711"/>
      <c r="DZ111" s="10712"/>
      <c r="EA111" s="10713"/>
      <c r="EB111" s="10714"/>
      <c r="EC111" s="10715"/>
      <c r="ED111" s="10716"/>
      <c r="EE111" s="10717"/>
      <c r="EF111" s="10718"/>
      <c r="EG111" s="10719"/>
      <c r="EH111" s="10720"/>
      <c r="EI111" s="10721"/>
      <c r="EJ111" s="10722"/>
      <c r="EK111" s="10723"/>
      <c r="EL111" s="10724"/>
      <c r="EM111" s="21485"/>
      <c r="EN111" s="21486"/>
      <c r="EO111" s="10725"/>
      <c r="EP111" s="10726"/>
      <c r="EQ111" s="21487"/>
      <c r="ER111" s="10727"/>
      <c r="ES111" s="10728"/>
      <c r="ET111" s="10729"/>
      <c r="EU111" s="10730"/>
      <c r="EV111" s="10731"/>
      <c r="EW111" s="10732"/>
      <c r="EX111" s="6782"/>
      <c r="EY111" s="6783"/>
      <c r="EZ111" s="10733"/>
      <c r="FA111" s="10734"/>
      <c r="FB111" s="6784"/>
      <c r="FC111" s="10735"/>
      <c r="FD111" s="10736"/>
      <c r="FE111" s="10737"/>
      <c r="FF111" s="10738"/>
      <c r="FG111" s="10739"/>
      <c r="FH111" s="6785"/>
      <c r="FI111" s="22548"/>
      <c r="FJ111" s="22549"/>
      <c r="FK111" s="23357"/>
      <c r="FL111" s="23358"/>
      <c r="FM111" s="22550"/>
      <c r="FN111" s="23359"/>
      <c r="FO111" s="23360"/>
      <c r="FP111" s="22551"/>
      <c r="FQ111" s="22552"/>
      <c r="FR111" s="22553"/>
      <c r="FS111" s="23361"/>
      <c r="FT111" s="6786"/>
      <c r="FU111" s="6787"/>
      <c r="FV111" s="1568"/>
      <c r="FW111" s="1550"/>
      <c r="FX111" s="1550" t="str">
        <f t="shared" si="2"/>
        <v>Добавить наименование признака дифференциации</v>
      </c>
      <c r="FY111" s="1550"/>
      <c r="FZ111" s="1550"/>
      <c r="GA111" s="1561">
        <v>0</v>
      </c>
    </row>
    <row r="112" spans="1:183" s="1568" customFormat="1" ht="0" hidden="1" customHeight="1">
      <c r="A112" s="1269" t="s">
        <v>352</v>
      </c>
      <c r="B112" s="1269" t="s">
        <v>353</v>
      </c>
      <c r="C112" s="1240"/>
      <c r="D112" s="1240"/>
      <c r="E112" s="24089"/>
      <c r="F112" s="24088"/>
      <c r="G112" s="1240"/>
      <c r="H112" s="1240"/>
      <c r="I112" s="1240"/>
      <c r="J112" s="1240"/>
      <c r="K112" s="1240"/>
      <c r="L112" s="1420"/>
      <c r="M112" s="1247"/>
      <c r="N112" s="1247"/>
      <c r="P112" s="1242"/>
      <c r="Q112" s="1243"/>
      <c r="R112" s="1242"/>
      <c r="S112" s="1248"/>
      <c r="T112" s="1251" t="s">
        <v>370</v>
      </c>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c r="CB112" s="1250"/>
      <c r="CC112" s="1250"/>
      <c r="CD112" s="1250"/>
      <c r="CE112" s="1250"/>
      <c r="CF112" s="1250"/>
      <c r="CG112" s="1250"/>
      <c r="CH112" s="1250"/>
      <c r="CI112" s="1250"/>
      <c r="CJ112" s="1250"/>
      <c r="CK112" s="1250"/>
      <c r="CL112" s="1250"/>
      <c r="CM112" s="1250"/>
      <c r="CN112" s="1250"/>
      <c r="CO112" s="1250"/>
      <c r="CP112" s="1250"/>
      <c r="CQ112" s="1250"/>
      <c r="CR112" s="1250"/>
      <c r="CS112" s="1250"/>
      <c r="CT112" s="1250"/>
      <c r="CU112" s="1250"/>
      <c r="CV112" s="1250"/>
      <c r="CW112" s="1250"/>
      <c r="CX112" s="1250"/>
      <c r="CY112" s="1250"/>
      <c r="CZ112" s="1250"/>
      <c r="DA112" s="1250"/>
      <c r="DB112" s="1250"/>
      <c r="DC112" s="1250"/>
      <c r="DD112" s="1250"/>
      <c r="DE112" s="1250"/>
      <c r="DF112" s="1250"/>
      <c r="DG112" s="1250"/>
      <c r="DH112" s="1250"/>
      <c r="DI112" s="1250"/>
      <c r="DJ112" s="1250"/>
      <c r="DK112" s="1250"/>
      <c r="DL112" s="1250"/>
      <c r="DM112" s="1250"/>
      <c r="DN112" s="1250"/>
      <c r="DO112" s="1250"/>
      <c r="DP112" s="1250"/>
      <c r="DQ112" s="1250"/>
      <c r="DR112" s="1250"/>
      <c r="DS112" s="1250"/>
      <c r="DT112" s="1250"/>
      <c r="DU112" s="1250"/>
      <c r="DV112" s="1250"/>
      <c r="DW112" s="1250"/>
      <c r="DX112" s="1250"/>
      <c r="DY112" s="1250"/>
      <c r="DZ112" s="1250"/>
      <c r="EA112" s="1250"/>
      <c r="EB112" s="1250"/>
      <c r="EC112" s="1250"/>
      <c r="ED112" s="1250"/>
      <c r="EE112" s="1250"/>
      <c r="EF112" s="1250"/>
      <c r="EG112" s="1250"/>
      <c r="EH112" s="1250"/>
      <c r="EI112" s="1250"/>
      <c r="EJ112" s="1250"/>
      <c r="EK112" s="1250"/>
      <c r="EL112" s="1250"/>
      <c r="EM112" s="1250"/>
      <c r="EN112" s="1250"/>
      <c r="EO112" s="1250"/>
      <c r="EP112" s="1250"/>
      <c r="EQ112" s="1250"/>
      <c r="ER112" s="1250"/>
      <c r="ES112" s="1250"/>
      <c r="ET112" s="1250"/>
      <c r="EU112" s="1250"/>
      <c r="EV112" s="1250"/>
      <c r="EW112" s="1250"/>
      <c r="EX112" s="1250"/>
      <c r="EY112" s="1250"/>
      <c r="EZ112" s="1250"/>
      <c r="FA112" s="1250"/>
      <c r="FB112" s="1250"/>
      <c r="FC112" s="1250"/>
      <c r="FD112" s="1250"/>
      <c r="FE112" s="1250"/>
      <c r="FF112" s="1250"/>
      <c r="FG112" s="1250"/>
      <c r="FH112" s="5653"/>
      <c r="FI112" s="1250"/>
      <c r="FJ112" s="1250"/>
      <c r="FK112" s="1250"/>
      <c r="FL112" s="1250"/>
      <c r="FM112" s="1250"/>
      <c r="FN112" s="1250"/>
      <c r="FO112" s="1250"/>
      <c r="FP112" s="1250"/>
      <c r="FQ112" s="1250"/>
      <c r="FR112" s="1250"/>
      <c r="FS112" s="1250"/>
      <c r="FT112" s="1250"/>
      <c r="FU112" s="1250"/>
      <c r="FW112" s="719"/>
      <c r="FX112" s="719" t="str">
        <f t="shared" si="2"/>
        <v>Добавить централизованную систему для дифференциации</v>
      </c>
      <c r="FY112" s="719"/>
      <c r="FZ112" s="719"/>
      <c r="GA112" s="454">
        <v>0</v>
      </c>
    </row>
    <row r="113" spans="1:183" s="1747" customFormat="1" ht="23.25" customHeight="1">
      <c r="A113" s="1289"/>
      <c r="B113" s="1289" t="s">
        <v>372</v>
      </c>
      <c r="C113" s="1289"/>
      <c r="D113" s="1289"/>
      <c r="E113" s="24089"/>
      <c r="F113" s="24088" t="s">
        <v>95</v>
      </c>
      <c r="G113" s="1289"/>
      <c r="H113" s="1289"/>
      <c r="I113" s="1289"/>
      <c r="J113" s="1289"/>
      <c r="K113" s="1289"/>
      <c r="L113" s="1295"/>
      <c r="M113" s="1291"/>
      <c r="N113" s="1291"/>
      <c r="O113" s="1291"/>
      <c r="P113" s="1971"/>
      <c r="Q113" s="288"/>
      <c r="R113" s="289"/>
      <c r="S113" s="1976" t="str">
        <f>INDEX(PT_DIFFERENTIATION_NUM_TER,MATCH(B113,PT_DIFFERENTIATION_TER_ID,0))</f>
        <v>1.2</v>
      </c>
      <c r="T113" s="1448" t="s">
        <v>626</v>
      </c>
      <c r="U113" s="236"/>
      <c r="V113" s="24082"/>
      <c r="W113" s="24083"/>
      <c r="X113" s="24083"/>
      <c r="Y113" s="24083"/>
      <c r="Z113" s="24083"/>
      <c r="AA113" s="24083"/>
      <c r="AB113" s="24083"/>
      <c r="AC113" s="24083"/>
      <c r="AD113" s="24083"/>
      <c r="AE113" s="24083"/>
      <c r="AF113" s="24084"/>
      <c r="AG113" s="24082" t="str">
        <f>INDEX(PT_DIFFERENTIATION_TER,MATCH(B113,PT_DIFFERENTIATION_TER_ID,0))</f>
        <v>Территория 2</v>
      </c>
      <c r="AH113" s="24083"/>
      <c r="AI113" s="24083"/>
      <c r="AJ113" s="24083"/>
      <c r="AK113" s="24083"/>
      <c r="AL113" s="24083"/>
      <c r="AM113" s="24083"/>
      <c r="AN113" s="24083"/>
      <c r="AO113" s="24083"/>
      <c r="AP113" s="24083"/>
      <c r="AQ113" s="24083"/>
      <c r="AR113" s="24173"/>
      <c r="AS113" s="24174"/>
      <c r="AT113" s="24174"/>
      <c r="AU113" s="24174"/>
      <c r="AV113" s="24174"/>
      <c r="AW113" s="24174"/>
      <c r="AX113" s="24174"/>
      <c r="AY113" s="24174"/>
      <c r="AZ113" s="24174"/>
      <c r="BA113" s="24174"/>
      <c r="BB113" s="24175"/>
      <c r="BC113" s="24173"/>
      <c r="BD113" s="24174"/>
      <c r="BE113" s="24174"/>
      <c r="BF113" s="24174"/>
      <c r="BG113" s="24174"/>
      <c r="BH113" s="24174"/>
      <c r="BI113" s="24174"/>
      <c r="BJ113" s="24174"/>
      <c r="BK113" s="24174"/>
      <c r="BL113" s="24174"/>
      <c r="BM113" s="24175"/>
      <c r="BN113" s="24082"/>
      <c r="BO113" s="24083"/>
      <c r="BP113" s="24174"/>
      <c r="BQ113" s="24174"/>
      <c r="BR113" s="24083"/>
      <c r="BS113" s="24174"/>
      <c r="BT113" s="24174"/>
      <c r="BU113" s="24174"/>
      <c r="BV113" s="24174"/>
      <c r="BW113" s="24174"/>
      <c r="BX113" s="24175"/>
      <c r="BY113" s="24173"/>
      <c r="BZ113" s="24174"/>
      <c r="CA113" s="24174"/>
      <c r="CB113" s="24174"/>
      <c r="CC113" s="24174"/>
      <c r="CD113" s="24174"/>
      <c r="CE113" s="24174"/>
      <c r="CF113" s="24174"/>
      <c r="CG113" s="24174"/>
      <c r="CH113" s="24174"/>
      <c r="CI113" s="24175"/>
      <c r="CJ113" s="24173"/>
      <c r="CK113" s="24174"/>
      <c r="CL113" s="24174"/>
      <c r="CM113" s="24174"/>
      <c r="CN113" s="24174"/>
      <c r="CO113" s="24174"/>
      <c r="CP113" s="24174"/>
      <c r="CQ113" s="24174"/>
      <c r="CR113" s="24174"/>
      <c r="CS113" s="24174"/>
      <c r="CT113" s="24175"/>
      <c r="CU113" s="24173"/>
      <c r="CV113" s="24174"/>
      <c r="CW113" s="24174"/>
      <c r="CX113" s="24174"/>
      <c r="CY113" s="24174"/>
      <c r="CZ113" s="24174"/>
      <c r="DA113" s="24174"/>
      <c r="DB113" s="24174"/>
      <c r="DC113" s="24174"/>
      <c r="DD113" s="24174"/>
      <c r="DE113" s="24175"/>
      <c r="DF113" s="24173"/>
      <c r="DG113" s="24174"/>
      <c r="DH113" s="24174"/>
      <c r="DI113" s="24174"/>
      <c r="DJ113" s="24174"/>
      <c r="DK113" s="24174"/>
      <c r="DL113" s="24174"/>
      <c r="DM113" s="24174"/>
      <c r="DN113" s="24174"/>
      <c r="DO113" s="24174"/>
      <c r="DP113" s="24175"/>
      <c r="DQ113" s="24173"/>
      <c r="DR113" s="24174"/>
      <c r="DS113" s="24174"/>
      <c r="DT113" s="24174"/>
      <c r="DU113" s="24174"/>
      <c r="DV113" s="24174"/>
      <c r="DW113" s="24174"/>
      <c r="DX113" s="24174"/>
      <c r="DY113" s="24174"/>
      <c r="DZ113" s="24174"/>
      <c r="EA113" s="24175"/>
      <c r="EB113" s="24173"/>
      <c r="EC113" s="24174"/>
      <c r="ED113" s="24174"/>
      <c r="EE113" s="24174"/>
      <c r="EF113" s="24174"/>
      <c r="EG113" s="24174"/>
      <c r="EH113" s="24174"/>
      <c r="EI113" s="24174"/>
      <c r="EJ113" s="24174"/>
      <c r="EK113" s="24174"/>
      <c r="EL113" s="24175"/>
      <c r="EM113" s="24173"/>
      <c r="EN113" s="24174"/>
      <c r="EO113" s="24174"/>
      <c r="EP113" s="24174"/>
      <c r="EQ113" s="24174"/>
      <c r="ER113" s="24174"/>
      <c r="ES113" s="24174"/>
      <c r="ET113" s="24174"/>
      <c r="EU113" s="24174"/>
      <c r="EV113" s="24174"/>
      <c r="EW113" s="24175"/>
      <c r="EX113" s="24082"/>
      <c r="EY113" s="24083"/>
      <c r="EZ113" s="24174"/>
      <c r="FA113" s="24174"/>
      <c r="FB113" s="24083"/>
      <c r="FC113" s="24174"/>
      <c r="FD113" s="24174"/>
      <c r="FE113" s="24174"/>
      <c r="FF113" s="24174"/>
      <c r="FG113" s="24174"/>
      <c r="FH113" s="24175"/>
      <c r="FI113" s="24082"/>
      <c r="FJ113" s="24083"/>
      <c r="FK113" s="24174"/>
      <c r="FL113" s="24174"/>
      <c r="FM113" s="24083"/>
      <c r="FN113" s="24174"/>
      <c r="FO113" s="24174"/>
      <c r="FP113" s="24083"/>
      <c r="FQ113" s="24083"/>
      <c r="FR113" s="24083"/>
      <c r="FS113" s="24175"/>
      <c r="FT113" s="24084"/>
      <c r="FU113" s="1184" t="s">
        <v>627</v>
      </c>
      <c r="FV113" s="1568"/>
      <c r="FW113" s="1550"/>
      <c r="FX113" s="1550" t="str">
        <f t="shared" si="2"/>
        <v>Территория действия тарифа</v>
      </c>
      <c r="FY113" s="1550"/>
      <c r="FZ113" s="1550"/>
      <c r="GA113" s="1561">
        <v>0</v>
      </c>
    </row>
    <row r="114" spans="1:183" s="1747" customFormat="1" ht="23.25" customHeight="1">
      <c r="A114" s="1289"/>
      <c r="B114" s="1289"/>
      <c r="C114" s="1289" t="s">
        <v>373</v>
      </c>
      <c r="D114" s="1289"/>
      <c r="E114" s="24089"/>
      <c r="F114" s="24089">
        <v>1</v>
      </c>
      <c r="G114" s="24088">
        <v>1</v>
      </c>
      <c r="H114" s="1289"/>
      <c r="I114" s="1289"/>
      <c r="J114" s="1289"/>
      <c r="K114" s="1289"/>
      <c r="L114" s="1295"/>
      <c r="M114" s="1291"/>
      <c r="N114" s="1291"/>
      <c r="O114" s="1291"/>
      <c r="P114" s="290"/>
      <c r="Q114" s="288"/>
      <c r="R114" s="289"/>
      <c r="S114" s="1976" t="str">
        <f>INDEX(PT_DIFFERENTIATION_NUM_CS,MATCH(C114,PT_DIFFERENTIATION_CS_ID,0))</f>
        <v>1.2.1</v>
      </c>
      <c r="T114" s="245" t="s">
        <v>756</v>
      </c>
      <c r="U114" s="236"/>
      <c r="V114" s="24082"/>
      <c r="W114" s="24083"/>
      <c r="X114" s="24083"/>
      <c r="Y114" s="24083"/>
      <c r="Z114" s="24083"/>
      <c r="AA114" s="24083"/>
      <c r="AB114" s="24083"/>
      <c r="AC114" s="24083"/>
      <c r="AD114" s="24083"/>
      <c r="AE114" s="24083"/>
      <c r="AF114" s="24084"/>
      <c r="AG114" s="24082" t="str">
        <f>INDEX(PT_DIFFERENTIATION_CS,MATCH(C114,PT_DIFFERENTIATION_CS_ID,0))</f>
        <v>с. Андрейково Вяземского муниципального округа Смоленской области</v>
      </c>
      <c r="AH114" s="24083"/>
      <c r="AI114" s="24083"/>
      <c r="AJ114" s="24083"/>
      <c r="AK114" s="24083"/>
      <c r="AL114" s="24083"/>
      <c r="AM114" s="24083"/>
      <c r="AN114" s="24083"/>
      <c r="AO114" s="24083"/>
      <c r="AP114" s="24083"/>
      <c r="AQ114" s="24083"/>
      <c r="AR114" s="24173"/>
      <c r="AS114" s="24174"/>
      <c r="AT114" s="24174"/>
      <c r="AU114" s="24174"/>
      <c r="AV114" s="24174"/>
      <c r="AW114" s="24174"/>
      <c r="AX114" s="24174"/>
      <c r="AY114" s="24174"/>
      <c r="AZ114" s="24174"/>
      <c r="BA114" s="24174"/>
      <c r="BB114" s="24175"/>
      <c r="BC114" s="24173"/>
      <c r="BD114" s="24174"/>
      <c r="BE114" s="24174"/>
      <c r="BF114" s="24174"/>
      <c r="BG114" s="24174"/>
      <c r="BH114" s="24174"/>
      <c r="BI114" s="24174"/>
      <c r="BJ114" s="24174"/>
      <c r="BK114" s="24174"/>
      <c r="BL114" s="24174"/>
      <c r="BM114" s="24175"/>
      <c r="BN114" s="24082"/>
      <c r="BO114" s="24083"/>
      <c r="BP114" s="24174"/>
      <c r="BQ114" s="24174"/>
      <c r="BR114" s="24083"/>
      <c r="BS114" s="24174"/>
      <c r="BT114" s="24174"/>
      <c r="BU114" s="24174"/>
      <c r="BV114" s="24174"/>
      <c r="BW114" s="24174"/>
      <c r="BX114" s="24175"/>
      <c r="BY114" s="24173"/>
      <c r="BZ114" s="24174"/>
      <c r="CA114" s="24174"/>
      <c r="CB114" s="24174"/>
      <c r="CC114" s="24174"/>
      <c r="CD114" s="24174"/>
      <c r="CE114" s="24174"/>
      <c r="CF114" s="24174"/>
      <c r="CG114" s="24174"/>
      <c r="CH114" s="24174"/>
      <c r="CI114" s="24175"/>
      <c r="CJ114" s="24173"/>
      <c r="CK114" s="24174"/>
      <c r="CL114" s="24174"/>
      <c r="CM114" s="24174"/>
      <c r="CN114" s="24174"/>
      <c r="CO114" s="24174"/>
      <c r="CP114" s="24174"/>
      <c r="CQ114" s="24174"/>
      <c r="CR114" s="24174"/>
      <c r="CS114" s="24174"/>
      <c r="CT114" s="24175"/>
      <c r="CU114" s="24173"/>
      <c r="CV114" s="24174"/>
      <c r="CW114" s="24174"/>
      <c r="CX114" s="24174"/>
      <c r="CY114" s="24174"/>
      <c r="CZ114" s="24174"/>
      <c r="DA114" s="24174"/>
      <c r="DB114" s="24174"/>
      <c r="DC114" s="24174"/>
      <c r="DD114" s="24174"/>
      <c r="DE114" s="24175"/>
      <c r="DF114" s="24173"/>
      <c r="DG114" s="24174"/>
      <c r="DH114" s="24174"/>
      <c r="DI114" s="24174"/>
      <c r="DJ114" s="24174"/>
      <c r="DK114" s="24174"/>
      <c r="DL114" s="24174"/>
      <c r="DM114" s="24174"/>
      <c r="DN114" s="24174"/>
      <c r="DO114" s="24174"/>
      <c r="DP114" s="24175"/>
      <c r="DQ114" s="24173"/>
      <c r="DR114" s="24174"/>
      <c r="DS114" s="24174"/>
      <c r="DT114" s="24174"/>
      <c r="DU114" s="24174"/>
      <c r="DV114" s="24174"/>
      <c r="DW114" s="24174"/>
      <c r="DX114" s="24174"/>
      <c r="DY114" s="24174"/>
      <c r="DZ114" s="24174"/>
      <c r="EA114" s="24175"/>
      <c r="EB114" s="24173"/>
      <c r="EC114" s="24174"/>
      <c r="ED114" s="24174"/>
      <c r="EE114" s="24174"/>
      <c r="EF114" s="24174"/>
      <c r="EG114" s="24174"/>
      <c r="EH114" s="24174"/>
      <c r="EI114" s="24174"/>
      <c r="EJ114" s="24174"/>
      <c r="EK114" s="24174"/>
      <c r="EL114" s="24175"/>
      <c r="EM114" s="24173"/>
      <c r="EN114" s="24174"/>
      <c r="EO114" s="24174"/>
      <c r="EP114" s="24174"/>
      <c r="EQ114" s="24174"/>
      <c r="ER114" s="24174"/>
      <c r="ES114" s="24174"/>
      <c r="ET114" s="24174"/>
      <c r="EU114" s="24174"/>
      <c r="EV114" s="24174"/>
      <c r="EW114" s="24175"/>
      <c r="EX114" s="24082"/>
      <c r="EY114" s="24083"/>
      <c r="EZ114" s="24174"/>
      <c r="FA114" s="24174"/>
      <c r="FB114" s="24083"/>
      <c r="FC114" s="24174"/>
      <c r="FD114" s="24174"/>
      <c r="FE114" s="24174"/>
      <c r="FF114" s="24174"/>
      <c r="FG114" s="24174"/>
      <c r="FH114" s="24175"/>
      <c r="FI114" s="24082"/>
      <c r="FJ114" s="24083"/>
      <c r="FK114" s="24174"/>
      <c r="FL114" s="24174"/>
      <c r="FM114" s="24083"/>
      <c r="FN114" s="24174"/>
      <c r="FO114" s="24174"/>
      <c r="FP114" s="24083"/>
      <c r="FQ114" s="24083"/>
      <c r="FR114" s="24083"/>
      <c r="FS114" s="24175"/>
      <c r="FT114" s="24084"/>
      <c r="FU114" s="1184" t="s">
        <v>757</v>
      </c>
      <c r="FV114" s="1568"/>
      <c r="FW114" s="1550"/>
      <c r="FX114" s="1550" t="str">
        <f t="shared" si="2"/>
        <v>Наименование централизованной системы горячего водоснабжения</v>
      </c>
      <c r="FY114" s="1550"/>
      <c r="FZ114" s="1550"/>
      <c r="GA114" s="1561">
        <v>0</v>
      </c>
    </row>
    <row r="115" spans="1:183" s="1747" customFormat="1" ht="23.25" customHeight="1">
      <c r="A115" s="1289"/>
      <c r="B115" s="1289"/>
      <c r="C115" s="1289"/>
      <c r="D115" s="1289"/>
      <c r="E115" s="24089"/>
      <c r="F115" s="24089">
        <v>1</v>
      </c>
      <c r="G115" s="24089"/>
      <c r="H115" s="24089"/>
      <c r="I115" s="24090" t="str">
        <f>S114&amp;".1"</f>
        <v>1.2.1.1</v>
      </c>
      <c r="J115" s="1289"/>
      <c r="K115" s="1289"/>
      <c r="L115" s="1295"/>
      <c r="M115" s="1674"/>
      <c r="N115" s="1674"/>
      <c r="O115" s="1674"/>
      <c r="P115" s="24092">
        <v>1</v>
      </c>
      <c r="Q115" s="1978"/>
      <c r="R115" s="292"/>
      <c r="S115" s="1976" t="str">
        <f>$I115</f>
        <v>1.2.1.1</v>
      </c>
      <c r="T115" s="221" t="s">
        <v>709</v>
      </c>
      <c r="U115" s="236"/>
      <c r="V115" s="24156"/>
      <c r="W115" s="24157"/>
      <c r="X115" s="24157"/>
      <c r="Y115" s="24157"/>
      <c r="Z115" s="24157"/>
      <c r="AA115" s="24157"/>
      <c r="AB115" s="24157"/>
      <c r="AC115" s="24157"/>
      <c r="AD115" s="24157"/>
      <c r="AE115" s="24157"/>
      <c r="AF115" s="24158"/>
      <c r="AG115" s="24159"/>
      <c r="AH115" s="24160"/>
      <c r="AI115" s="24160"/>
      <c r="AJ115" s="24160"/>
      <c r="AK115" s="24160"/>
      <c r="AL115" s="24160"/>
      <c r="AM115" s="24160"/>
      <c r="AN115" s="24160"/>
      <c r="AO115" s="24160"/>
      <c r="AP115" s="24160"/>
      <c r="AQ115" s="24160"/>
      <c r="AR115" s="24176"/>
      <c r="AS115" s="24177"/>
      <c r="AT115" s="24177"/>
      <c r="AU115" s="24177"/>
      <c r="AV115" s="24177"/>
      <c r="AW115" s="24177"/>
      <c r="AX115" s="24177"/>
      <c r="AY115" s="24177"/>
      <c r="AZ115" s="24177"/>
      <c r="BA115" s="24177"/>
      <c r="BB115" s="24178"/>
      <c r="BC115" s="24176"/>
      <c r="BD115" s="24177"/>
      <c r="BE115" s="24177"/>
      <c r="BF115" s="24177"/>
      <c r="BG115" s="24177"/>
      <c r="BH115" s="24177"/>
      <c r="BI115" s="24177"/>
      <c r="BJ115" s="24177"/>
      <c r="BK115" s="24177"/>
      <c r="BL115" s="24177"/>
      <c r="BM115" s="24178"/>
      <c r="BN115" s="24156"/>
      <c r="BO115" s="24157"/>
      <c r="BP115" s="24177"/>
      <c r="BQ115" s="24177"/>
      <c r="BR115" s="24157"/>
      <c r="BS115" s="24177"/>
      <c r="BT115" s="24177"/>
      <c r="BU115" s="24177"/>
      <c r="BV115" s="24177"/>
      <c r="BW115" s="24177"/>
      <c r="BX115" s="24178"/>
      <c r="BY115" s="24176"/>
      <c r="BZ115" s="24177"/>
      <c r="CA115" s="24177"/>
      <c r="CB115" s="24177"/>
      <c r="CC115" s="24177"/>
      <c r="CD115" s="24177"/>
      <c r="CE115" s="24177"/>
      <c r="CF115" s="24177"/>
      <c r="CG115" s="24177"/>
      <c r="CH115" s="24177"/>
      <c r="CI115" s="24178"/>
      <c r="CJ115" s="24176"/>
      <c r="CK115" s="24177"/>
      <c r="CL115" s="24177"/>
      <c r="CM115" s="24177"/>
      <c r="CN115" s="24177"/>
      <c r="CO115" s="24177"/>
      <c r="CP115" s="24177"/>
      <c r="CQ115" s="24177"/>
      <c r="CR115" s="24177"/>
      <c r="CS115" s="24177"/>
      <c r="CT115" s="24178"/>
      <c r="CU115" s="24176"/>
      <c r="CV115" s="24177"/>
      <c r="CW115" s="24177"/>
      <c r="CX115" s="24177"/>
      <c r="CY115" s="24177"/>
      <c r="CZ115" s="24177"/>
      <c r="DA115" s="24177"/>
      <c r="DB115" s="24177"/>
      <c r="DC115" s="24177"/>
      <c r="DD115" s="24177"/>
      <c r="DE115" s="24178"/>
      <c r="DF115" s="24176"/>
      <c r="DG115" s="24177"/>
      <c r="DH115" s="24177"/>
      <c r="DI115" s="24177"/>
      <c r="DJ115" s="24177"/>
      <c r="DK115" s="24177"/>
      <c r="DL115" s="24177"/>
      <c r="DM115" s="24177"/>
      <c r="DN115" s="24177"/>
      <c r="DO115" s="24177"/>
      <c r="DP115" s="24178"/>
      <c r="DQ115" s="24176"/>
      <c r="DR115" s="24177"/>
      <c r="DS115" s="24177"/>
      <c r="DT115" s="24177"/>
      <c r="DU115" s="24177"/>
      <c r="DV115" s="24177"/>
      <c r="DW115" s="24177"/>
      <c r="DX115" s="24177"/>
      <c r="DY115" s="24177"/>
      <c r="DZ115" s="24177"/>
      <c r="EA115" s="24178"/>
      <c r="EB115" s="24176"/>
      <c r="EC115" s="24177"/>
      <c r="ED115" s="24177"/>
      <c r="EE115" s="24177"/>
      <c r="EF115" s="24177"/>
      <c r="EG115" s="24177"/>
      <c r="EH115" s="24177"/>
      <c r="EI115" s="24177"/>
      <c r="EJ115" s="24177"/>
      <c r="EK115" s="24177"/>
      <c r="EL115" s="24178"/>
      <c r="EM115" s="24176"/>
      <c r="EN115" s="24177"/>
      <c r="EO115" s="24177"/>
      <c r="EP115" s="24177"/>
      <c r="EQ115" s="24177"/>
      <c r="ER115" s="24177"/>
      <c r="ES115" s="24177"/>
      <c r="ET115" s="24177"/>
      <c r="EU115" s="24177"/>
      <c r="EV115" s="24177"/>
      <c r="EW115" s="24178"/>
      <c r="EX115" s="24156"/>
      <c r="EY115" s="24157"/>
      <c r="EZ115" s="24177"/>
      <c r="FA115" s="24177"/>
      <c r="FB115" s="24157"/>
      <c r="FC115" s="24177"/>
      <c r="FD115" s="24177"/>
      <c r="FE115" s="24177"/>
      <c r="FF115" s="24177"/>
      <c r="FG115" s="24177"/>
      <c r="FH115" s="24178"/>
      <c r="FI115" s="24156"/>
      <c r="FJ115" s="24157"/>
      <c r="FK115" s="24177"/>
      <c r="FL115" s="24177"/>
      <c r="FM115" s="24157"/>
      <c r="FN115" s="24177"/>
      <c r="FO115" s="24177"/>
      <c r="FP115" s="24157"/>
      <c r="FQ115" s="24157"/>
      <c r="FR115" s="24157"/>
      <c r="FS115" s="24178"/>
      <c r="FT115" s="24161"/>
      <c r="FU115" s="1184" t="s">
        <v>710</v>
      </c>
      <c r="FV115" s="1568"/>
      <c r="FW115" s="1550"/>
      <c r="FX115" s="1550" t="str">
        <f t="shared" si="2"/>
        <v>Наименование признака дифференциации</v>
      </c>
      <c r="FY115" s="1550"/>
      <c r="FZ115" s="1550"/>
      <c r="GA115" s="1561">
        <v>0</v>
      </c>
    </row>
    <row r="116" spans="1:183" s="1747" customFormat="1" ht="23.25" customHeight="1">
      <c r="A116" s="1289"/>
      <c r="B116" s="1289"/>
      <c r="C116" s="1289"/>
      <c r="D116" s="1289"/>
      <c r="E116" s="24089"/>
      <c r="F116" s="24089">
        <v>1</v>
      </c>
      <c r="G116" s="24089"/>
      <c r="H116" s="24089"/>
      <c r="I116" s="24091"/>
      <c r="J116" s="24090" t="str">
        <f>I115&amp;".1"</f>
        <v>1.2.1.1.1</v>
      </c>
      <c r="K116" s="1289"/>
      <c r="L116" s="1295" t="s">
        <v>635</v>
      </c>
      <c r="M116" s="1674"/>
      <c r="N116" s="1674"/>
      <c r="O116" s="1674"/>
      <c r="P116" s="24092"/>
      <c r="Q116" s="24092">
        <v>1</v>
      </c>
      <c r="R116" s="293"/>
      <c r="S116" s="1976" t="str">
        <f>$J116</f>
        <v>1.2.1.1.1</v>
      </c>
      <c r="T116" s="222" t="s">
        <v>636</v>
      </c>
      <c r="U116" s="236"/>
      <c r="V116" s="24076"/>
      <c r="W116" s="24077"/>
      <c r="X116" s="24077"/>
      <c r="Y116" s="24077"/>
      <c r="Z116" s="24077"/>
      <c r="AA116" s="24077"/>
      <c r="AB116" s="24077"/>
      <c r="AC116" s="24077"/>
      <c r="AD116" s="24077"/>
      <c r="AE116" s="24077"/>
      <c r="AF116" s="24078"/>
      <c r="AG116" s="24076" t="s">
        <v>769</v>
      </c>
      <c r="AH116" s="24077"/>
      <c r="AI116" s="24077"/>
      <c r="AJ116" s="24077"/>
      <c r="AK116" s="24077"/>
      <c r="AL116" s="24077"/>
      <c r="AM116" s="24077"/>
      <c r="AN116" s="24077"/>
      <c r="AO116" s="24077"/>
      <c r="AP116" s="24077"/>
      <c r="AQ116" s="24077"/>
      <c r="AR116" s="24179"/>
      <c r="AS116" s="24180"/>
      <c r="AT116" s="24180"/>
      <c r="AU116" s="24180"/>
      <c r="AV116" s="24180"/>
      <c r="AW116" s="24180"/>
      <c r="AX116" s="24180"/>
      <c r="AY116" s="24180"/>
      <c r="AZ116" s="24180"/>
      <c r="BA116" s="24180"/>
      <c r="BB116" s="24181"/>
      <c r="BC116" s="24179"/>
      <c r="BD116" s="24180"/>
      <c r="BE116" s="24180"/>
      <c r="BF116" s="24180"/>
      <c r="BG116" s="24180"/>
      <c r="BH116" s="24180"/>
      <c r="BI116" s="24180"/>
      <c r="BJ116" s="24180"/>
      <c r="BK116" s="24180"/>
      <c r="BL116" s="24180"/>
      <c r="BM116" s="24181"/>
      <c r="BN116" s="24076"/>
      <c r="BO116" s="24077"/>
      <c r="BP116" s="24180"/>
      <c r="BQ116" s="24180"/>
      <c r="BR116" s="24077"/>
      <c r="BS116" s="24180"/>
      <c r="BT116" s="24180"/>
      <c r="BU116" s="24180"/>
      <c r="BV116" s="24180"/>
      <c r="BW116" s="24180"/>
      <c r="BX116" s="24181"/>
      <c r="BY116" s="24179"/>
      <c r="BZ116" s="24180"/>
      <c r="CA116" s="24180"/>
      <c r="CB116" s="24180"/>
      <c r="CC116" s="24180"/>
      <c r="CD116" s="24180"/>
      <c r="CE116" s="24180"/>
      <c r="CF116" s="24180"/>
      <c r="CG116" s="24180"/>
      <c r="CH116" s="24180"/>
      <c r="CI116" s="24181"/>
      <c r="CJ116" s="24179"/>
      <c r="CK116" s="24180"/>
      <c r="CL116" s="24180"/>
      <c r="CM116" s="24180"/>
      <c r="CN116" s="24180"/>
      <c r="CO116" s="24180"/>
      <c r="CP116" s="24180"/>
      <c r="CQ116" s="24180"/>
      <c r="CR116" s="24180"/>
      <c r="CS116" s="24180"/>
      <c r="CT116" s="24181"/>
      <c r="CU116" s="24179"/>
      <c r="CV116" s="24180"/>
      <c r="CW116" s="24180"/>
      <c r="CX116" s="24180"/>
      <c r="CY116" s="24180"/>
      <c r="CZ116" s="24180"/>
      <c r="DA116" s="24180"/>
      <c r="DB116" s="24180"/>
      <c r="DC116" s="24180"/>
      <c r="DD116" s="24180"/>
      <c r="DE116" s="24181"/>
      <c r="DF116" s="24179"/>
      <c r="DG116" s="24180"/>
      <c r="DH116" s="24180"/>
      <c r="DI116" s="24180"/>
      <c r="DJ116" s="24180"/>
      <c r="DK116" s="24180"/>
      <c r="DL116" s="24180"/>
      <c r="DM116" s="24180"/>
      <c r="DN116" s="24180"/>
      <c r="DO116" s="24180"/>
      <c r="DP116" s="24181"/>
      <c r="DQ116" s="24179"/>
      <c r="DR116" s="24180"/>
      <c r="DS116" s="24180"/>
      <c r="DT116" s="24180"/>
      <c r="DU116" s="24180"/>
      <c r="DV116" s="24180"/>
      <c r="DW116" s="24180"/>
      <c r="DX116" s="24180"/>
      <c r="DY116" s="24180"/>
      <c r="DZ116" s="24180"/>
      <c r="EA116" s="24181"/>
      <c r="EB116" s="24179"/>
      <c r="EC116" s="24180"/>
      <c r="ED116" s="24180"/>
      <c r="EE116" s="24180"/>
      <c r="EF116" s="24180"/>
      <c r="EG116" s="24180"/>
      <c r="EH116" s="24180"/>
      <c r="EI116" s="24180"/>
      <c r="EJ116" s="24180"/>
      <c r="EK116" s="24180"/>
      <c r="EL116" s="24181"/>
      <c r="EM116" s="24179"/>
      <c r="EN116" s="24180"/>
      <c r="EO116" s="24180"/>
      <c r="EP116" s="24180"/>
      <c r="EQ116" s="24180"/>
      <c r="ER116" s="24180"/>
      <c r="ES116" s="24180"/>
      <c r="ET116" s="24180"/>
      <c r="EU116" s="24180"/>
      <c r="EV116" s="24180"/>
      <c r="EW116" s="24181"/>
      <c r="EX116" s="24076"/>
      <c r="EY116" s="24077"/>
      <c r="EZ116" s="24180"/>
      <c r="FA116" s="24180"/>
      <c r="FB116" s="24077"/>
      <c r="FC116" s="24180"/>
      <c r="FD116" s="24180"/>
      <c r="FE116" s="24180"/>
      <c r="FF116" s="24180"/>
      <c r="FG116" s="24180"/>
      <c r="FH116" s="24181"/>
      <c r="FI116" s="24076"/>
      <c r="FJ116" s="24077"/>
      <c r="FK116" s="24180"/>
      <c r="FL116" s="24180"/>
      <c r="FM116" s="24077"/>
      <c r="FN116" s="24180"/>
      <c r="FO116" s="24180"/>
      <c r="FP116" s="24077"/>
      <c r="FQ116" s="24077"/>
      <c r="FR116" s="24077"/>
      <c r="FS116" s="24181"/>
      <c r="FT116" s="24078"/>
      <c r="FU116" s="1233" t="s">
        <v>711</v>
      </c>
      <c r="FV116" s="1568"/>
      <c r="FW116" s="1550"/>
      <c r="FX116" s="1550" t="str">
        <f t="shared" si="2"/>
        <v>Группа потребителей</v>
      </c>
      <c r="FY116" s="1550"/>
      <c r="FZ116" s="1550"/>
      <c r="GA116" s="1561">
        <v>0</v>
      </c>
    </row>
    <row r="117" spans="1:183" s="1747" customFormat="1" ht="23.25" customHeight="1">
      <c r="A117" s="1289"/>
      <c r="B117" s="1289"/>
      <c r="C117" s="1289"/>
      <c r="D117" s="1289"/>
      <c r="E117" s="24089"/>
      <c r="F117" s="24089">
        <v>1</v>
      </c>
      <c r="G117" s="24089"/>
      <c r="H117" s="24089"/>
      <c r="I117" s="24091"/>
      <c r="J117" s="24091"/>
      <c r="K117" s="24090" t="str">
        <f>J116&amp;".1"</f>
        <v>1.2.1.1.1.1</v>
      </c>
      <c r="L117" s="1295"/>
      <c r="M117" s="1674"/>
      <c r="N117" s="1674"/>
      <c r="O117" s="1674"/>
      <c r="P117" s="24092"/>
      <c r="Q117" s="24092"/>
      <c r="R117" s="293">
        <v>1</v>
      </c>
      <c r="S117" s="1976" t="str">
        <f>$K117</f>
        <v>1.2.1.1.1.1</v>
      </c>
      <c r="T117" s="1363"/>
      <c r="U117" s="236"/>
      <c r="V117" s="1286"/>
      <c r="W117" s="1286"/>
      <c r="X117" s="1286"/>
      <c r="Y117" s="1286"/>
      <c r="Z117" s="1286"/>
      <c r="AA117" s="1286"/>
      <c r="AB117" s="1286"/>
      <c r="AC117" s="24086"/>
      <c r="AD117" s="24085" t="s">
        <v>59</v>
      </c>
      <c r="AE117" s="24086"/>
      <c r="AF117" s="24085" t="s">
        <v>59</v>
      </c>
      <c r="AG117" s="687">
        <v>247.24</v>
      </c>
      <c r="AH117" s="687">
        <v>36.049999999999997</v>
      </c>
      <c r="AI117" s="687"/>
      <c r="AJ117" s="687"/>
      <c r="AK117" s="687">
        <v>3133.44</v>
      </c>
      <c r="AL117" s="687"/>
      <c r="AM117" s="687"/>
      <c r="AN117" s="24093" t="s">
        <v>9</v>
      </c>
      <c r="AO117" s="23957" t="s">
        <v>59</v>
      </c>
      <c r="AP117" s="24095" t="s">
        <v>770</v>
      </c>
      <c r="AQ117" s="23957" t="s">
        <v>59</v>
      </c>
      <c r="AR117" s="687">
        <v>275.57</v>
      </c>
      <c r="AS117" s="687">
        <v>39.67</v>
      </c>
      <c r="AT117" s="687"/>
      <c r="AU117" s="687"/>
      <c r="AV117" s="687">
        <v>3500.05</v>
      </c>
      <c r="AW117" s="687"/>
      <c r="AX117" s="687"/>
      <c r="AY117" s="24093" t="s">
        <v>772</v>
      </c>
      <c r="AZ117" s="23957" t="s">
        <v>59</v>
      </c>
      <c r="BA117" s="24093" t="s">
        <v>773</v>
      </c>
      <c r="BB117" s="23957" t="s">
        <v>59</v>
      </c>
      <c r="BC117" s="687">
        <v>308.32</v>
      </c>
      <c r="BD117" s="687">
        <v>72.42</v>
      </c>
      <c r="BE117" s="687"/>
      <c r="BF117" s="687"/>
      <c r="BG117" s="687">
        <v>3500.05</v>
      </c>
      <c r="BH117" s="687"/>
      <c r="BI117" s="687"/>
      <c r="BJ117" s="24093" t="s">
        <v>774</v>
      </c>
      <c r="BK117" s="23957" t="s">
        <v>59</v>
      </c>
      <c r="BL117" s="24093" t="s">
        <v>775</v>
      </c>
      <c r="BM117" s="23957" t="s">
        <v>59</v>
      </c>
      <c r="BN117" s="687">
        <v>336.4</v>
      </c>
      <c r="BO117" s="687">
        <v>72.42</v>
      </c>
      <c r="BP117" s="687"/>
      <c r="BQ117" s="687"/>
      <c r="BR117" s="687">
        <v>3916.55</v>
      </c>
      <c r="BS117" s="687"/>
      <c r="BT117" s="687"/>
      <c r="BU117" s="24093" t="s">
        <v>776</v>
      </c>
      <c r="BV117" s="23957" t="s">
        <v>59</v>
      </c>
      <c r="BW117" s="24093" t="s">
        <v>777</v>
      </c>
      <c r="BX117" s="23957" t="s">
        <v>59</v>
      </c>
      <c r="BY117" s="687">
        <v>334.12</v>
      </c>
      <c r="BZ117" s="687">
        <v>70.14</v>
      </c>
      <c r="CA117" s="687"/>
      <c r="CB117" s="687"/>
      <c r="CC117" s="687">
        <v>3916.55</v>
      </c>
      <c r="CD117" s="687"/>
      <c r="CE117" s="687"/>
      <c r="CF117" s="24093" t="s">
        <v>778</v>
      </c>
      <c r="CG117" s="23957" t="s">
        <v>59</v>
      </c>
      <c r="CH117" s="24093">
        <v>46295</v>
      </c>
      <c r="CI117" s="23957" t="s">
        <v>59</v>
      </c>
      <c r="CJ117" s="687">
        <v>370.44</v>
      </c>
      <c r="CK117" s="687">
        <v>78.55</v>
      </c>
      <c r="CL117" s="687"/>
      <c r="CM117" s="687"/>
      <c r="CN117" s="687">
        <v>4330.76</v>
      </c>
      <c r="CO117" s="687"/>
      <c r="CP117" s="687"/>
      <c r="CQ117" s="24093">
        <v>46296</v>
      </c>
      <c r="CR117" s="23957" t="s">
        <v>59</v>
      </c>
      <c r="CS117" s="24093" t="s">
        <v>779</v>
      </c>
      <c r="CT117" s="23957" t="s">
        <v>59</v>
      </c>
      <c r="CU117" s="687">
        <v>370.44</v>
      </c>
      <c r="CV117" s="687">
        <v>78.55</v>
      </c>
      <c r="CW117" s="687"/>
      <c r="CX117" s="687"/>
      <c r="CY117" s="687">
        <f>CN117</f>
        <v>4330.76</v>
      </c>
      <c r="CZ117" s="687"/>
      <c r="DA117" s="687"/>
      <c r="DB117" s="24093" t="s">
        <v>780</v>
      </c>
      <c r="DC117" s="23957" t="s">
        <v>59</v>
      </c>
      <c r="DD117" s="24093" t="s">
        <v>781</v>
      </c>
      <c r="DE117" s="23957" t="s">
        <v>59</v>
      </c>
      <c r="DF117" s="687">
        <v>395.71</v>
      </c>
      <c r="DG117" s="687">
        <v>79.849999999999994</v>
      </c>
      <c r="DH117" s="687"/>
      <c r="DI117" s="687"/>
      <c r="DJ117" s="687">
        <v>4686.3900000000003</v>
      </c>
      <c r="DK117" s="687"/>
      <c r="DL117" s="687"/>
      <c r="DM117" s="24093" t="s">
        <v>782</v>
      </c>
      <c r="DN117" s="23957" t="s">
        <v>59</v>
      </c>
      <c r="DO117" s="24093" t="s">
        <v>783</v>
      </c>
      <c r="DP117" s="23957" t="s">
        <v>59</v>
      </c>
      <c r="DQ117" s="687">
        <f>DF117</f>
        <v>395.71</v>
      </c>
      <c r="DR117" s="687">
        <f>DG117</f>
        <v>79.849999999999994</v>
      </c>
      <c r="DS117" s="687"/>
      <c r="DT117" s="687"/>
      <c r="DU117" s="687">
        <f>DJ117</f>
        <v>4686.3900000000003</v>
      </c>
      <c r="DV117" s="687"/>
      <c r="DW117" s="687"/>
      <c r="DX117" s="24093" t="s">
        <v>784</v>
      </c>
      <c r="DY117" s="23957" t="s">
        <v>59</v>
      </c>
      <c r="DZ117" s="24093" t="s">
        <v>785</v>
      </c>
      <c r="EA117" s="23957" t="s">
        <v>59</v>
      </c>
      <c r="EB117" s="687">
        <v>423.19</v>
      </c>
      <c r="EC117" s="687">
        <v>85.56</v>
      </c>
      <c r="ED117" s="687"/>
      <c r="EE117" s="687"/>
      <c r="EF117" s="687">
        <v>5009.37</v>
      </c>
      <c r="EG117" s="687"/>
      <c r="EH117" s="687"/>
      <c r="EI117" s="24093" t="s">
        <v>786</v>
      </c>
      <c r="EJ117" s="23957" t="s">
        <v>59</v>
      </c>
      <c r="EK117" s="24093" t="s">
        <v>787</v>
      </c>
      <c r="EL117" s="23957" t="s">
        <v>6</v>
      </c>
      <c r="EM117" s="1286"/>
      <c r="EN117" s="1286"/>
      <c r="EO117" s="1286"/>
      <c r="EP117" s="1286"/>
      <c r="EQ117" s="1286"/>
      <c r="ER117" s="1286"/>
      <c r="ES117" s="1286"/>
      <c r="ET117" s="24086"/>
      <c r="EU117" s="24085" t="s">
        <v>59</v>
      </c>
      <c r="EV117" s="24086"/>
      <c r="EW117" s="24085" t="s">
        <v>59</v>
      </c>
      <c r="EX117" s="1286"/>
      <c r="EY117" s="1286"/>
      <c r="EZ117" s="1286"/>
      <c r="FA117" s="1286"/>
      <c r="FB117" s="1286"/>
      <c r="FC117" s="1286"/>
      <c r="FD117" s="1286"/>
      <c r="FE117" s="24086"/>
      <c r="FF117" s="24085" t="s">
        <v>59</v>
      </c>
      <c r="FG117" s="24086"/>
      <c r="FH117" s="24085" t="s">
        <v>59</v>
      </c>
      <c r="FI117" s="1286"/>
      <c r="FJ117" s="1286"/>
      <c r="FK117" s="1286"/>
      <c r="FL117" s="1286"/>
      <c r="FM117" s="1286"/>
      <c r="FN117" s="1286"/>
      <c r="FO117" s="1286"/>
      <c r="FP117" s="24086"/>
      <c r="FQ117" s="24085" t="s">
        <v>59</v>
      </c>
      <c r="FR117" s="24086"/>
      <c r="FS117" s="24085" t="s">
        <v>59</v>
      </c>
      <c r="FT117" s="1364"/>
      <c r="FU11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17" s="1568" t="e">
        <f ca="1">STRCHECKDATE(V118:FT118)</f>
        <v>#NAME?</v>
      </c>
      <c r="FW117" s="1550"/>
      <c r="FX117" s="1550" t="str">
        <f t="shared" si="2"/>
        <v/>
      </c>
      <c r="FY117" s="1550"/>
      <c r="FZ117" s="1550"/>
      <c r="GA117" s="1561">
        <v>0</v>
      </c>
    </row>
    <row r="118" spans="1:183" s="1747" customFormat="1" ht="14.25" customHeight="1">
      <c r="A118" s="1289"/>
      <c r="B118" s="1289"/>
      <c r="C118" s="1289"/>
      <c r="D118" s="1289"/>
      <c r="E118" s="24089"/>
      <c r="F118" s="24089">
        <v>1</v>
      </c>
      <c r="G118" s="24089"/>
      <c r="H118" s="24089"/>
      <c r="I118" s="24091"/>
      <c r="J118" s="24091"/>
      <c r="K118" s="24090"/>
      <c r="L118" s="1295"/>
      <c r="M118" s="1674"/>
      <c r="N118" s="1674"/>
      <c r="O118" s="1674"/>
      <c r="P118" s="24092"/>
      <c r="Q118" s="24092"/>
      <c r="R118" s="293"/>
      <c r="S118" s="1982"/>
      <c r="T118" s="236"/>
      <c r="U118" s="236"/>
      <c r="V118" s="1286"/>
      <c r="W118" s="1286"/>
      <c r="X118" s="1286"/>
      <c r="Y118" s="1286"/>
      <c r="Z118" s="1286"/>
      <c r="AA118" s="1286"/>
      <c r="AB118" s="1286"/>
      <c r="AC118" s="24085"/>
      <c r="AD118" s="24085"/>
      <c r="AE118" s="24085"/>
      <c r="AF118" s="24085"/>
      <c r="AG118" s="261"/>
      <c r="AH118" s="261"/>
      <c r="AI118" s="261"/>
      <c r="AJ118" s="261"/>
      <c r="AK118" s="261"/>
      <c r="AL118" s="261"/>
      <c r="AM118" s="261"/>
      <c r="AN118" s="24094"/>
      <c r="AO118" s="23957"/>
      <c r="AP118" s="24096"/>
      <c r="AQ118" s="23957"/>
      <c r="AR118" s="261"/>
      <c r="AS118" s="261"/>
      <c r="AT118" s="261"/>
      <c r="AU118" s="261"/>
      <c r="AV118" s="261"/>
      <c r="AW118" s="261"/>
      <c r="AX118" s="261"/>
      <c r="AY118" s="24094"/>
      <c r="AZ118" s="23957"/>
      <c r="BA118" s="24094"/>
      <c r="BB118" s="23957"/>
      <c r="BC118" s="261"/>
      <c r="BD118" s="261"/>
      <c r="BE118" s="261"/>
      <c r="BF118" s="261"/>
      <c r="BG118" s="261"/>
      <c r="BH118" s="261"/>
      <c r="BI118" s="261"/>
      <c r="BJ118" s="24094"/>
      <c r="BK118" s="23957"/>
      <c r="BL118" s="24094"/>
      <c r="BM118" s="23957"/>
      <c r="BN118" s="261"/>
      <c r="BO118" s="261"/>
      <c r="BP118" s="261"/>
      <c r="BQ118" s="261"/>
      <c r="BR118" s="261"/>
      <c r="BS118" s="261"/>
      <c r="BT118" s="261"/>
      <c r="BU118" s="24094"/>
      <c r="BV118" s="23957"/>
      <c r="BW118" s="24094"/>
      <c r="BX118" s="23957"/>
      <c r="BY118" s="261"/>
      <c r="BZ118" s="261"/>
      <c r="CA118" s="261"/>
      <c r="CB118" s="261"/>
      <c r="CC118" s="261"/>
      <c r="CD118" s="261"/>
      <c r="CE118" s="261"/>
      <c r="CF118" s="24094"/>
      <c r="CG118" s="23957"/>
      <c r="CH118" s="24094"/>
      <c r="CI118" s="23957"/>
      <c r="CJ118" s="261"/>
      <c r="CK118" s="261"/>
      <c r="CL118" s="261"/>
      <c r="CM118" s="261"/>
      <c r="CN118" s="261"/>
      <c r="CO118" s="261"/>
      <c r="CP118" s="261"/>
      <c r="CQ118" s="24094"/>
      <c r="CR118" s="23957"/>
      <c r="CS118" s="24094"/>
      <c r="CT118" s="23957"/>
      <c r="CU118" s="261"/>
      <c r="CV118" s="261"/>
      <c r="CW118" s="261"/>
      <c r="CX118" s="261"/>
      <c r="CY118" s="261"/>
      <c r="CZ118" s="261"/>
      <c r="DA118" s="261"/>
      <c r="DB118" s="24094"/>
      <c r="DC118" s="23957"/>
      <c r="DD118" s="24094"/>
      <c r="DE118" s="23957"/>
      <c r="DF118" s="261"/>
      <c r="DG118" s="261"/>
      <c r="DH118" s="261"/>
      <c r="DI118" s="261"/>
      <c r="DJ118" s="261"/>
      <c r="DK118" s="261"/>
      <c r="DL118" s="261"/>
      <c r="DM118" s="24094"/>
      <c r="DN118" s="23957"/>
      <c r="DO118" s="24094"/>
      <c r="DP118" s="23957"/>
      <c r="DQ118" s="261"/>
      <c r="DR118" s="261"/>
      <c r="DS118" s="261"/>
      <c r="DT118" s="261"/>
      <c r="DU118" s="261"/>
      <c r="DV118" s="261"/>
      <c r="DW118" s="261"/>
      <c r="DX118" s="24094"/>
      <c r="DY118" s="23957"/>
      <c r="DZ118" s="24094"/>
      <c r="EA118" s="23957"/>
      <c r="EB118" s="261"/>
      <c r="EC118" s="261"/>
      <c r="ED118" s="261"/>
      <c r="EE118" s="261"/>
      <c r="EF118" s="261"/>
      <c r="EG118" s="261"/>
      <c r="EH118" s="261"/>
      <c r="EI118" s="24094"/>
      <c r="EJ118" s="23957"/>
      <c r="EK118" s="24094"/>
      <c r="EL118" s="23957"/>
      <c r="EM118" s="1286"/>
      <c r="EN118" s="1286"/>
      <c r="EO118" s="1286"/>
      <c r="EP118" s="1286"/>
      <c r="EQ118" s="1286"/>
      <c r="ER118" s="1286"/>
      <c r="ES118" s="1286"/>
      <c r="ET118" s="24085"/>
      <c r="EU118" s="24085"/>
      <c r="EV118" s="24085"/>
      <c r="EW118" s="24085"/>
      <c r="EX118" s="1286"/>
      <c r="EY118" s="1286"/>
      <c r="EZ118" s="1286"/>
      <c r="FA118" s="1286"/>
      <c r="FB118" s="1286"/>
      <c r="FC118" s="1286"/>
      <c r="FD118" s="1286"/>
      <c r="FE118" s="24085"/>
      <c r="FF118" s="24085"/>
      <c r="FG118" s="24085"/>
      <c r="FH118" s="24085"/>
      <c r="FI118" s="1286"/>
      <c r="FJ118" s="1286"/>
      <c r="FK118" s="1286"/>
      <c r="FL118" s="1286"/>
      <c r="FM118" s="1286"/>
      <c r="FN118" s="1286"/>
      <c r="FO118" s="1286"/>
      <c r="FP118" s="24085"/>
      <c r="FQ118" s="24085"/>
      <c r="FR118" s="24085"/>
      <c r="FS118" s="24085"/>
      <c r="FT118" s="1365"/>
      <c r="FU118" s="24162"/>
      <c r="FV118" s="1568"/>
      <c r="FW118" s="1550"/>
      <c r="FX118" s="1550" t="str">
        <f t="shared" si="2"/>
        <v/>
      </c>
      <c r="FY118" s="1550"/>
      <c r="FZ118" s="1550"/>
      <c r="GA118" s="1561">
        <v>0</v>
      </c>
    </row>
    <row r="119" spans="1:183" s="1747" customFormat="1" ht="21" customHeight="1">
      <c r="A119" s="1289"/>
      <c r="B119" s="1289"/>
      <c r="C119" s="1289"/>
      <c r="D119" s="1289"/>
      <c r="E119" s="24089"/>
      <c r="F119" s="24089">
        <v>1</v>
      </c>
      <c r="G119" s="24089"/>
      <c r="H119" s="24089"/>
      <c r="I119" s="24091"/>
      <c r="J119" s="24090"/>
      <c r="K119" s="1289"/>
      <c r="L119" s="1295"/>
      <c r="M119" s="1674"/>
      <c r="N119" s="1674"/>
      <c r="O119" s="1674"/>
      <c r="P119" s="24092"/>
      <c r="Q119" s="24092"/>
      <c r="R119" s="292"/>
      <c r="S119" s="2593"/>
      <c r="T119" s="2594" t="s">
        <v>712</v>
      </c>
      <c r="U119" s="2595"/>
      <c r="V119" s="2596"/>
      <c r="W119" s="2597"/>
      <c r="X119" s="2598"/>
      <c r="Y119" s="2599"/>
      <c r="Z119" s="2600"/>
      <c r="AA119" s="2601"/>
      <c r="AB119" s="2602"/>
      <c r="AC119" s="2603"/>
      <c r="AD119" s="2604"/>
      <c r="AE119" s="2605"/>
      <c r="AF119" s="2606"/>
      <c r="AG119" s="2607"/>
      <c r="AH119" s="2608"/>
      <c r="AI119" s="2609"/>
      <c r="AJ119" s="2610"/>
      <c r="AK119" s="2611"/>
      <c r="AL119" s="2612"/>
      <c r="AM119" s="2613"/>
      <c r="AN119" s="2614"/>
      <c r="AO119" s="2615"/>
      <c r="AP119" s="2616"/>
      <c r="AQ119" s="2617"/>
      <c r="AR119" s="6788"/>
      <c r="AS119" s="6789"/>
      <c r="AT119" s="6790"/>
      <c r="AU119" s="6791"/>
      <c r="AV119" s="6792"/>
      <c r="AW119" s="6793"/>
      <c r="AX119" s="6794"/>
      <c r="AY119" s="6795"/>
      <c r="AZ119" s="6796"/>
      <c r="BA119" s="6797"/>
      <c r="BB119" s="6798"/>
      <c r="BC119" s="6799"/>
      <c r="BD119" s="6800"/>
      <c r="BE119" s="10740"/>
      <c r="BF119" s="10741"/>
      <c r="BG119" s="21844"/>
      <c r="BH119" s="10742"/>
      <c r="BI119" s="10743"/>
      <c r="BJ119" s="10744"/>
      <c r="BK119" s="10745"/>
      <c r="BL119" s="10746"/>
      <c r="BM119" s="10747"/>
      <c r="BN119" s="2618"/>
      <c r="BO119" s="2619"/>
      <c r="BP119" s="10748"/>
      <c r="BQ119" s="10749"/>
      <c r="BR119" s="2620"/>
      <c r="BS119" s="10750"/>
      <c r="BT119" s="10751"/>
      <c r="BU119" s="10752"/>
      <c r="BV119" s="10753"/>
      <c r="BW119" s="10754"/>
      <c r="BX119" s="10755"/>
      <c r="BY119" s="10756"/>
      <c r="BZ119" s="10757"/>
      <c r="CA119" s="10758"/>
      <c r="CB119" s="10759"/>
      <c r="CC119" s="10760"/>
      <c r="CD119" s="10761"/>
      <c r="CE119" s="10762"/>
      <c r="CF119" s="10763"/>
      <c r="CG119" s="10764"/>
      <c r="CH119" s="10765"/>
      <c r="CI119" s="10766"/>
      <c r="CJ119" s="10767"/>
      <c r="CK119" s="10768"/>
      <c r="CL119" s="10769"/>
      <c r="CM119" s="10770"/>
      <c r="CN119" s="10771"/>
      <c r="CO119" s="10772"/>
      <c r="CP119" s="10773"/>
      <c r="CQ119" s="10774"/>
      <c r="CR119" s="10775"/>
      <c r="CS119" s="10776"/>
      <c r="CT119" s="10777"/>
      <c r="CU119" s="10778"/>
      <c r="CV119" s="10779"/>
      <c r="CW119" s="10780"/>
      <c r="CX119" s="10781"/>
      <c r="CY119" s="10782"/>
      <c r="CZ119" s="10783"/>
      <c r="DA119" s="10784"/>
      <c r="DB119" s="10785"/>
      <c r="DC119" s="10786"/>
      <c r="DD119" s="10787"/>
      <c r="DE119" s="10788"/>
      <c r="DF119" s="10789"/>
      <c r="DG119" s="10790"/>
      <c r="DH119" s="10791"/>
      <c r="DI119" s="10792"/>
      <c r="DJ119" s="10793"/>
      <c r="DK119" s="10794"/>
      <c r="DL119" s="10795"/>
      <c r="DM119" s="10796"/>
      <c r="DN119" s="10797"/>
      <c r="DO119" s="10798"/>
      <c r="DP119" s="10799"/>
      <c r="DQ119" s="10800"/>
      <c r="DR119" s="10801"/>
      <c r="DS119" s="10802"/>
      <c r="DT119" s="10803"/>
      <c r="DU119" s="10804"/>
      <c r="DV119" s="10805"/>
      <c r="DW119" s="10806"/>
      <c r="DX119" s="10807"/>
      <c r="DY119" s="10808"/>
      <c r="DZ119" s="10809"/>
      <c r="EA119" s="10810"/>
      <c r="EB119" s="10811"/>
      <c r="EC119" s="10812"/>
      <c r="ED119" s="10813"/>
      <c r="EE119" s="10814"/>
      <c r="EF119" s="10815"/>
      <c r="EG119" s="10816"/>
      <c r="EH119" s="10817"/>
      <c r="EI119" s="10818"/>
      <c r="EJ119" s="10819"/>
      <c r="EK119" s="10820"/>
      <c r="EL119" s="10821"/>
      <c r="EM119" s="21488"/>
      <c r="EN119" s="21489"/>
      <c r="EO119" s="10822"/>
      <c r="EP119" s="10823"/>
      <c r="EQ119" s="21490"/>
      <c r="ER119" s="10824"/>
      <c r="ES119" s="10825"/>
      <c r="ET119" s="10826"/>
      <c r="EU119" s="10827"/>
      <c r="EV119" s="10828"/>
      <c r="EW119" s="10829"/>
      <c r="EX119" s="2621"/>
      <c r="EY119" s="2622"/>
      <c r="EZ119" s="10830"/>
      <c r="FA119" s="10831"/>
      <c r="FB119" s="2623"/>
      <c r="FC119" s="10832"/>
      <c r="FD119" s="10833"/>
      <c r="FE119" s="10834"/>
      <c r="FF119" s="10835"/>
      <c r="FG119" s="10836"/>
      <c r="FH119" s="5680"/>
      <c r="FI119" s="22554"/>
      <c r="FJ119" s="22555"/>
      <c r="FK119" s="23362"/>
      <c r="FL119" s="23363"/>
      <c r="FM119" s="22556"/>
      <c r="FN119" s="23364"/>
      <c r="FO119" s="23365"/>
      <c r="FP119" s="22557"/>
      <c r="FQ119" s="22558"/>
      <c r="FR119" s="22559"/>
      <c r="FS119" s="23366"/>
      <c r="FT119" s="2624"/>
      <c r="FU119" s="1184" t="s">
        <v>713</v>
      </c>
      <c r="FV119" s="1568"/>
      <c r="FW119" s="1550"/>
      <c r="FX119" s="1550" t="str">
        <f t="shared" si="2"/>
        <v>Добавить значение признака дифференциации</v>
      </c>
      <c r="FY119" s="1550"/>
      <c r="FZ119" s="1550"/>
      <c r="GA119" s="1561">
        <v>0</v>
      </c>
    </row>
    <row r="120" spans="1:183" s="1747" customFormat="1" ht="23.25" customHeight="1">
      <c r="A120" s="1289"/>
      <c r="B120" s="1289"/>
      <c r="C120" s="1289"/>
      <c r="D120" s="1289"/>
      <c r="E120" s="24089"/>
      <c r="F120" s="24089"/>
      <c r="G120" s="24089"/>
      <c r="H120" s="24089"/>
      <c r="I120" s="24091"/>
      <c r="J120" s="24090" t="str">
        <f>I115&amp;".2"</f>
        <v>1.2.1.1.2</v>
      </c>
      <c r="K120" s="1289"/>
      <c r="L120" s="1295" t="s">
        <v>635</v>
      </c>
      <c r="M120" s="1674"/>
      <c r="N120" s="1674"/>
      <c r="O120" s="1674"/>
      <c r="P120" s="24092"/>
      <c r="Q120" s="24206" t="s">
        <v>96</v>
      </c>
      <c r="R120" s="293"/>
      <c r="S120" s="1976" t="str">
        <f>$J120</f>
        <v>1.2.1.1.2</v>
      </c>
      <c r="T120" s="222" t="s">
        <v>636</v>
      </c>
      <c r="U120" s="236"/>
      <c r="V120" s="24076"/>
      <c r="W120" s="24077"/>
      <c r="X120" s="24077"/>
      <c r="Y120" s="24077"/>
      <c r="Z120" s="24077"/>
      <c r="AA120" s="24077"/>
      <c r="AB120" s="24077"/>
      <c r="AC120" s="24077"/>
      <c r="AD120" s="24077"/>
      <c r="AE120" s="24077"/>
      <c r="AF120" s="24078"/>
      <c r="AG120" s="24076" t="s">
        <v>771</v>
      </c>
      <c r="AH120" s="24077"/>
      <c r="AI120" s="24077"/>
      <c r="AJ120" s="24077"/>
      <c r="AK120" s="24077"/>
      <c r="AL120" s="24077"/>
      <c r="AM120" s="24077"/>
      <c r="AN120" s="24077"/>
      <c r="AO120" s="24077"/>
      <c r="AP120" s="24077"/>
      <c r="AQ120" s="24077"/>
      <c r="AR120" s="24179"/>
      <c r="AS120" s="24180"/>
      <c r="AT120" s="24180"/>
      <c r="AU120" s="24180"/>
      <c r="AV120" s="24180"/>
      <c r="AW120" s="24180"/>
      <c r="AX120" s="24180"/>
      <c r="AY120" s="24180"/>
      <c r="AZ120" s="24180"/>
      <c r="BA120" s="24180"/>
      <c r="BB120" s="24181"/>
      <c r="BC120" s="24179"/>
      <c r="BD120" s="24180"/>
      <c r="BE120" s="24180"/>
      <c r="BF120" s="24180"/>
      <c r="BG120" s="24180"/>
      <c r="BH120" s="24180"/>
      <c r="BI120" s="24180"/>
      <c r="BJ120" s="24180"/>
      <c r="BK120" s="24180"/>
      <c r="BL120" s="24180"/>
      <c r="BM120" s="24181"/>
      <c r="BN120" s="24076"/>
      <c r="BO120" s="24077"/>
      <c r="BP120" s="24180"/>
      <c r="BQ120" s="24180"/>
      <c r="BR120" s="24077"/>
      <c r="BS120" s="24180"/>
      <c r="BT120" s="24180"/>
      <c r="BU120" s="24180"/>
      <c r="BV120" s="24180"/>
      <c r="BW120" s="24180"/>
      <c r="BX120" s="24181"/>
      <c r="BY120" s="24179"/>
      <c r="BZ120" s="24180"/>
      <c r="CA120" s="24180"/>
      <c r="CB120" s="24180"/>
      <c r="CC120" s="24180"/>
      <c r="CD120" s="24180"/>
      <c r="CE120" s="24180"/>
      <c r="CF120" s="24180"/>
      <c r="CG120" s="24180"/>
      <c r="CH120" s="24180"/>
      <c r="CI120" s="24181"/>
      <c r="CJ120" s="24179"/>
      <c r="CK120" s="24180"/>
      <c r="CL120" s="24180"/>
      <c r="CM120" s="24180"/>
      <c r="CN120" s="24180"/>
      <c r="CO120" s="24180"/>
      <c r="CP120" s="24180"/>
      <c r="CQ120" s="24180"/>
      <c r="CR120" s="24180"/>
      <c r="CS120" s="24180"/>
      <c r="CT120" s="24181"/>
      <c r="CU120" s="24179"/>
      <c r="CV120" s="24180"/>
      <c r="CW120" s="24180"/>
      <c r="CX120" s="24180"/>
      <c r="CY120" s="24180"/>
      <c r="CZ120" s="24180"/>
      <c r="DA120" s="24180"/>
      <c r="DB120" s="24180"/>
      <c r="DC120" s="24180"/>
      <c r="DD120" s="24180"/>
      <c r="DE120" s="24181"/>
      <c r="DF120" s="24179"/>
      <c r="DG120" s="24180"/>
      <c r="DH120" s="24180"/>
      <c r="DI120" s="24180"/>
      <c r="DJ120" s="24180"/>
      <c r="DK120" s="24180"/>
      <c r="DL120" s="24180"/>
      <c r="DM120" s="24180"/>
      <c r="DN120" s="24180"/>
      <c r="DO120" s="24180"/>
      <c r="DP120" s="24181"/>
      <c r="DQ120" s="24179"/>
      <c r="DR120" s="24180"/>
      <c r="DS120" s="24180"/>
      <c r="DT120" s="24180"/>
      <c r="DU120" s="24180"/>
      <c r="DV120" s="24180"/>
      <c r="DW120" s="24180"/>
      <c r="DX120" s="24180"/>
      <c r="DY120" s="24180"/>
      <c r="DZ120" s="24180"/>
      <c r="EA120" s="24181"/>
      <c r="EB120" s="24179"/>
      <c r="EC120" s="24180"/>
      <c r="ED120" s="24180"/>
      <c r="EE120" s="24180"/>
      <c r="EF120" s="24180"/>
      <c r="EG120" s="24180"/>
      <c r="EH120" s="24180"/>
      <c r="EI120" s="24180"/>
      <c r="EJ120" s="24180"/>
      <c r="EK120" s="24180"/>
      <c r="EL120" s="24181"/>
      <c r="EM120" s="24179"/>
      <c r="EN120" s="24180"/>
      <c r="EO120" s="24180"/>
      <c r="EP120" s="24180"/>
      <c r="EQ120" s="24180"/>
      <c r="ER120" s="24180"/>
      <c r="ES120" s="24180"/>
      <c r="ET120" s="24180"/>
      <c r="EU120" s="24180"/>
      <c r="EV120" s="24180"/>
      <c r="EW120" s="24181"/>
      <c r="EX120" s="24076"/>
      <c r="EY120" s="24077"/>
      <c r="EZ120" s="24180"/>
      <c r="FA120" s="24180"/>
      <c r="FB120" s="24077"/>
      <c r="FC120" s="24180"/>
      <c r="FD120" s="24180"/>
      <c r="FE120" s="24180"/>
      <c r="FF120" s="24180"/>
      <c r="FG120" s="24180"/>
      <c r="FH120" s="24181"/>
      <c r="FI120" s="24076"/>
      <c r="FJ120" s="24077"/>
      <c r="FK120" s="24180"/>
      <c r="FL120" s="24180"/>
      <c r="FM120" s="24077"/>
      <c r="FN120" s="24180"/>
      <c r="FO120" s="24180"/>
      <c r="FP120" s="24077"/>
      <c r="FQ120" s="24077"/>
      <c r="FR120" s="24077"/>
      <c r="FS120" s="24181"/>
      <c r="FT120" s="24078"/>
      <c r="FU120" s="1233" t="s">
        <v>711</v>
      </c>
      <c r="FV120" s="1568"/>
      <c r="FW120" s="1550"/>
      <c r="FX120" s="1550" t="str">
        <f t="shared" si="2"/>
        <v>Группа потребителей</v>
      </c>
      <c r="FY120" s="1550"/>
      <c r="FZ120" s="1550"/>
      <c r="GA120" s="1561">
        <v>0</v>
      </c>
    </row>
    <row r="121" spans="1:183" s="1747" customFormat="1" ht="23.25" customHeight="1">
      <c r="A121" s="1289"/>
      <c r="B121" s="1289"/>
      <c r="C121" s="1289"/>
      <c r="D121" s="1289"/>
      <c r="E121" s="24089"/>
      <c r="F121" s="24089"/>
      <c r="G121" s="24089"/>
      <c r="H121" s="24089"/>
      <c r="I121" s="24091"/>
      <c r="J121" s="24091" t="str">
        <f>I115&amp;".1"</f>
        <v>1.2.1.1.1</v>
      </c>
      <c r="K121" s="24090" t="str">
        <f>J120&amp;".1"</f>
        <v>1.2.1.1.2.1</v>
      </c>
      <c r="L121" s="1295"/>
      <c r="M121" s="1674"/>
      <c r="N121" s="1674"/>
      <c r="O121" s="1674"/>
      <c r="P121" s="24092"/>
      <c r="Q121" s="24092"/>
      <c r="R121" s="293">
        <v>1</v>
      </c>
      <c r="S121" s="1976" t="str">
        <f>$K121</f>
        <v>1.2.1.1.2.1</v>
      </c>
      <c r="T121" s="1363"/>
      <c r="U121" s="236"/>
      <c r="V121" s="1286"/>
      <c r="W121" s="1286"/>
      <c r="X121" s="1286"/>
      <c r="Y121" s="1286"/>
      <c r="Z121" s="1286"/>
      <c r="AA121" s="1286"/>
      <c r="AB121" s="1286"/>
      <c r="AC121" s="24086"/>
      <c r="AD121" s="24085" t="s">
        <v>59</v>
      </c>
      <c r="AE121" s="24086"/>
      <c r="AF121" s="24085" t="s">
        <v>59</v>
      </c>
      <c r="AG121" s="687">
        <v>211.12</v>
      </c>
      <c r="AH121" s="687">
        <v>36.049999999999997</v>
      </c>
      <c r="AI121" s="687"/>
      <c r="AJ121" s="687"/>
      <c r="AK121" s="687">
        <v>2490.5300000000002</v>
      </c>
      <c r="AL121" s="687"/>
      <c r="AM121" s="687"/>
      <c r="AN121" s="24093" t="s">
        <v>9</v>
      </c>
      <c r="AO121" s="23957" t="s">
        <v>59</v>
      </c>
      <c r="AP121" s="24095" t="s">
        <v>770</v>
      </c>
      <c r="AQ121" s="23957" t="s">
        <v>59</v>
      </c>
      <c r="AR121" s="687">
        <v>232.25</v>
      </c>
      <c r="AS121" s="687">
        <v>39.67</v>
      </c>
      <c r="AT121" s="687"/>
      <c r="AU121" s="687"/>
      <c r="AV121" s="687">
        <v>2739.58</v>
      </c>
      <c r="AW121" s="687"/>
      <c r="AX121" s="687"/>
      <c r="AY121" s="24093" t="s">
        <v>772</v>
      </c>
      <c r="AZ121" s="23957" t="s">
        <v>59</v>
      </c>
      <c r="BA121" s="24093" t="s">
        <v>773</v>
      </c>
      <c r="BB121" s="23957" t="s">
        <v>59</v>
      </c>
      <c r="BC121" s="687">
        <v>232.25</v>
      </c>
      <c r="BD121" s="687">
        <v>39.67</v>
      </c>
      <c r="BE121" s="687"/>
      <c r="BF121" s="687"/>
      <c r="BG121" s="687">
        <v>2739.58</v>
      </c>
      <c r="BH121" s="687"/>
      <c r="BI121" s="687"/>
      <c r="BJ121" s="24093" t="s">
        <v>774</v>
      </c>
      <c r="BK121" s="23957" t="s">
        <v>59</v>
      </c>
      <c r="BL121" s="24093" t="s">
        <v>775</v>
      </c>
      <c r="BM121" s="23957" t="s">
        <v>59</v>
      </c>
      <c r="BN121" s="687">
        <v>259.88</v>
      </c>
      <c r="BO121" s="687">
        <v>44.39</v>
      </c>
      <c r="BP121" s="687"/>
      <c r="BQ121" s="687"/>
      <c r="BR121" s="687">
        <v>3065.58</v>
      </c>
      <c r="BS121" s="687"/>
      <c r="BT121" s="687"/>
      <c r="BU121" s="24093" t="s">
        <v>776</v>
      </c>
      <c r="BV121" s="23957" t="s">
        <v>59</v>
      </c>
      <c r="BW121" s="24093" t="s">
        <v>777</v>
      </c>
      <c r="BX121" s="23957" t="s">
        <v>59</v>
      </c>
      <c r="BY121" s="687">
        <v>264.3</v>
      </c>
      <c r="BZ121" s="687">
        <v>45.14</v>
      </c>
      <c r="CA121" s="687"/>
      <c r="CB121" s="687"/>
      <c r="CC121" s="687">
        <v>3143.21</v>
      </c>
      <c r="CD121" s="687"/>
      <c r="CE121" s="687"/>
      <c r="CF121" s="24093" t="s">
        <v>778</v>
      </c>
      <c r="CG121" s="23957" t="s">
        <v>59</v>
      </c>
      <c r="CH121" s="24093">
        <v>46295</v>
      </c>
      <c r="CI121" s="23957" t="s">
        <v>59</v>
      </c>
      <c r="CJ121" s="687">
        <v>296.02</v>
      </c>
      <c r="CK121" s="687">
        <v>50.56</v>
      </c>
      <c r="CL121" s="687"/>
      <c r="CM121" s="687"/>
      <c r="CN121" s="687">
        <v>3520.4</v>
      </c>
      <c r="CO121" s="687"/>
      <c r="CP121" s="687"/>
      <c r="CQ121" s="24185">
        <v>46296</v>
      </c>
      <c r="CR121" s="23957" t="s">
        <v>59</v>
      </c>
      <c r="CS121" s="24093" t="s">
        <v>779</v>
      </c>
      <c r="CT121" s="23957" t="s">
        <v>59</v>
      </c>
      <c r="CU121" s="687">
        <f>CJ121</f>
        <v>296.02</v>
      </c>
      <c r="CV121" s="687">
        <f>CK121</f>
        <v>50.56</v>
      </c>
      <c r="CW121" s="687"/>
      <c r="CX121" s="687"/>
      <c r="CY121" s="687">
        <f>CN121</f>
        <v>3520.4</v>
      </c>
      <c r="CZ121" s="687"/>
      <c r="DA121" s="687"/>
      <c r="DB121" s="24093" t="s">
        <v>780</v>
      </c>
      <c r="DC121" s="23957" t="s">
        <v>59</v>
      </c>
      <c r="DD121" s="24093" t="s">
        <v>781</v>
      </c>
      <c r="DE121" s="23957" t="s">
        <v>59</v>
      </c>
      <c r="DF121" s="687">
        <v>321.77999999999997</v>
      </c>
      <c r="DG121" s="687">
        <v>54.96</v>
      </c>
      <c r="DH121" s="687"/>
      <c r="DI121" s="687"/>
      <c r="DJ121" s="687">
        <v>3826.66</v>
      </c>
      <c r="DK121" s="687"/>
      <c r="DL121" s="687"/>
      <c r="DM121" s="24093" t="s">
        <v>782</v>
      </c>
      <c r="DN121" s="23957" t="s">
        <v>59</v>
      </c>
      <c r="DO121" s="24093" t="s">
        <v>783</v>
      </c>
      <c r="DP121" s="23957" t="s">
        <v>59</v>
      </c>
      <c r="DQ121" s="687">
        <f>DF121</f>
        <v>321.77999999999997</v>
      </c>
      <c r="DR121" s="687">
        <f>DG121</f>
        <v>54.96</v>
      </c>
      <c r="DS121" s="687"/>
      <c r="DT121" s="687"/>
      <c r="DU121" s="687">
        <f>DJ121</f>
        <v>3826.66</v>
      </c>
      <c r="DV121" s="687"/>
      <c r="DW121" s="687"/>
      <c r="DX121" s="24093" t="s">
        <v>784</v>
      </c>
      <c r="DY121" s="23957" t="s">
        <v>59</v>
      </c>
      <c r="DZ121" s="24093" t="s">
        <v>785</v>
      </c>
      <c r="EA121" s="23957" t="s">
        <v>59</v>
      </c>
      <c r="EB121" s="687">
        <v>344.63</v>
      </c>
      <c r="EC121" s="687">
        <v>58.86</v>
      </c>
      <c r="ED121" s="687"/>
      <c r="EE121" s="687"/>
      <c r="EF121" s="687">
        <v>4098.3599999999997</v>
      </c>
      <c r="EG121" s="687"/>
      <c r="EH121" s="687"/>
      <c r="EI121" s="24093" t="s">
        <v>786</v>
      </c>
      <c r="EJ121" s="23957" t="s">
        <v>59</v>
      </c>
      <c r="EK121" s="24093" t="s">
        <v>787</v>
      </c>
      <c r="EL121" s="23957" t="s">
        <v>6</v>
      </c>
      <c r="EM121" s="1286"/>
      <c r="EN121" s="1286"/>
      <c r="EO121" s="1286"/>
      <c r="EP121" s="1286"/>
      <c r="EQ121" s="1286"/>
      <c r="ER121" s="1286"/>
      <c r="ES121" s="1286"/>
      <c r="ET121" s="24086"/>
      <c r="EU121" s="24085" t="s">
        <v>59</v>
      </c>
      <c r="EV121" s="24086"/>
      <c r="EW121" s="24085" t="s">
        <v>59</v>
      </c>
      <c r="EX121" s="1286"/>
      <c r="EY121" s="1286"/>
      <c r="EZ121" s="1286"/>
      <c r="FA121" s="1286"/>
      <c r="FB121" s="1286"/>
      <c r="FC121" s="1286"/>
      <c r="FD121" s="1286"/>
      <c r="FE121" s="24086"/>
      <c r="FF121" s="24085" t="s">
        <v>59</v>
      </c>
      <c r="FG121" s="24086"/>
      <c r="FH121" s="24085" t="s">
        <v>59</v>
      </c>
      <c r="FI121" s="1286"/>
      <c r="FJ121" s="1286"/>
      <c r="FK121" s="1286"/>
      <c r="FL121" s="1286"/>
      <c r="FM121" s="1286"/>
      <c r="FN121" s="1286"/>
      <c r="FO121" s="1286"/>
      <c r="FP121" s="24086"/>
      <c r="FQ121" s="24085" t="s">
        <v>59</v>
      </c>
      <c r="FR121" s="24086"/>
      <c r="FS121" s="24085" t="s">
        <v>59</v>
      </c>
      <c r="FT121" s="1364"/>
      <c r="FU12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21" s="1568" t="e">
        <f ca="1">STRCHECKDATE(V122:FT122)</f>
        <v>#NAME?</v>
      </c>
      <c r="FW121" s="1550"/>
      <c r="FX121" s="1550" t="str">
        <f t="shared" si="2"/>
        <v/>
      </c>
      <c r="FY121" s="1550"/>
      <c r="FZ121" s="1550"/>
      <c r="GA121" s="1561">
        <v>0</v>
      </c>
    </row>
    <row r="122" spans="1:183" s="1747" customFormat="1" ht="14.25" customHeight="1">
      <c r="A122" s="1289"/>
      <c r="B122" s="1289"/>
      <c r="C122" s="1289"/>
      <c r="D122" s="1289"/>
      <c r="E122" s="24089"/>
      <c r="F122" s="24089"/>
      <c r="G122" s="24089"/>
      <c r="H122" s="24089"/>
      <c r="I122" s="24091"/>
      <c r="J122" s="24091" t="str">
        <f>I115&amp;".1"</f>
        <v>1.2.1.1.1</v>
      </c>
      <c r="K122" s="24090"/>
      <c r="L122" s="1295"/>
      <c r="M122" s="1674"/>
      <c r="N122" s="1674"/>
      <c r="O122" s="1674"/>
      <c r="P122" s="24092"/>
      <c r="Q122" s="24092"/>
      <c r="R122" s="293"/>
      <c r="S122" s="1982"/>
      <c r="T122" s="236"/>
      <c r="U122" s="236"/>
      <c r="V122" s="1286"/>
      <c r="W122" s="1286"/>
      <c r="X122" s="1286"/>
      <c r="Y122" s="1286"/>
      <c r="Z122" s="1286"/>
      <c r="AA122" s="1286"/>
      <c r="AB122" s="1286"/>
      <c r="AC122" s="24085"/>
      <c r="AD122" s="24085"/>
      <c r="AE122" s="24085"/>
      <c r="AF122" s="24085"/>
      <c r="AG122" s="261"/>
      <c r="AH122" s="261"/>
      <c r="AI122" s="261"/>
      <c r="AJ122" s="261"/>
      <c r="AK122" s="261"/>
      <c r="AL122" s="261"/>
      <c r="AM122" s="261"/>
      <c r="AN122" s="24094"/>
      <c r="AO122" s="23957"/>
      <c r="AP122" s="24096"/>
      <c r="AQ122" s="23957"/>
      <c r="AR122" s="261"/>
      <c r="AS122" s="261"/>
      <c r="AT122" s="261"/>
      <c r="AU122" s="261"/>
      <c r="AV122" s="261"/>
      <c r="AW122" s="261"/>
      <c r="AX122" s="261"/>
      <c r="AY122" s="24094"/>
      <c r="AZ122" s="23957"/>
      <c r="BA122" s="24094"/>
      <c r="BB122" s="23957"/>
      <c r="BC122" s="261"/>
      <c r="BD122" s="261"/>
      <c r="BE122" s="261"/>
      <c r="BF122" s="261"/>
      <c r="BG122" s="261"/>
      <c r="BH122" s="261"/>
      <c r="BI122" s="261"/>
      <c r="BJ122" s="24094"/>
      <c r="BK122" s="23957"/>
      <c r="BL122" s="24094"/>
      <c r="BM122" s="23957"/>
      <c r="BN122" s="261"/>
      <c r="BO122" s="261"/>
      <c r="BP122" s="261"/>
      <c r="BQ122" s="261"/>
      <c r="BR122" s="261"/>
      <c r="BS122" s="261"/>
      <c r="BT122" s="261"/>
      <c r="BU122" s="24094"/>
      <c r="BV122" s="23957"/>
      <c r="BW122" s="24094"/>
      <c r="BX122" s="23957"/>
      <c r="BY122" s="261"/>
      <c r="BZ122" s="261"/>
      <c r="CA122" s="261"/>
      <c r="CB122" s="261"/>
      <c r="CC122" s="261"/>
      <c r="CD122" s="261"/>
      <c r="CE122" s="261"/>
      <c r="CF122" s="24094"/>
      <c r="CG122" s="23957"/>
      <c r="CH122" s="24094"/>
      <c r="CI122" s="23957"/>
      <c r="CJ122" s="261"/>
      <c r="CK122" s="261"/>
      <c r="CL122" s="261"/>
      <c r="CM122" s="261"/>
      <c r="CN122" s="261"/>
      <c r="CO122" s="261"/>
      <c r="CP122" s="261"/>
      <c r="CQ122" s="24094"/>
      <c r="CR122" s="23957"/>
      <c r="CS122" s="24094"/>
      <c r="CT122" s="23957"/>
      <c r="CU122" s="261"/>
      <c r="CV122" s="261"/>
      <c r="CW122" s="261"/>
      <c r="CX122" s="261"/>
      <c r="CY122" s="261"/>
      <c r="CZ122" s="261"/>
      <c r="DA122" s="261"/>
      <c r="DB122" s="24094"/>
      <c r="DC122" s="23957"/>
      <c r="DD122" s="24094"/>
      <c r="DE122" s="23957"/>
      <c r="DF122" s="261"/>
      <c r="DG122" s="261"/>
      <c r="DH122" s="261"/>
      <c r="DI122" s="261"/>
      <c r="DJ122" s="261"/>
      <c r="DK122" s="261"/>
      <c r="DL122" s="261"/>
      <c r="DM122" s="24094"/>
      <c r="DN122" s="23957"/>
      <c r="DO122" s="24094"/>
      <c r="DP122" s="23957"/>
      <c r="DQ122" s="261"/>
      <c r="DR122" s="261"/>
      <c r="DS122" s="261"/>
      <c r="DT122" s="261"/>
      <c r="DU122" s="261"/>
      <c r="DV122" s="261"/>
      <c r="DW122" s="261"/>
      <c r="DX122" s="24094"/>
      <c r="DY122" s="23957"/>
      <c r="DZ122" s="24094"/>
      <c r="EA122" s="23957"/>
      <c r="EB122" s="261"/>
      <c r="EC122" s="261"/>
      <c r="ED122" s="261"/>
      <c r="EE122" s="261"/>
      <c r="EF122" s="261"/>
      <c r="EG122" s="261"/>
      <c r="EH122" s="261"/>
      <c r="EI122" s="24094"/>
      <c r="EJ122" s="23957"/>
      <c r="EK122" s="24094"/>
      <c r="EL122" s="23957"/>
      <c r="EM122" s="1286"/>
      <c r="EN122" s="1286"/>
      <c r="EO122" s="1286"/>
      <c r="EP122" s="1286"/>
      <c r="EQ122" s="1286"/>
      <c r="ER122" s="1286"/>
      <c r="ES122" s="1286"/>
      <c r="ET122" s="24085"/>
      <c r="EU122" s="24085"/>
      <c r="EV122" s="24085"/>
      <c r="EW122" s="24085"/>
      <c r="EX122" s="1286"/>
      <c r="EY122" s="1286"/>
      <c r="EZ122" s="1286"/>
      <c r="FA122" s="1286"/>
      <c r="FB122" s="1286"/>
      <c r="FC122" s="1286"/>
      <c r="FD122" s="1286"/>
      <c r="FE122" s="24085"/>
      <c r="FF122" s="24085"/>
      <c r="FG122" s="24085"/>
      <c r="FH122" s="24085"/>
      <c r="FI122" s="1286"/>
      <c r="FJ122" s="1286"/>
      <c r="FK122" s="1286"/>
      <c r="FL122" s="1286"/>
      <c r="FM122" s="1286"/>
      <c r="FN122" s="1286"/>
      <c r="FO122" s="1286"/>
      <c r="FP122" s="24085"/>
      <c r="FQ122" s="24085"/>
      <c r="FR122" s="24085"/>
      <c r="FS122" s="24085"/>
      <c r="FT122" s="1365"/>
      <c r="FU122" s="24162"/>
      <c r="FV122" s="1568"/>
      <c r="FW122" s="1550"/>
      <c r="FX122" s="1550" t="str">
        <f t="shared" si="2"/>
        <v/>
      </c>
      <c r="FY122" s="1550"/>
      <c r="FZ122" s="1550"/>
      <c r="GA122" s="1561">
        <v>0</v>
      </c>
    </row>
    <row r="123" spans="1:183" s="1747" customFormat="1" ht="21" customHeight="1">
      <c r="A123" s="1289"/>
      <c r="B123" s="1289"/>
      <c r="C123" s="1289"/>
      <c r="D123" s="1289"/>
      <c r="E123" s="24089"/>
      <c r="F123" s="24089"/>
      <c r="G123" s="24089"/>
      <c r="H123" s="24089"/>
      <c r="I123" s="24091"/>
      <c r="J123" s="24090" t="str">
        <f>I115&amp;".1"</f>
        <v>1.2.1.1.1</v>
      </c>
      <c r="K123" s="1289"/>
      <c r="L123" s="1295"/>
      <c r="M123" s="1674"/>
      <c r="N123" s="1674"/>
      <c r="O123" s="1674"/>
      <c r="P123" s="24092"/>
      <c r="Q123" s="24092"/>
      <c r="R123" s="292"/>
      <c r="S123" s="2625"/>
      <c r="T123" s="2626" t="s">
        <v>712</v>
      </c>
      <c r="U123" s="2627"/>
      <c r="V123" s="2628"/>
      <c r="W123" s="2629"/>
      <c r="X123" s="2630"/>
      <c r="Y123" s="2631"/>
      <c r="Z123" s="2632"/>
      <c r="AA123" s="2633"/>
      <c r="AB123" s="2634"/>
      <c r="AC123" s="2635"/>
      <c r="AD123" s="2636"/>
      <c r="AE123" s="2637"/>
      <c r="AF123" s="2638"/>
      <c r="AG123" s="2639"/>
      <c r="AH123" s="2640"/>
      <c r="AI123" s="2641"/>
      <c r="AJ123" s="2642"/>
      <c r="AK123" s="2643"/>
      <c r="AL123" s="2644"/>
      <c r="AM123" s="2645"/>
      <c r="AN123" s="2646"/>
      <c r="AO123" s="2647"/>
      <c r="AP123" s="2648"/>
      <c r="AQ123" s="2649"/>
      <c r="AR123" s="6801"/>
      <c r="AS123" s="6802"/>
      <c r="AT123" s="6803"/>
      <c r="AU123" s="6804"/>
      <c r="AV123" s="6805"/>
      <c r="AW123" s="6806"/>
      <c r="AX123" s="6807"/>
      <c r="AY123" s="6808"/>
      <c r="AZ123" s="6809"/>
      <c r="BA123" s="6810"/>
      <c r="BB123" s="6811"/>
      <c r="BC123" s="6812"/>
      <c r="BD123" s="6813"/>
      <c r="BE123" s="10837"/>
      <c r="BF123" s="10838"/>
      <c r="BG123" s="21845"/>
      <c r="BH123" s="10839"/>
      <c r="BI123" s="10840"/>
      <c r="BJ123" s="10841"/>
      <c r="BK123" s="10842"/>
      <c r="BL123" s="10843"/>
      <c r="BM123" s="10844"/>
      <c r="BN123" s="2650"/>
      <c r="BO123" s="2651"/>
      <c r="BP123" s="10845"/>
      <c r="BQ123" s="10846"/>
      <c r="BR123" s="2652"/>
      <c r="BS123" s="10847"/>
      <c r="BT123" s="10848"/>
      <c r="BU123" s="10849"/>
      <c r="BV123" s="10850"/>
      <c r="BW123" s="10851"/>
      <c r="BX123" s="10852"/>
      <c r="BY123" s="10853"/>
      <c r="BZ123" s="10854"/>
      <c r="CA123" s="10855"/>
      <c r="CB123" s="10856"/>
      <c r="CC123" s="10857"/>
      <c r="CD123" s="10858"/>
      <c r="CE123" s="10859"/>
      <c r="CF123" s="10860"/>
      <c r="CG123" s="10861"/>
      <c r="CH123" s="10862"/>
      <c r="CI123" s="10863"/>
      <c r="CJ123" s="10864"/>
      <c r="CK123" s="10865"/>
      <c r="CL123" s="10866"/>
      <c r="CM123" s="10867"/>
      <c r="CN123" s="10868"/>
      <c r="CO123" s="10869"/>
      <c r="CP123" s="10870"/>
      <c r="CQ123" s="10871"/>
      <c r="CR123" s="10872"/>
      <c r="CS123" s="10873"/>
      <c r="CT123" s="10874"/>
      <c r="CU123" s="10875"/>
      <c r="CV123" s="10876"/>
      <c r="CW123" s="10877"/>
      <c r="CX123" s="10878"/>
      <c r="CY123" s="10879"/>
      <c r="CZ123" s="10880"/>
      <c r="DA123" s="10881"/>
      <c r="DB123" s="10882"/>
      <c r="DC123" s="10883"/>
      <c r="DD123" s="10884"/>
      <c r="DE123" s="10885"/>
      <c r="DF123" s="10886"/>
      <c r="DG123" s="10887"/>
      <c r="DH123" s="10888"/>
      <c r="DI123" s="10889"/>
      <c r="DJ123" s="10890"/>
      <c r="DK123" s="10891"/>
      <c r="DL123" s="10892"/>
      <c r="DM123" s="10893"/>
      <c r="DN123" s="10894"/>
      <c r="DO123" s="10895"/>
      <c r="DP123" s="10896"/>
      <c r="DQ123" s="10897"/>
      <c r="DR123" s="10898"/>
      <c r="DS123" s="10899"/>
      <c r="DT123" s="10900"/>
      <c r="DU123" s="10901"/>
      <c r="DV123" s="10902"/>
      <c r="DW123" s="10903"/>
      <c r="DX123" s="10904"/>
      <c r="DY123" s="10905"/>
      <c r="DZ123" s="10906"/>
      <c r="EA123" s="10907"/>
      <c r="EB123" s="10908"/>
      <c r="EC123" s="10909"/>
      <c r="ED123" s="10910"/>
      <c r="EE123" s="10911"/>
      <c r="EF123" s="10912"/>
      <c r="EG123" s="10913"/>
      <c r="EH123" s="10914"/>
      <c r="EI123" s="10915"/>
      <c r="EJ123" s="10916"/>
      <c r="EK123" s="10917"/>
      <c r="EL123" s="10918"/>
      <c r="EM123" s="21491"/>
      <c r="EN123" s="21492"/>
      <c r="EO123" s="10919"/>
      <c r="EP123" s="10920"/>
      <c r="EQ123" s="21493"/>
      <c r="ER123" s="10921"/>
      <c r="ES123" s="10922"/>
      <c r="ET123" s="10923"/>
      <c r="EU123" s="10924"/>
      <c r="EV123" s="10925"/>
      <c r="EW123" s="10926"/>
      <c r="EX123" s="2653"/>
      <c r="EY123" s="2654"/>
      <c r="EZ123" s="10927"/>
      <c r="FA123" s="10928"/>
      <c r="FB123" s="2655"/>
      <c r="FC123" s="10929"/>
      <c r="FD123" s="10930"/>
      <c r="FE123" s="10931"/>
      <c r="FF123" s="10932"/>
      <c r="FG123" s="10933"/>
      <c r="FH123" s="5681"/>
      <c r="FI123" s="22560"/>
      <c r="FJ123" s="22561"/>
      <c r="FK123" s="23367"/>
      <c r="FL123" s="23368"/>
      <c r="FM123" s="22562"/>
      <c r="FN123" s="23369"/>
      <c r="FO123" s="23370"/>
      <c r="FP123" s="22563"/>
      <c r="FQ123" s="22564"/>
      <c r="FR123" s="22565"/>
      <c r="FS123" s="23371"/>
      <c r="FT123" s="2656"/>
      <c r="FU123" s="1184" t="s">
        <v>713</v>
      </c>
      <c r="FV123" s="1568"/>
      <c r="FW123" s="1550"/>
      <c r="FX123" s="1550" t="str">
        <f t="shared" si="2"/>
        <v>Добавить значение признака дифференциации</v>
      </c>
      <c r="FY123" s="1550"/>
      <c r="FZ123" s="1550"/>
      <c r="GA123" s="1561">
        <v>0</v>
      </c>
    </row>
    <row r="124" spans="1:183" s="1747" customFormat="1" ht="21" customHeight="1">
      <c r="A124" s="1289"/>
      <c r="B124" s="1289"/>
      <c r="C124" s="1289"/>
      <c r="D124" s="1289"/>
      <c r="E124" s="24089"/>
      <c r="F124" s="24089">
        <v>1</v>
      </c>
      <c r="G124" s="24089"/>
      <c r="H124" s="24089"/>
      <c r="I124" s="24090"/>
      <c r="J124" s="1289"/>
      <c r="K124" s="1289"/>
      <c r="L124" s="1295"/>
      <c r="M124" s="1674"/>
      <c r="N124" s="1674"/>
      <c r="O124" s="1674"/>
      <c r="P124" s="24092"/>
      <c r="Q124" s="1978"/>
      <c r="R124" s="292"/>
      <c r="S124" s="2657"/>
      <c r="T124" s="2658" t="s">
        <v>641</v>
      </c>
      <c r="U124" s="2659"/>
      <c r="V124" s="2660"/>
      <c r="W124" s="2661"/>
      <c r="X124" s="2662"/>
      <c r="Y124" s="2663"/>
      <c r="Z124" s="2664"/>
      <c r="AA124" s="2665"/>
      <c r="AB124" s="2666"/>
      <c r="AC124" s="2667"/>
      <c r="AD124" s="2668"/>
      <c r="AE124" s="2669"/>
      <c r="AF124" s="2670"/>
      <c r="AG124" s="2671"/>
      <c r="AH124" s="2672"/>
      <c r="AI124" s="2673"/>
      <c r="AJ124" s="2674"/>
      <c r="AK124" s="2675"/>
      <c r="AL124" s="2676"/>
      <c r="AM124" s="2677"/>
      <c r="AN124" s="2678"/>
      <c r="AO124" s="2679"/>
      <c r="AP124" s="2680"/>
      <c r="AQ124" s="2681"/>
      <c r="AR124" s="6814"/>
      <c r="AS124" s="6815"/>
      <c r="AT124" s="6816"/>
      <c r="AU124" s="6817"/>
      <c r="AV124" s="6818"/>
      <c r="AW124" s="6819"/>
      <c r="AX124" s="6820"/>
      <c r="AY124" s="6821"/>
      <c r="AZ124" s="6822"/>
      <c r="BA124" s="6823"/>
      <c r="BB124" s="6824"/>
      <c r="BC124" s="6825"/>
      <c r="BD124" s="6826"/>
      <c r="BE124" s="10934"/>
      <c r="BF124" s="10935"/>
      <c r="BG124" s="21846"/>
      <c r="BH124" s="10936"/>
      <c r="BI124" s="10937"/>
      <c r="BJ124" s="10938"/>
      <c r="BK124" s="10939"/>
      <c r="BL124" s="10940"/>
      <c r="BM124" s="10941"/>
      <c r="BN124" s="2682"/>
      <c r="BO124" s="2683"/>
      <c r="BP124" s="10942"/>
      <c r="BQ124" s="10943"/>
      <c r="BR124" s="2684"/>
      <c r="BS124" s="10944"/>
      <c r="BT124" s="10945"/>
      <c r="BU124" s="10946"/>
      <c r="BV124" s="10947"/>
      <c r="BW124" s="10948"/>
      <c r="BX124" s="10949"/>
      <c r="BY124" s="10950"/>
      <c r="BZ124" s="10951"/>
      <c r="CA124" s="10952"/>
      <c r="CB124" s="10953"/>
      <c r="CC124" s="10954"/>
      <c r="CD124" s="10955"/>
      <c r="CE124" s="10956"/>
      <c r="CF124" s="10957"/>
      <c r="CG124" s="10958"/>
      <c r="CH124" s="10959"/>
      <c r="CI124" s="10960"/>
      <c r="CJ124" s="10961"/>
      <c r="CK124" s="10962"/>
      <c r="CL124" s="10963"/>
      <c r="CM124" s="10964"/>
      <c r="CN124" s="10965"/>
      <c r="CO124" s="10966"/>
      <c r="CP124" s="10967"/>
      <c r="CQ124" s="10968"/>
      <c r="CR124" s="10969"/>
      <c r="CS124" s="10970"/>
      <c r="CT124" s="10971"/>
      <c r="CU124" s="10972"/>
      <c r="CV124" s="10973"/>
      <c r="CW124" s="10974"/>
      <c r="CX124" s="10975"/>
      <c r="CY124" s="10976"/>
      <c r="CZ124" s="10977"/>
      <c r="DA124" s="10978"/>
      <c r="DB124" s="10979"/>
      <c r="DC124" s="10980"/>
      <c r="DD124" s="10981"/>
      <c r="DE124" s="10982"/>
      <c r="DF124" s="10983"/>
      <c r="DG124" s="10984"/>
      <c r="DH124" s="10985"/>
      <c r="DI124" s="10986"/>
      <c r="DJ124" s="10987"/>
      <c r="DK124" s="10988"/>
      <c r="DL124" s="10989"/>
      <c r="DM124" s="10990"/>
      <c r="DN124" s="10991"/>
      <c r="DO124" s="10992"/>
      <c r="DP124" s="10993"/>
      <c r="DQ124" s="10994"/>
      <c r="DR124" s="10995"/>
      <c r="DS124" s="10996"/>
      <c r="DT124" s="10997"/>
      <c r="DU124" s="10998"/>
      <c r="DV124" s="10999"/>
      <c r="DW124" s="11000"/>
      <c r="DX124" s="11001"/>
      <c r="DY124" s="11002"/>
      <c r="DZ124" s="11003"/>
      <c r="EA124" s="11004"/>
      <c r="EB124" s="11005"/>
      <c r="EC124" s="11006"/>
      <c r="ED124" s="11007"/>
      <c r="EE124" s="11008"/>
      <c r="EF124" s="11009"/>
      <c r="EG124" s="11010"/>
      <c r="EH124" s="11011"/>
      <c r="EI124" s="11012"/>
      <c r="EJ124" s="11013"/>
      <c r="EK124" s="11014"/>
      <c r="EL124" s="11015"/>
      <c r="EM124" s="21494"/>
      <c r="EN124" s="21495"/>
      <c r="EO124" s="11016"/>
      <c r="EP124" s="11017"/>
      <c r="EQ124" s="21496"/>
      <c r="ER124" s="11018"/>
      <c r="ES124" s="11019"/>
      <c r="ET124" s="11020"/>
      <c r="EU124" s="11021"/>
      <c r="EV124" s="11022"/>
      <c r="EW124" s="11023"/>
      <c r="EX124" s="2685"/>
      <c r="EY124" s="2686"/>
      <c r="EZ124" s="11024"/>
      <c r="FA124" s="11025"/>
      <c r="FB124" s="2687"/>
      <c r="FC124" s="11026"/>
      <c r="FD124" s="11027"/>
      <c r="FE124" s="11028"/>
      <c r="FF124" s="11029"/>
      <c r="FG124" s="11030"/>
      <c r="FH124" s="5682"/>
      <c r="FI124" s="22566"/>
      <c r="FJ124" s="22567"/>
      <c r="FK124" s="23372"/>
      <c r="FL124" s="23373"/>
      <c r="FM124" s="22568"/>
      <c r="FN124" s="23374"/>
      <c r="FO124" s="23375"/>
      <c r="FP124" s="22569"/>
      <c r="FQ124" s="22570"/>
      <c r="FR124" s="22571"/>
      <c r="FS124" s="23376"/>
      <c r="FT124" s="2688"/>
      <c r="FU124" s="2689"/>
      <c r="FV124" s="1568"/>
      <c r="FW124" s="1550"/>
      <c r="FX124" s="1550" t="str">
        <f t="shared" si="2"/>
        <v>Добавить группу потребителей</v>
      </c>
      <c r="FY124" s="1550"/>
      <c r="FZ124" s="1550"/>
      <c r="GA124" s="1561">
        <v>0</v>
      </c>
    </row>
    <row r="125" spans="1:183" s="1747" customFormat="1" ht="21" customHeight="1">
      <c r="A125" s="1289"/>
      <c r="B125" s="1289"/>
      <c r="C125" s="1289"/>
      <c r="D125" s="1289"/>
      <c r="E125" s="24089"/>
      <c r="F125" s="24089">
        <v>1</v>
      </c>
      <c r="G125" s="24089"/>
      <c r="H125" s="24088"/>
      <c r="I125" s="1289"/>
      <c r="J125" s="1289"/>
      <c r="K125" s="1289"/>
      <c r="L125" s="1295"/>
      <c r="M125" s="1291"/>
      <c r="N125" s="1291"/>
      <c r="O125" s="1292"/>
      <c r="P125" s="1720"/>
      <c r="Q125" s="311"/>
      <c r="R125" s="291"/>
      <c r="S125" s="2690"/>
      <c r="T125" s="2691" t="s">
        <v>714</v>
      </c>
      <c r="U125" s="2692"/>
      <c r="V125" s="2693"/>
      <c r="W125" s="2694"/>
      <c r="X125" s="2695"/>
      <c r="Y125" s="2696"/>
      <c r="Z125" s="2697"/>
      <c r="AA125" s="2698"/>
      <c r="AB125" s="2699"/>
      <c r="AC125" s="2700"/>
      <c r="AD125" s="2701"/>
      <c r="AE125" s="2702"/>
      <c r="AF125" s="2703"/>
      <c r="AG125" s="2704"/>
      <c r="AH125" s="2705"/>
      <c r="AI125" s="2706"/>
      <c r="AJ125" s="2707"/>
      <c r="AK125" s="2708"/>
      <c r="AL125" s="2709"/>
      <c r="AM125" s="2710"/>
      <c r="AN125" s="2711"/>
      <c r="AO125" s="2712"/>
      <c r="AP125" s="2713"/>
      <c r="AQ125" s="2714"/>
      <c r="AR125" s="6827"/>
      <c r="AS125" s="6828"/>
      <c r="AT125" s="6829"/>
      <c r="AU125" s="6830"/>
      <c r="AV125" s="6831"/>
      <c r="AW125" s="6832"/>
      <c r="AX125" s="6833"/>
      <c r="AY125" s="6834"/>
      <c r="AZ125" s="6835"/>
      <c r="BA125" s="6836"/>
      <c r="BB125" s="6837"/>
      <c r="BC125" s="6838"/>
      <c r="BD125" s="6839"/>
      <c r="BE125" s="11031"/>
      <c r="BF125" s="11032"/>
      <c r="BG125" s="21847"/>
      <c r="BH125" s="11033"/>
      <c r="BI125" s="11034"/>
      <c r="BJ125" s="11035"/>
      <c r="BK125" s="11036"/>
      <c r="BL125" s="11037"/>
      <c r="BM125" s="11038"/>
      <c r="BN125" s="2715"/>
      <c r="BO125" s="2716"/>
      <c r="BP125" s="11039"/>
      <c r="BQ125" s="11040"/>
      <c r="BR125" s="2717"/>
      <c r="BS125" s="11041"/>
      <c r="BT125" s="11042"/>
      <c r="BU125" s="11043"/>
      <c r="BV125" s="11044"/>
      <c r="BW125" s="11045"/>
      <c r="BX125" s="11046"/>
      <c r="BY125" s="11047"/>
      <c r="BZ125" s="11048"/>
      <c r="CA125" s="11049"/>
      <c r="CB125" s="11050"/>
      <c r="CC125" s="11051"/>
      <c r="CD125" s="11052"/>
      <c r="CE125" s="11053"/>
      <c r="CF125" s="11054"/>
      <c r="CG125" s="11055"/>
      <c r="CH125" s="11056"/>
      <c r="CI125" s="11057"/>
      <c r="CJ125" s="11058"/>
      <c r="CK125" s="11059"/>
      <c r="CL125" s="11060"/>
      <c r="CM125" s="11061"/>
      <c r="CN125" s="11062"/>
      <c r="CO125" s="11063"/>
      <c r="CP125" s="11064"/>
      <c r="CQ125" s="11065"/>
      <c r="CR125" s="11066"/>
      <c r="CS125" s="11067"/>
      <c r="CT125" s="11068"/>
      <c r="CU125" s="11069"/>
      <c r="CV125" s="11070"/>
      <c r="CW125" s="11071"/>
      <c r="CX125" s="11072"/>
      <c r="CY125" s="11073"/>
      <c r="CZ125" s="11074"/>
      <c r="DA125" s="11075"/>
      <c r="DB125" s="11076"/>
      <c r="DC125" s="11077"/>
      <c r="DD125" s="11078"/>
      <c r="DE125" s="11079"/>
      <c r="DF125" s="11080"/>
      <c r="DG125" s="11081"/>
      <c r="DH125" s="11082"/>
      <c r="DI125" s="11083"/>
      <c r="DJ125" s="11084"/>
      <c r="DK125" s="11085"/>
      <c r="DL125" s="11086"/>
      <c r="DM125" s="11087"/>
      <c r="DN125" s="11088"/>
      <c r="DO125" s="11089"/>
      <c r="DP125" s="11090"/>
      <c r="DQ125" s="11091"/>
      <c r="DR125" s="11092"/>
      <c r="DS125" s="11093"/>
      <c r="DT125" s="11094"/>
      <c r="DU125" s="11095"/>
      <c r="DV125" s="11096"/>
      <c r="DW125" s="11097"/>
      <c r="DX125" s="11098"/>
      <c r="DY125" s="11099"/>
      <c r="DZ125" s="11100"/>
      <c r="EA125" s="11101"/>
      <c r="EB125" s="11102"/>
      <c r="EC125" s="11103"/>
      <c r="ED125" s="11104"/>
      <c r="EE125" s="11105"/>
      <c r="EF125" s="11106"/>
      <c r="EG125" s="11107"/>
      <c r="EH125" s="11108"/>
      <c r="EI125" s="11109"/>
      <c r="EJ125" s="11110"/>
      <c r="EK125" s="11111"/>
      <c r="EL125" s="11112"/>
      <c r="EM125" s="21497"/>
      <c r="EN125" s="21498"/>
      <c r="EO125" s="11113"/>
      <c r="EP125" s="11114"/>
      <c r="EQ125" s="21499"/>
      <c r="ER125" s="11115"/>
      <c r="ES125" s="11116"/>
      <c r="ET125" s="11117"/>
      <c r="EU125" s="11118"/>
      <c r="EV125" s="11119"/>
      <c r="EW125" s="11120"/>
      <c r="EX125" s="2718"/>
      <c r="EY125" s="2719"/>
      <c r="EZ125" s="11121"/>
      <c r="FA125" s="11122"/>
      <c r="FB125" s="2720"/>
      <c r="FC125" s="11123"/>
      <c r="FD125" s="11124"/>
      <c r="FE125" s="11125"/>
      <c r="FF125" s="11126"/>
      <c r="FG125" s="11127"/>
      <c r="FH125" s="5683"/>
      <c r="FI125" s="22572"/>
      <c r="FJ125" s="22573"/>
      <c r="FK125" s="23377"/>
      <c r="FL125" s="23378"/>
      <c r="FM125" s="22574"/>
      <c r="FN125" s="23379"/>
      <c r="FO125" s="23380"/>
      <c r="FP125" s="22575"/>
      <c r="FQ125" s="22576"/>
      <c r="FR125" s="22577"/>
      <c r="FS125" s="23381"/>
      <c r="FT125" s="2721"/>
      <c r="FU125" s="2722"/>
      <c r="FV125" s="1568"/>
      <c r="FW125" s="1550"/>
      <c r="FX125" s="1550" t="str">
        <f t="shared" si="2"/>
        <v>Добавить наименование признака дифференциации</v>
      </c>
      <c r="FY125" s="1550"/>
      <c r="FZ125" s="1550"/>
      <c r="GA125" s="1561">
        <v>0</v>
      </c>
    </row>
    <row r="126" spans="1:183" s="558" customFormat="1" ht="14.25" customHeight="1">
      <c r="A126" s="1269"/>
      <c r="B126" s="1269"/>
      <c r="C126" s="1269"/>
      <c r="D126" s="1269"/>
      <c r="E126" s="24089"/>
      <c r="F126" s="24088">
        <v>1</v>
      </c>
      <c r="G126" s="1269"/>
      <c r="H126" s="1269"/>
      <c r="I126" s="1269"/>
      <c r="J126" s="1269"/>
      <c r="K126" s="1269"/>
      <c r="L126" s="1471"/>
      <c r="M126" s="1247"/>
      <c r="N126" s="1247"/>
      <c r="O126" s="1568"/>
      <c r="P126" s="1242"/>
      <c r="Q126" s="1270"/>
      <c r="R126" s="1242"/>
      <c r="S126" s="1248"/>
      <c r="T126" s="1251" t="s">
        <v>370</v>
      </c>
      <c r="U126" s="1250"/>
      <c r="V126" s="1250"/>
      <c r="W126" s="1250"/>
      <c r="X126" s="1250"/>
      <c r="Y126" s="1250"/>
      <c r="Z126" s="1250"/>
      <c r="AA126" s="1250"/>
      <c r="AB126" s="1250"/>
      <c r="AC126" s="1250"/>
      <c r="AD126" s="1250"/>
      <c r="AE126" s="1250"/>
      <c r="AF126" s="1250"/>
      <c r="AG126" s="1250"/>
      <c r="AH126" s="1250"/>
      <c r="AI126" s="1250"/>
      <c r="AJ126" s="1250"/>
      <c r="AK126" s="1250"/>
      <c r="AL126" s="1250"/>
      <c r="AM126" s="1250"/>
      <c r="AN126" s="1250"/>
      <c r="AO126" s="1250"/>
      <c r="AP126" s="1250"/>
      <c r="AQ126" s="1250"/>
      <c r="AR126" s="1250"/>
      <c r="AS126" s="1250"/>
      <c r="AT126" s="1250"/>
      <c r="AU126" s="1250"/>
      <c r="AV126" s="1250"/>
      <c r="AW126" s="1250"/>
      <c r="AX126" s="1250"/>
      <c r="AY126" s="1250"/>
      <c r="AZ126" s="1250"/>
      <c r="BA126" s="1250"/>
      <c r="BB126" s="1250"/>
      <c r="BC126" s="1250"/>
      <c r="BD126" s="1250"/>
      <c r="BE126" s="1250"/>
      <c r="BF126" s="1250"/>
      <c r="BG126" s="1250"/>
      <c r="BH126" s="1250"/>
      <c r="BI126" s="1250"/>
      <c r="BJ126" s="1250"/>
      <c r="BK126" s="1250"/>
      <c r="BL126" s="1250"/>
      <c r="BM126" s="1250"/>
      <c r="BN126" s="1250"/>
      <c r="BO126" s="1250"/>
      <c r="BP126" s="1250"/>
      <c r="BQ126" s="1250"/>
      <c r="BR126" s="1250"/>
      <c r="BS126" s="1250"/>
      <c r="BT126" s="1250"/>
      <c r="BU126" s="1250"/>
      <c r="BV126" s="1250"/>
      <c r="BW126" s="1250"/>
      <c r="BX126" s="1250"/>
      <c r="BY126" s="1250"/>
      <c r="BZ126" s="1250"/>
      <c r="CA126" s="1250"/>
      <c r="CB126" s="1250"/>
      <c r="CC126" s="1250"/>
      <c r="CD126" s="1250"/>
      <c r="CE126" s="1250"/>
      <c r="CF126" s="1250"/>
      <c r="CG126" s="1250"/>
      <c r="CH126" s="1250"/>
      <c r="CI126" s="1250"/>
      <c r="CJ126" s="1250"/>
      <c r="CK126" s="1250"/>
      <c r="CL126" s="1250"/>
      <c r="CM126" s="1250"/>
      <c r="CN126" s="1250"/>
      <c r="CO126" s="1250"/>
      <c r="CP126" s="1250"/>
      <c r="CQ126" s="1250"/>
      <c r="CR126" s="1250"/>
      <c r="CS126" s="1250"/>
      <c r="CT126" s="1250"/>
      <c r="CU126" s="1250"/>
      <c r="CV126" s="1250"/>
      <c r="CW126" s="1250"/>
      <c r="CX126" s="1250"/>
      <c r="CY126" s="1250"/>
      <c r="CZ126" s="1250"/>
      <c r="DA126" s="1250"/>
      <c r="DB126" s="1250"/>
      <c r="DC126" s="1250"/>
      <c r="DD126" s="1250"/>
      <c r="DE126" s="1250"/>
      <c r="DF126" s="1250"/>
      <c r="DG126" s="1250"/>
      <c r="DH126" s="1250"/>
      <c r="DI126" s="1250"/>
      <c r="DJ126" s="1250"/>
      <c r="DK126" s="1250"/>
      <c r="DL126" s="1250"/>
      <c r="DM126" s="1250"/>
      <c r="DN126" s="1250"/>
      <c r="DO126" s="1250"/>
      <c r="DP126" s="1250"/>
      <c r="DQ126" s="1250"/>
      <c r="DR126" s="1250"/>
      <c r="DS126" s="1250"/>
      <c r="DT126" s="1250"/>
      <c r="DU126" s="1250"/>
      <c r="DV126" s="1250"/>
      <c r="DW126" s="1250"/>
      <c r="DX126" s="1250"/>
      <c r="DY126" s="1250"/>
      <c r="DZ126" s="1250"/>
      <c r="EA126" s="1250"/>
      <c r="EB126" s="1250"/>
      <c r="EC126" s="1250"/>
      <c r="ED126" s="1250"/>
      <c r="EE126" s="1250"/>
      <c r="EF126" s="1250"/>
      <c r="EG126" s="1250"/>
      <c r="EH126" s="1250"/>
      <c r="EI126" s="1250"/>
      <c r="EJ126" s="1250"/>
      <c r="EK126" s="1250"/>
      <c r="EL126" s="1250"/>
      <c r="EM126" s="1250"/>
      <c r="EN126" s="1250"/>
      <c r="EO126" s="1250"/>
      <c r="EP126" s="1250"/>
      <c r="EQ126" s="1250"/>
      <c r="ER126" s="1250"/>
      <c r="ES126" s="1250"/>
      <c r="ET126" s="1250"/>
      <c r="EU126" s="1250"/>
      <c r="EV126" s="1250"/>
      <c r="EW126" s="1250"/>
      <c r="EX126" s="1250"/>
      <c r="EY126" s="1250"/>
      <c r="EZ126" s="1250"/>
      <c r="FA126" s="1250"/>
      <c r="FB126" s="1250"/>
      <c r="FC126" s="1250"/>
      <c r="FD126" s="1250"/>
      <c r="FE126" s="1250"/>
      <c r="FF126" s="1250"/>
      <c r="FG126" s="1250"/>
      <c r="FH126" s="1250"/>
      <c r="FI126" s="1250"/>
      <c r="FJ126" s="1250"/>
      <c r="FK126" s="1250"/>
      <c r="FL126" s="1250"/>
      <c r="FM126" s="1250"/>
      <c r="FN126" s="1250"/>
      <c r="FO126" s="1250"/>
      <c r="FP126" s="1250"/>
      <c r="FQ126" s="1250"/>
      <c r="FR126" s="1250"/>
      <c r="FS126" s="1250"/>
      <c r="FT126" s="1250"/>
      <c r="FU126" s="1250"/>
      <c r="FV126" s="1568"/>
      <c r="FW126" s="1550"/>
      <c r="FX126" s="1550" t="str">
        <f t="shared" si="2"/>
        <v>Добавить централизованную систему для дифференциации</v>
      </c>
      <c r="FY126" s="1550"/>
      <c r="FZ126" s="1550"/>
      <c r="GA126" s="1568">
        <v>0</v>
      </c>
    </row>
    <row r="127" spans="1:183" s="1747" customFormat="1" ht="23.25" customHeight="1">
      <c r="A127" s="1289"/>
      <c r="B127" s="1289" t="s">
        <v>376</v>
      </c>
      <c r="C127" s="1289"/>
      <c r="D127" s="1289"/>
      <c r="E127" s="24089"/>
      <c r="F127" s="24088" t="s">
        <v>81</v>
      </c>
      <c r="G127" s="1289"/>
      <c r="H127" s="1289"/>
      <c r="I127" s="1289"/>
      <c r="J127" s="1289"/>
      <c r="K127" s="1289"/>
      <c r="L127" s="1295"/>
      <c r="M127" s="1291"/>
      <c r="N127" s="1291"/>
      <c r="O127" s="1291"/>
      <c r="P127" s="1971"/>
      <c r="Q127" s="288"/>
      <c r="R127" s="289"/>
      <c r="S127" s="1976" t="str">
        <f>INDEX(PT_DIFFERENTIATION_NUM_TER,MATCH(B127,PT_DIFFERENTIATION_TER_ID,0))</f>
        <v>1.3</v>
      </c>
      <c r="T127" s="1448" t="s">
        <v>626</v>
      </c>
      <c r="U127" s="236"/>
      <c r="V127" s="24082"/>
      <c r="W127" s="24083"/>
      <c r="X127" s="24083"/>
      <c r="Y127" s="24083"/>
      <c r="Z127" s="24083"/>
      <c r="AA127" s="24083"/>
      <c r="AB127" s="24083"/>
      <c r="AC127" s="24083"/>
      <c r="AD127" s="24083"/>
      <c r="AE127" s="24083"/>
      <c r="AF127" s="24084"/>
      <c r="AG127" s="24082" t="str">
        <f>INDEX(PT_DIFFERENTIATION_TER,MATCH(B127,PT_DIFFERENTIATION_TER_ID,0))</f>
        <v>Территория 3</v>
      </c>
      <c r="AH127" s="24083"/>
      <c r="AI127" s="24083"/>
      <c r="AJ127" s="24083"/>
      <c r="AK127" s="24083"/>
      <c r="AL127" s="24083"/>
      <c r="AM127" s="24083"/>
      <c r="AN127" s="24083"/>
      <c r="AO127" s="24083"/>
      <c r="AP127" s="24083"/>
      <c r="AQ127" s="24083"/>
      <c r="AR127" s="24173"/>
      <c r="AS127" s="24174"/>
      <c r="AT127" s="24174"/>
      <c r="AU127" s="24174"/>
      <c r="AV127" s="24174"/>
      <c r="AW127" s="24174"/>
      <c r="AX127" s="24174"/>
      <c r="AY127" s="24174"/>
      <c r="AZ127" s="24174"/>
      <c r="BA127" s="24174"/>
      <c r="BB127" s="24175"/>
      <c r="BC127" s="24173"/>
      <c r="BD127" s="24174"/>
      <c r="BE127" s="24174"/>
      <c r="BF127" s="24174"/>
      <c r="BG127" s="24174"/>
      <c r="BH127" s="24174"/>
      <c r="BI127" s="24174"/>
      <c r="BJ127" s="24174"/>
      <c r="BK127" s="24174"/>
      <c r="BL127" s="24174"/>
      <c r="BM127" s="24175"/>
      <c r="BN127" s="24082"/>
      <c r="BO127" s="24083"/>
      <c r="BP127" s="24174"/>
      <c r="BQ127" s="24174"/>
      <c r="BR127" s="24083"/>
      <c r="BS127" s="24174"/>
      <c r="BT127" s="24174"/>
      <c r="BU127" s="24174"/>
      <c r="BV127" s="24174"/>
      <c r="BW127" s="24174"/>
      <c r="BX127" s="24175"/>
      <c r="BY127" s="24173"/>
      <c r="BZ127" s="24174"/>
      <c r="CA127" s="24174"/>
      <c r="CB127" s="24174"/>
      <c r="CC127" s="24174"/>
      <c r="CD127" s="24174"/>
      <c r="CE127" s="24174"/>
      <c r="CF127" s="24174"/>
      <c r="CG127" s="24174"/>
      <c r="CH127" s="24174"/>
      <c r="CI127" s="24175"/>
      <c r="CJ127" s="24173"/>
      <c r="CK127" s="24174"/>
      <c r="CL127" s="24174"/>
      <c r="CM127" s="24174"/>
      <c r="CN127" s="24174"/>
      <c r="CO127" s="24174"/>
      <c r="CP127" s="24174"/>
      <c r="CQ127" s="24174"/>
      <c r="CR127" s="24174"/>
      <c r="CS127" s="24174"/>
      <c r="CT127" s="24175"/>
      <c r="CU127" s="24173"/>
      <c r="CV127" s="24174"/>
      <c r="CW127" s="24174"/>
      <c r="CX127" s="24174"/>
      <c r="CY127" s="24174"/>
      <c r="CZ127" s="24174"/>
      <c r="DA127" s="24174"/>
      <c r="DB127" s="24174"/>
      <c r="DC127" s="24174"/>
      <c r="DD127" s="24174"/>
      <c r="DE127" s="24175"/>
      <c r="DF127" s="24173"/>
      <c r="DG127" s="24174"/>
      <c r="DH127" s="24174"/>
      <c r="DI127" s="24174"/>
      <c r="DJ127" s="24174"/>
      <c r="DK127" s="24174"/>
      <c r="DL127" s="24174"/>
      <c r="DM127" s="24174"/>
      <c r="DN127" s="24174"/>
      <c r="DO127" s="24174"/>
      <c r="DP127" s="24175"/>
      <c r="DQ127" s="24173"/>
      <c r="DR127" s="24174"/>
      <c r="DS127" s="24174"/>
      <c r="DT127" s="24174"/>
      <c r="DU127" s="24174"/>
      <c r="DV127" s="24174"/>
      <c r="DW127" s="24174"/>
      <c r="DX127" s="24174"/>
      <c r="DY127" s="24174"/>
      <c r="DZ127" s="24174"/>
      <c r="EA127" s="24175"/>
      <c r="EB127" s="24173"/>
      <c r="EC127" s="24174"/>
      <c r="ED127" s="24174"/>
      <c r="EE127" s="24174"/>
      <c r="EF127" s="24174"/>
      <c r="EG127" s="24174"/>
      <c r="EH127" s="24174"/>
      <c r="EI127" s="24174"/>
      <c r="EJ127" s="24174"/>
      <c r="EK127" s="24174"/>
      <c r="EL127" s="24175"/>
      <c r="EM127" s="24173"/>
      <c r="EN127" s="24174"/>
      <c r="EO127" s="24174"/>
      <c r="EP127" s="24174"/>
      <c r="EQ127" s="24174"/>
      <c r="ER127" s="24174"/>
      <c r="ES127" s="24174"/>
      <c r="ET127" s="24174"/>
      <c r="EU127" s="24174"/>
      <c r="EV127" s="24174"/>
      <c r="EW127" s="24175"/>
      <c r="EX127" s="24082"/>
      <c r="EY127" s="24083"/>
      <c r="EZ127" s="24174"/>
      <c r="FA127" s="24174"/>
      <c r="FB127" s="24083"/>
      <c r="FC127" s="24174"/>
      <c r="FD127" s="24174"/>
      <c r="FE127" s="24174"/>
      <c r="FF127" s="24174"/>
      <c r="FG127" s="24174"/>
      <c r="FH127" s="24175"/>
      <c r="FI127" s="24082"/>
      <c r="FJ127" s="24083"/>
      <c r="FK127" s="24174"/>
      <c r="FL127" s="24174"/>
      <c r="FM127" s="24083"/>
      <c r="FN127" s="24174"/>
      <c r="FO127" s="24174"/>
      <c r="FP127" s="24083"/>
      <c r="FQ127" s="24083"/>
      <c r="FR127" s="24083"/>
      <c r="FS127" s="24175"/>
      <c r="FT127" s="24084"/>
      <c r="FU127" s="1184" t="s">
        <v>627</v>
      </c>
      <c r="FV127" s="1568"/>
      <c r="FW127" s="1550"/>
      <c r="FX127" s="1550" t="str">
        <f t="shared" si="2"/>
        <v>Территория действия тарифа</v>
      </c>
      <c r="FY127" s="1550"/>
      <c r="FZ127" s="1550"/>
      <c r="GA127" s="1561">
        <v>0</v>
      </c>
    </row>
    <row r="128" spans="1:183" s="1747" customFormat="1" ht="23.25" customHeight="1">
      <c r="A128" s="1289"/>
      <c r="B128" s="1289"/>
      <c r="C128" s="1289" t="s">
        <v>377</v>
      </c>
      <c r="D128" s="1289"/>
      <c r="E128" s="24089"/>
      <c r="F128" s="24089" t="s">
        <v>95</v>
      </c>
      <c r="G128" s="24088">
        <v>1</v>
      </c>
      <c r="H128" s="1289"/>
      <c r="I128" s="1289"/>
      <c r="J128" s="1289"/>
      <c r="K128" s="1289"/>
      <c r="L128" s="1295"/>
      <c r="M128" s="1291"/>
      <c r="N128" s="1291"/>
      <c r="O128" s="1291"/>
      <c r="P128" s="290"/>
      <c r="Q128" s="288"/>
      <c r="R128" s="289"/>
      <c r="S128" s="1976" t="str">
        <f>INDEX(PT_DIFFERENTIATION_NUM_CS,MATCH(C128,PT_DIFFERENTIATION_CS_ID,0))</f>
        <v>1.3.1</v>
      </c>
      <c r="T128" s="245" t="s">
        <v>756</v>
      </c>
      <c r="U128" s="236"/>
      <c r="V128" s="24082"/>
      <c r="W128" s="24083"/>
      <c r="X128" s="24083"/>
      <c r="Y128" s="24083"/>
      <c r="Z128" s="24083"/>
      <c r="AA128" s="24083"/>
      <c r="AB128" s="24083"/>
      <c r="AC128" s="24083"/>
      <c r="AD128" s="24083"/>
      <c r="AE128" s="24083"/>
      <c r="AF128" s="24084"/>
      <c r="AG128" s="24082" t="str">
        <f>INDEX(PT_DIFFERENTIATION_CS,MATCH(C128,PT_DIFFERENTIATION_CS_ID,0))</f>
        <v>с. Ново Никольское Вяземского муниципального округа Смоленской области</v>
      </c>
      <c r="AH128" s="24083"/>
      <c r="AI128" s="24083"/>
      <c r="AJ128" s="24083"/>
      <c r="AK128" s="24083"/>
      <c r="AL128" s="24083"/>
      <c r="AM128" s="24083"/>
      <c r="AN128" s="24083"/>
      <c r="AO128" s="24083"/>
      <c r="AP128" s="24083"/>
      <c r="AQ128" s="24083"/>
      <c r="AR128" s="24173"/>
      <c r="AS128" s="24174"/>
      <c r="AT128" s="24174"/>
      <c r="AU128" s="24174"/>
      <c r="AV128" s="24174"/>
      <c r="AW128" s="24174"/>
      <c r="AX128" s="24174"/>
      <c r="AY128" s="24174"/>
      <c r="AZ128" s="24174"/>
      <c r="BA128" s="24174"/>
      <c r="BB128" s="24175"/>
      <c r="BC128" s="24173"/>
      <c r="BD128" s="24174"/>
      <c r="BE128" s="24174"/>
      <c r="BF128" s="24174"/>
      <c r="BG128" s="24174"/>
      <c r="BH128" s="24174"/>
      <c r="BI128" s="24174"/>
      <c r="BJ128" s="24174"/>
      <c r="BK128" s="24174"/>
      <c r="BL128" s="24174"/>
      <c r="BM128" s="24175"/>
      <c r="BN128" s="24082"/>
      <c r="BO128" s="24083"/>
      <c r="BP128" s="24174"/>
      <c r="BQ128" s="24174"/>
      <c r="BR128" s="24083"/>
      <c r="BS128" s="24174"/>
      <c r="BT128" s="24174"/>
      <c r="BU128" s="24174"/>
      <c r="BV128" s="24174"/>
      <c r="BW128" s="24174"/>
      <c r="BX128" s="24175"/>
      <c r="BY128" s="24173"/>
      <c r="BZ128" s="24174"/>
      <c r="CA128" s="24174"/>
      <c r="CB128" s="24174"/>
      <c r="CC128" s="24174"/>
      <c r="CD128" s="24174"/>
      <c r="CE128" s="24174"/>
      <c r="CF128" s="24174"/>
      <c r="CG128" s="24174"/>
      <c r="CH128" s="24174"/>
      <c r="CI128" s="24175"/>
      <c r="CJ128" s="24173"/>
      <c r="CK128" s="24174"/>
      <c r="CL128" s="24174"/>
      <c r="CM128" s="24174"/>
      <c r="CN128" s="24174"/>
      <c r="CO128" s="24174"/>
      <c r="CP128" s="24174"/>
      <c r="CQ128" s="24174"/>
      <c r="CR128" s="24174"/>
      <c r="CS128" s="24174"/>
      <c r="CT128" s="24175"/>
      <c r="CU128" s="24173"/>
      <c r="CV128" s="24174"/>
      <c r="CW128" s="24174"/>
      <c r="CX128" s="24174"/>
      <c r="CY128" s="24174"/>
      <c r="CZ128" s="24174"/>
      <c r="DA128" s="24174"/>
      <c r="DB128" s="24174"/>
      <c r="DC128" s="24174"/>
      <c r="DD128" s="24174"/>
      <c r="DE128" s="24175"/>
      <c r="DF128" s="24173"/>
      <c r="DG128" s="24174"/>
      <c r="DH128" s="24174"/>
      <c r="DI128" s="24174"/>
      <c r="DJ128" s="24174"/>
      <c r="DK128" s="24174"/>
      <c r="DL128" s="24174"/>
      <c r="DM128" s="24174"/>
      <c r="DN128" s="24174"/>
      <c r="DO128" s="24174"/>
      <c r="DP128" s="24175"/>
      <c r="DQ128" s="24173"/>
      <c r="DR128" s="24174"/>
      <c r="DS128" s="24174"/>
      <c r="DT128" s="24174"/>
      <c r="DU128" s="24174"/>
      <c r="DV128" s="24174"/>
      <c r="DW128" s="24174"/>
      <c r="DX128" s="24174"/>
      <c r="DY128" s="24174"/>
      <c r="DZ128" s="24174"/>
      <c r="EA128" s="24175"/>
      <c r="EB128" s="24173"/>
      <c r="EC128" s="24174"/>
      <c r="ED128" s="24174"/>
      <c r="EE128" s="24174"/>
      <c r="EF128" s="24174"/>
      <c r="EG128" s="24174"/>
      <c r="EH128" s="24174"/>
      <c r="EI128" s="24174"/>
      <c r="EJ128" s="24174"/>
      <c r="EK128" s="24174"/>
      <c r="EL128" s="24175"/>
      <c r="EM128" s="24173"/>
      <c r="EN128" s="24174"/>
      <c r="EO128" s="24174"/>
      <c r="EP128" s="24174"/>
      <c r="EQ128" s="24174"/>
      <c r="ER128" s="24174"/>
      <c r="ES128" s="24174"/>
      <c r="ET128" s="24174"/>
      <c r="EU128" s="24174"/>
      <c r="EV128" s="24174"/>
      <c r="EW128" s="24175"/>
      <c r="EX128" s="24082"/>
      <c r="EY128" s="24083"/>
      <c r="EZ128" s="24174"/>
      <c r="FA128" s="24174"/>
      <c r="FB128" s="24083"/>
      <c r="FC128" s="24174"/>
      <c r="FD128" s="24174"/>
      <c r="FE128" s="24174"/>
      <c r="FF128" s="24174"/>
      <c r="FG128" s="24174"/>
      <c r="FH128" s="24175"/>
      <c r="FI128" s="24082"/>
      <c r="FJ128" s="24083"/>
      <c r="FK128" s="24174"/>
      <c r="FL128" s="24174"/>
      <c r="FM128" s="24083"/>
      <c r="FN128" s="24174"/>
      <c r="FO128" s="24174"/>
      <c r="FP128" s="24083"/>
      <c r="FQ128" s="24083"/>
      <c r="FR128" s="24083"/>
      <c r="FS128" s="24175"/>
      <c r="FT128" s="24084"/>
      <c r="FU128" s="1184" t="s">
        <v>757</v>
      </c>
      <c r="FV128" s="1568"/>
      <c r="FW128" s="1550"/>
      <c r="FX128" s="1550" t="str">
        <f t="shared" si="2"/>
        <v>Наименование централизованной системы горячего водоснабжения</v>
      </c>
      <c r="FY128" s="1550"/>
      <c r="FZ128" s="1550"/>
      <c r="GA128" s="1561">
        <v>0</v>
      </c>
    </row>
    <row r="129" spans="1:183" s="1747" customFormat="1" ht="23.25" customHeight="1">
      <c r="A129" s="1289"/>
      <c r="B129" s="1289"/>
      <c r="C129" s="1289"/>
      <c r="D129" s="1289"/>
      <c r="E129" s="24089"/>
      <c r="F129" s="24089" t="s">
        <v>95</v>
      </c>
      <c r="G129" s="24089"/>
      <c r="H129" s="24089"/>
      <c r="I129" s="24090" t="str">
        <f>S128&amp;".1"</f>
        <v>1.3.1.1</v>
      </c>
      <c r="J129" s="1289"/>
      <c r="K129" s="1289"/>
      <c r="L129" s="1295"/>
      <c r="M129" s="1674"/>
      <c r="N129" s="1674"/>
      <c r="O129" s="1674"/>
      <c r="P129" s="24092">
        <v>1</v>
      </c>
      <c r="Q129" s="1978"/>
      <c r="R129" s="292"/>
      <c r="S129" s="1976" t="str">
        <f>$I129</f>
        <v>1.3.1.1</v>
      </c>
      <c r="T129" s="221" t="s">
        <v>709</v>
      </c>
      <c r="U129" s="236"/>
      <c r="V129" s="24156"/>
      <c r="W129" s="24157"/>
      <c r="X129" s="24157"/>
      <c r="Y129" s="24157"/>
      <c r="Z129" s="24157"/>
      <c r="AA129" s="24157"/>
      <c r="AB129" s="24157"/>
      <c r="AC129" s="24157"/>
      <c r="AD129" s="24157"/>
      <c r="AE129" s="24157"/>
      <c r="AF129" s="24158"/>
      <c r="AG129" s="24159"/>
      <c r="AH129" s="24160"/>
      <c r="AI129" s="24160"/>
      <c r="AJ129" s="24160"/>
      <c r="AK129" s="24160"/>
      <c r="AL129" s="24160"/>
      <c r="AM129" s="24160"/>
      <c r="AN129" s="24160"/>
      <c r="AO129" s="24160"/>
      <c r="AP129" s="24160"/>
      <c r="AQ129" s="24160"/>
      <c r="AR129" s="24176"/>
      <c r="AS129" s="24177"/>
      <c r="AT129" s="24177"/>
      <c r="AU129" s="24177"/>
      <c r="AV129" s="24177"/>
      <c r="AW129" s="24177"/>
      <c r="AX129" s="24177"/>
      <c r="AY129" s="24177"/>
      <c r="AZ129" s="24177"/>
      <c r="BA129" s="24177"/>
      <c r="BB129" s="24178"/>
      <c r="BC129" s="24176"/>
      <c r="BD129" s="24177"/>
      <c r="BE129" s="24177"/>
      <c r="BF129" s="24177"/>
      <c r="BG129" s="24177"/>
      <c r="BH129" s="24177"/>
      <c r="BI129" s="24177"/>
      <c r="BJ129" s="24177"/>
      <c r="BK129" s="24177"/>
      <c r="BL129" s="24177"/>
      <c r="BM129" s="24178"/>
      <c r="BN129" s="24156"/>
      <c r="BO129" s="24157"/>
      <c r="BP129" s="24177"/>
      <c r="BQ129" s="24177"/>
      <c r="BR129" s="24157"/>
      <c r="BS129" s="24177"/>
      <c r="BT129" s="24177"/>
      <c r="BU129" s="24177"/>
      <c r="BV129" s="24177"/>
      <c r="BW129" s="24177"/>
      <c r="BX129" s="24178"/>
      <c r="BY129" s="24176"/>
      <c r="BZ129" s="24177"/>
      <c r="CA129" s="24177"/>
      <c r="CB129" s="24177"/>
      <c r="CC129" s="24177"/>
      <c r="CD129" s="24177"/>
      <c r="CE129" s="24177"/>
      <c r="CF129" s="24177"/>
      <c r="CG129" s="24177"/>
      <c r="CH129" s="24177"/>
      <c r="CI129" s="24178"/>
      <c r="CJ129" s="24176"/>
      <c r="CK129" s="24177"/>
      <c r="CL129" s="24177"/>
      <c r="CM129" s="24177"/>
      <c r="CN129" s="24177"/>
      <c r="CO129" s="24177"/>
      <c r="CP129" s="24177"/>
      <c r="CQ129" s="24177"/>
      <c r="CR129" s="24177"/>
      <c r="CS129" s="24177"/>
      <c r="CT129" s="24178"/>
      <c r="CU129" s="24176"/>
      <c r="CV129" s="24177"/>
      <c r="CW129" s="24177"/>
      <c r="CX129" s="24177"/>
      <c r="CY129" s="24177"/>
      <c r="CZ129" s="24177"/>
      <c r="DA129" s="24177"/>
      <c r="DB129" s="24177"/>
      <c r="DC129" s="24177"/>
      <c r="DD129" s="24177"/>
      <c r="DE129" s="24178"/>
      <c r="DF129" s="24176"/>
      <c r="DG129" s="24177"/>
      <c r="DH129" s="24177"/>
      <c r="DI129" s="24177"/>
      <c r="DJ129" s="24177"/>
      <c r="DK129" s="24177"/>
      <c r="DL129" s="24177"/>
      <c r="DM129" s="24177"/>
      <c r="DN129" s="24177"/>
      <c r="DO129" s="24177"/>
      <c r="DP129" s="24178"/>
      <c r="DQ129" s="24176"/>
      <c r="DR129" s="24177"/>
      <c r="DS129" s="24177"/>
      <c r="DT129" s="24177"/>
      <c r="DU129" s="24177"/>
      <c r="DV129" s="24177"/>
      <c r="DW129" s="24177"/>
      <c r="DX129" s="24177"/>
      <c r="DY129" s="24177"/>
      <c r="DZ129" s="24177"/>
      <c r="EA129" s="24178"/>
      <c r="EB129" s="24176"/>
      <c r="EC129" s="24177"/>
      <c r="ED129" s="24177"/>
      <c r="EE129" s="24177"/>
      <c r="EF129" s="24177"/>
      <c r="EG129" s="24177"/>
      <c r="EH129" s="24177"/>
      <c r="EI129" s="24177"/>
      <c r="EJ129" s="24177"/>
      <c r="EK129" s="24177"/>
      <c r="EL129" s="24178"/>
      <c r="EM129" s="24176"/>
      <c r="EN129" s="24177"/>
      <c r="EO129" s="24177"/>
      <c r="EP129" s="24177"/>
      <c r="EQ129" s="24177"/>
      <c r="ER129" s="24177"/>
      <c r="ES129" s="24177"/>
      <c r="ET129" s="24177"/>
      <c r="EU129" s="24177"/>
      <c r="EV129" s="24177"/>
      <c r="EW129" s="24178"/>
      <c r="EX129" s="24156"/>
      <c r="EY129" s="24157"/>
      <c r="EZ129" s="24177"/>
      <c r="FA129" s="24177"/>
      <c r="FB129" s="24157"/>
      <c r="FC129" s="24177"/>
      <c r="FD129" s="24177"/>
      <c r="FE129" s="24177"/>
      <c r="FF129" s="24177"/>
      <c r="FG129" s="24177"/>
      <c r="FH129" s="24178"/>
      <c r="FI129" s="24156"/>
      <c r="FJ129" s="24157"/>
      <c r="FK129" s="24177"/>
      <c r="FL129" s="24177"/>
      <c r="FM129" s="24157"/>
      <c r="FN129" s="24177"/>
      <c r="FO129" s="24177"/>
      <c r="FP129" s="24157"/>
      <c r="FQ129" s="24157"/>
      <c r="FR129" s="24157"/>
      <c r="FS129" s="24178"/>
      <c r="FT129" s="24161"/>
      <c r="FU129" s="1184" t="s">
        <v>710</v>
      </c>
      <c r="FV129" s="1568"/>
      <c r="FW129" s="1550"/>
      <c r="FX129" s="1550" t="str">
        <f t="shared" si="2"/>
        <v>Наименование признака дифференциации</v>
      </c>
      <c r="FY129" s="1550"/>
      <c r="FZ129" s="1550"/>
      <c r="GA129" s="1561">
        <v>0</v>
      </c>
    </row>
    <row r="130" spans="1:183" s="1747" customFormat="1" ht="23.25" customHeight="1">
      <c r="A130" s="1289"/>
      <c r="B130" s="1289"/>
      <c r="C130" s="1289"/>
      <c r="D130" s="1289"/>
      <c r="E130" s="24089"/>
      <c r="F130" s="24089" t="s">
        <v>95</v>
      </c>
      <c r="G130" s="24089"/>
      <c r="H130" s="24089"/>
      <c r="I130" s="24091"/>
      <c r="J130" s="24090" t="str">
        <f>I129&amp;".1"</f>
        <v>1.3.1.1.1</v>
      </c>
      <c r="K130" s="1289"/>
      <c r="L130" s="1295" t="s">
        <v>635</v>
      </c>
      <c r="M130" s="1674"/>
      <c r="N130" s="1674"/>
      <c r="O130" s="1674"/>
      <c r="P130" s="24092"/>
      <c r="Q130" s="24092">
        <v>1</v>
      </c>
      <c r="R130" s="293"/>
      <c r="S130" s="1976" t="str">
        <f>$J130</f>
        <v>1.3.1.1.1</v>
      </c>
      <c r="T130" s="222" t="s">
        <v>636</v>
      </c>
      <c r="U130" s="236"/>
      <c r="V130" s="24076"/>
      <c r="W130" s="24077"/>
      <c r="X130" s="24077"/>
      <c r="Y130" s="24077"/>
      <c r="Z130" s="24077"/>
      <c r="AA130" s="24077"/>
      <c r="AB130" s="24077"/>
      <c r="AC130" s="24077"/>
      <c r="AD130" s="24077"/>
      <c r="AE130" s="24077"/>
      <c r="AF130" s="24078"/>
      <c r="AG130" s="24076" t="s">
        <v>769</v>
      </c>
      <c r="AH130" s="24077"/>
      <c r="AI130" s="24077"/>
      <c r="AJ130" s="24077"/>
      <c r="AK130" s="24077"/>
      <c r="AL130" s="24077"/>
      <c r="AM130" s="24077"/>
      <c r="AN130" s="24077"/>
      <c r="AO130" s="24077"/>
      <c r="AP130" s="24077"/>
      <c r="AQ130" s="24077"/>
      <c r="AR130" s="24179"/>
      <c r="AS130" s="24180"/>
      <c r="AT130" s="24180"/>
      <c r="AU130" s="24180"/>
      <c r="AV130" s="24180"/>
      <c r="AW130" s="24180"/>
      <c r="AX130" s="24180"/>
      <c r="AY130" s="24180"/>
      <c r="AZ130" s="24180"/>
      <c r="BA130" s="24180"/>
      <c r="BB130" s="24181"/>
      <c r="BC130" s="24179"/>
      <c r="BD130" s="24180"/>
      <c r="BE130" s="24180"/>
      <c r="BF130" s="24180"/>
      <c r="BG130" s="24180"/>
      <c r="BH130" s="24180"/>
      <c r="BI130" s="24180"/>
      <c r="BJ130" s="24180"/>
      <c r="BK130" s="24180"/>
      <c r="BL130" s="24180"/>
      <c r="BM130" s="24181"/>
      <c r="BN130" s="24076"/>
      <c r="BO130" s="24077"/>
      <c r="BP130" s="24180"/>
      <c r="BQ130" s="24180"/>
      <c r="BR130" s="24077"/>
      <c r="BS130" s="24180"/>
      <c r="BT130" s="24180"/>
      <c r="BU130" s="24180"/>
      <c r="BV130" s="24180"/>
      <c r="BW130" s="24180"/>
      <c r="BX130" s="24181"/>
      <c r="BY130" s="24179"/>
      <c r="BZ130" s="24180"/>
      <c r="CA130" s="24180"/>
      <c r="CB130" s="24180"/>
      <c r="CC130" s="24180"/>
      <c r="CD130" s="24180"/>
      <c r="CE130" s="24180"/>
      <c r="CF130" s="24180"/>
      <c r="CG130" s="24180"/>
      <c r="CH130" s="24180"/>
      <c r="CI130" s="24181"/>
      <c r="CJ130" s="24179"/>
      <c r="CK130" s="24180"/>
      <c r="CL130" s="24180"/>
      <c r="CM130" s="24180"/>
      <c r="CN130" s="24180"/>
      <c r="CO130" s="24180"/>
      <c r="CP130" s="24180"/>
      <c r="CQ130" s="24180"/>
      <c r="CR130" s="24180"/>
      <c r="CS130" s="24180"/>
      <c r="CT130" s="24181"/>
      <c r="CU130" s="24179"/>
      <c r="CV130" s="24180"/>
      <c r="CW130" s="24180"/>
      <c r="CX130" s="24180"/>
      <c r="CY130" s="24180"/>
      <c r="CZ130" s="24180"/>
      <c r="DA130" s="24180"/>
      <c r="DB130" s="24180"/>
      <c r="DC130" s="24180"/>
      <c r="DD130" s="24180"/>
      <c r="DE130" s="24181"/>
      <c r="DF130" s="24179"/>
      <c r="DG130" s="24180"/>
      <c r="DH130" s="24180"/>
      <c r="DI130" s="24180"/>
      <c r="DJ130" s="24180"/>
      <c r="DK130" s="24180"/>
      <c r="DL130" s="24180"/>
      <c r="DM130" s="24180"/>
      <c r="DN130" s="24180"/>
      <c r="DO130" s="24180"/>
      <c r="DP130" s="24181"/>
      <c r="DQ130" s="24179"/>
      <c r="DR130" s="24180"/>
      <c r="DS130" s="24180"/>
      <c r="DT130" s="24180"/>
      <c r="DU130" s="24180"/>
      <c r="DV130" s="24180"/>
      <c r="DW130" s="24180"/>
      <c r="DX130" s="24180"/>
      <c r="DY130" s="24180"/>
      <c r="DZ130" s="24180"/>
      <c r="EA130" s="24181"/>
      <c r="EB130" s="24179"/>
      <c r="EC130" s="24180"/>
      <c r="ED130" s="24180"/>
      <c r="EE130" s="24180"/>
      <c r="EF130" s="24180"/>
      <c r="EG130" s="24180"/>
      <c r="EH130" s="24180"/>
      <c r="EI130" s="24180"/>
      <c r="EJ130" s="24180"/>
      <c r="EK130" s="24180"/>
      <c r="EL130" s="24181"/>
      <c r="EM130" s="24179"/>
      <c r="EN130" s="24180"/>
      <c r="EO130" s="24180"/>
      <c r="EP130" s="24180"/>
      <c r="EQ130" s="24180"/>
      <c r="ER130" s="24180"/>
      <c r="ES130" s="24180"/>
      <c r="ET130" s="24180"/>
      <c r="EU130" s="24180"/>
      <c r="EV130" s="24180"/>
      <c r="EW130" s="24181"/>
      <c r="EX130" s="24076"/>
      <c r="EY130" s="24077"/>
      <c r="EZ130" s="24180"/>
      <c r="FA130" s="24180"/>
      <c r="FB130" s="24077"/>
      <c r="FC130" s="24180"/>
      <c r="FD130" s="24180"/>
      <c r="FE130" s="24180"/>
      <c r="FF130" s="24180"/>
      <c r="FG130" s="24180"/>
      <c r="FH130" s="24181"/>
      <c r="FI130" s="24076"/>
      <c r="FJ130" s="24077"/>
      <c r="FK130" s="24180"/>
      <c r="FL130" s="24180"/>
      <c r="FM130" s="24077"/>
      <c r="FN130" s="24180"/>
      <c r="FO130" s="24180"/>
      <c r="FP130" s="24077"/>
      <c r="FQ130" s="24077"/>
      <c r="FR130" s="24077"/>
      <c r="FS130" s="24181"/>
      <c r="FT130" s="24078"/>
      <c r="FU130" s="1233" t="s">
        <v>711</v>
      </c>
      <c r="FV130" s="1568"/>
      <c r="FW130" s="1550"/>
      <c r="FX130" s="1550" t="str">
        <f t="shared" si="2"/>
        <v>Группа потребителей</v>
      </c>
      <c r="FY130" s="1550"/>
      <c r="FZ130" s="1550"/>
      <c r="GA130" s="1561">
        <v>0</v>
      </c>
    </row>
    <row r="131" spans="1:183" s="1747" customFormat="1" ht="23.25" customHeight="1">
      <c r="A131" s="1289"/>
      <c r="B131" s="1289"/>
      <c r="C131" s="1289"/>
      <c r="D131" s="1289"/>
      <c r="E131" s="24089"/>
      <c r="F131" s="24089" t="s">
        <v>95</v>
      </c>
      <c r="G131" s="24089"/>
      <c r="H131" s="24089"/>
      <c r="I131" s="24091"/>
      <c r="J131" s="24091"/>
      <c r="K131" s="24090" t="str">
        <f>J130&amp;".1"</f>
        <v>1.3.1.1.1.1</v>
      </c>
      <c r="L131" s="1295"/>
      <c r="M131" s="1674"/>
      <c r="N131" s="1674"/>
      <c r="O131" s="1674"/>
      <c r="P131" s="24092"/>
      <c r="Q131" s="24092"/>
      <c r="R131" s="293">
        <v>1</v>
      </c>
      <c r="S131" s="1976" t="str">
        <f>$K131</f>
        <v>1.3.1.1.1.1</v>
      </c>
      <c r="T131" s="1363"/>
      <c r="U131" s="236"/>
      <c r="V131" s="1286"/>
      <c r="W131" s="1286"/>
      <c r="X131" s="1286"/>
      <c r="Y131" s="1286"/>
      <c r="Z131" s="1286"/>
      <c r="AA131" s="1286"/>
      <c r="AB131" s="1286"/>
      <c r="AC131" s="24086"/>
      <c r="AD131" s="24085" t="s">
        <v>59</v>
      </c>
      <c r="AE131" s="24086"/>
      <c r="AF131" s="24085" t="s">
        <v>59</v>
      </c>
      <c r="AG131" s="687">
        <v>222.5</v>
      </c>
      <c r="AH131" s="687">
        <v>23.34</v>
      </c>
      <c r="AI131" s="687"/>
      <c r="AJ131" s="687"/>
      <c r="AK131" s="687">
        <v>3133.44</v>
      </c>
      <c r="AL131" s="687"/>
      <c r="AM131" s="687"/>
      <c r="AN131" s="24093" t="s">
        <v>9</v>
      </c>
      <c r="AO131" s="23957" t="s">
        <v>59</v>
      </c>
      <c r="AP131" s="24095" t="s">
        <v>770</v>
      </c>
      <c r="AQ131" s="23957" t="s">
        <v>59</v>
      </c>
      <c r="AR131" s="687">
        <v>250.43</v>
      </c>
      <c r="AS131" s="687">
        <v>27.97</v>
      </c>
      <c r="AT131" s="687"/>
      <c r="AU131" s="687"/>
      <c r="AV131" s="687">
        <v>3500.05</v>
      </c>
      <c r="AW131" s="687"/>
      <c r="AX131" s="687"/>
      <c r="AY131" s="24093" t="s">
        <v>772</v>
      </c>
      <c r="AZ131" s="23957" t="s">
        <v>59</v>
      </c>
      <c r="BA131" s="24093" t="s">
        <v>773</v>
      </c>
      <c r="BB131" s="23957" t="s">
        <v>59</v>
      </c>
      <c r="BC131" s="687">
        <v>250.43</v>
      </c>
      <c r="BD131" s="687">
        <v>27.97</v>
      </c>
      <c r="BE131" s="687"/>
      <c r="BF131" s="687"/>
      <c r="BG131" s="687">
        <v>3500.05</v>
      </c>
      <c r="BH131" s="687"/>
      <c r="BI131" s="687"/>
      <c r="BJ131" s="24093" t="s">
        <v>774</v>
      </c>
      <c r="BK131" s="23957" t="s">
        <v>59</v>
      </c>
      <c r="BL131" s="24093" t="s">
        <v>775</v>
      </c>
      <c r="BM131" s="23957" t="s">
        <v>59</v>
      </c>
      <c r="BN131" s="687">
        <v>280.24</v>
      </c>
      <c r="BO131" s="687">
        <v>31.3</v>
      </c>
      <c r="BP131" s="687"/>
      <c r="BQ131" s="687"/>
      <c r="BR131" s="687">
        <v>3916.55</v>
      </c>
      <c r="BS131" s="687"/>
      <c r="BT131" s="687"/>
      <c r="BU131" s="24093" t="s">
        <v>776</v>
      </c>
      <c r="BV131" s="23957" t="s">
        <v>59</v>
      </c>
      <c r="BW131" s="24093" t="s">
        <v>777</v>
      </c>
      <c r="BX131" s="23957" t="s">
        <v>59</v>
      </c>
      <c r="BY131" s="687">
        <v>280.24</v>
      </c>
      <c r="BZ131" s="687">
        <v>31.3</v>
      </c>
      <c r="CA131" s="687"/>
      <c r="CB131" s="687"/>
      <c r="CC131" s="687">
        <v>3916.55</v>
      </c>
      <c r="CD131" s="687"/>
      <c r="CE131" s="687"/>
      <c r="CF131" s="24093" t="s">
        <v>778</v>
      </c>
      <c r="CG131" s="23957" t="s">
        <v>59</v>
      </c>
      <c r="CH131" s="24185">
        <v>46295</v>
      </c>
      <c r="CI131" s="23957" t="s">
        <v>59</v>
      </c>
      <c r="CJ131" s="687">
        <v>310.32</v>
      </c>
      <c r="CK131" s="687">
        <v>35.06</v>
      </c>
      <c r="CL131" s="687"/>
      <c r="CM131" s="687"/>
      <c r="CN131" s="687">
        <v>4330.76</v>
      </c>
      <c r="CO131" s="687"/>
      <c r="CP131" s="687"/>
      <c r="CQ131" s="24185">
        <v>46296</v>
      </c>
      <c r="CR131" s="23957" t="s">
        <v>59</v>
      </c>
      <c r="CS131" s="24093" t="s">
        <v>779</v>
      </c>
      <c r="CT131" s="23957" t="s">
        <v>59</v>
      </c>
      <c r="CU131" s="687">
        <v>299.11</v>
      </c>
      <c r="CV131" s="687">
        <v>23.85</v>
      </c>
      <c r="CW131" s="687"/>
      <c r="CX131" s="687"/>
      <c r="CY131" s="687">
        <f>CN131</f>
        <v>4330.76</v>
      </c>
      <c r="CZ131" s="687"/>
      <c r="DA131" s="687"/>
      <c r="DB131" s="24093" t="s">
        <v>780</v>
      </c>
      <c r="DC131" s="23957" t="s">
        <v>59</v>
      </c>
      <c r="DD131" s="24093" t="s">
        <v>781</v>
      </c>
      <c r="DE131" s="23957" t="s">
        <v>59</v>
      </c>
      <c r="DF131" s="687">
        <v>321.72000000000003</v>
      </c>
      <c r="DG131" s="687">
        <v>23.85</v>
      </c>
      <c r="DH131" s="687"/>
      <c r="DI131" s="687"/>
      <c r="DJ131" s="687">
        <v>4686.3900000000003</v>
      </c>
      <c r="DK131" s="687"/>
      <c r="DL131" s="687"/>
      <c r="DM131" s="24093" t="s">
        <v>782</v>
      </c>
      <c r="DN131" s="23957" t="s">
        <v>59</v>
      </c>
      <c r="DO131" s="24093" t="s">
        <v>783</v>
      </c>
      <c r="DP131" s="23957" t="s">
        <v>59</v>
      </c>
      <c r="DQ131" s="687">
        <f>DF131</f>
        <v>321.72000000000003</v>
      </c>
      <c r="DR131" s="687">
        <f>DG131</f>
        <v>23.85</v>
      </c>
      <c r="DS131" s="687"/>
      <c r="DT131" s="687"/>
      <c r="DU131" s="687">
        <f>DJ131</f>
        <v>4686.3900000000003</v>
      </c>
      <c r="DV131" s="687"/>
      <c r="DW131" s="687"/>
      <c r="DX131" s="24093" t="s">
        <v>784</v>
      </c>
      <c r="DY131" s="23957" t="s">
        <v>59</v>
      </c>
      <c r="DZ131" s="24093" t="s">
        <v>785</v>
      </c>
      <c r="EA131" s="23957" t="s">
        <v>59</v>
      </c>
      <c r="EB131" s="687">
        <v>344.51</v>
      </c>
      <c r="EC131" s="687">
        <v>26.11</v>
      </c>
      <c r="ED131" s="687"/>
      <c r="EE131" s="687"/>
      <c r="EF131" s="687">
        <v>5009.37</v>
      </c>
      <c r="EG131" s="687"/>
      <c r="EH131" s="687"/>
      <c r="EI131" s="24093" t="s">
        <v>786</v>
      </c>
      <c r="EJ131" s="23957" t="s">
        <v>59</v>
      </c>
      <c r="EK131" s="24093" t="s">
        <v>787</v>
      </c>
      <c r="EL131" s="23957" t="s">
        <v>6</v>
      </c>
      <c r="EM131" s="1286"/>
      <c r="EN131" s="1286"/>
      <c r="EO131" s="1286"/>
      <c r="EP131" s="1286"/>
      <c r="EQ131" s="1286"/>
      <c r="ER131" s="1286"/>
      <c r="ES131" s="1286"/>
      <c r="ET131" s="24086"/>
      <c r="EU131" s="24085" t="s">
        <v>59</v>
      </c>
      <c r="EV131" s="24086"/>
      <c r="EW131" s="24085" t="s">
        <v>59</v>
      </c>
      <c r="EX131" s="1286"/>
      <c r="EY131" s="1286"/>
      <c r="EZ131" s="1286"/>
      <c r="FA131" s="1286"/>
      <c r="FB131" s="1286"/>
      <c r="FC131" s="1286"/>
      <c r="FD131" s="1286"/>
      <c r="FE131" s="24086"/>
      <c r="FF131" s="24085" t="s">
        <v>59</v>
      </c>
      <c r="FG131" s="24086"/>
      <c r="FH131" s="24085" t="s">
        <v>59</v>
      </c>
      <c r="FI131" s="1286"/>
      <c r="FJ131" s="1286"/>
      <c r="FK131" s="1286"/>
      <c r="FL131" s="1286"/>
      <c r="FM131" s="1286"/>
      <c r="FN131" s="1286"/>
      <c r="FO131" s="1286"/>
      <c r="FP131" s="24086"/>
      <c r="FQ131" s="24085" t="s">
        <v>59</v>
      </c>
      <c r="FR131" s="24086"/>
      <c r="FS131" s="24085" t="s">
        <v>59</v>
      </c>
      <c r="FT131" s="1364"/>
      <c r="FU13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31" s="1568" t="e">
        <f ca="1">STRCHECKDATE(V132:FT132)</f>
        <v>#NAME?</v>
      </c>
      <c r="FW131" s="1550"/>
      <c r="FX131" s="1550" t="str">
        <f t="shared" si="2"/>
        <v/>
      </c>
      <c r="FY131" s="1550"/>
      <c r="FZ131" s="1550"/>
      <c r="GA131" s="1561">
        <v>0</v>
      </c>
    </row>
    <row r="132" spans="1:183" s="1747" customFormat="1" ht="14.25" customHeight="1">
      <c r="A132" s="1289"/>
      <c r="B132" s="1289"/>
      <c r="C132" s="1289"/>
      <c r="D132" s="1289"/>
      <c r="E132" s="24089"/>
      <c r="F132" s="24089" t="s">
        <v>95</v>
      </c>
      <c r="G132" s="24089"/>
      <c r="H132" s="24089"/>
      <c r="I132" s="24091"/>
      <c r="J132" s="24091"/>
      <c r="K132" s="24090"/>
      <c r="L132" s="1295"/>
      <c r="M132" s="1674"/>
      <c r="N132" s="1674"/>
      <c r="O132" s="1674"/>
      <c r="P132" s="24092"/>
      <c r="Q132" s="24092"/>
      <c r="R132" s="293"/>
      <c r="S132" s="1982"/>
      <c r="T132" s="236"/>
      <c r="U132" s="236"/>
      <c r="V132" s="1286"/>
      <c r="W132" s="1286"/>
      <c r="X132" s="1286"/>
      <c r="Y132" s="1286"/>
      <c r="Z132" s="1286"/>
      <c r="AA132" s="1286"/>
      <c r="AB132" s="1286"/>
      <c r="AC132" s="24085"/>
      <c r="AD132" s="24085"/>
      <c r="AE132" s="24085"/>
      <c r="AF132" s="24085"/>
      <c r="AG132" s="261"/>
      <c r="AH132" s="261"/>
      <c r="AI132" s="261"/>
      <c r="AJ132" s="261"/>
      <c r="AK132" s="261"/>
      <c r="AL132" s="261"/>
      <c r="AM132" s="261"/>
      <c r="AN132" s="24094"/>
      <c r="AO132" s="23957"/>
      <c r="AP132" s="24096"/>
      <c r="AQ132" s="23957"/>
      <c r="AR132" s="261"/>
      <c r="AS132" s="261"/>
      <c r="AT132" s="261"/>
      <c r="AU132" s="261"/>
      <c r="AV132" s="261"/>
      <c r="AW132" s="261"/>
      <c r="AX132" s="261"/>
      <c r="AY132" s="24094"/>
      <c r="AZ132" s="23957"/>
      <c r="BA132" s="24094"/>
      <c r="BB132" s="23957"/>
      <c r="BC132" s="261"/>
      <c r="BD132" s="261"/>
      <c r="BE132" s="261"/>
      <c r="BF132" s="261"/>
      <c r="BG132" s="261"/>
      <c r="BH132" s="261"/>
      <c r="BI132" s="261"/>
      <c r="BJ132" s="24094"/>
      <c r="BK132" s="23957"/>
      <c r="BL132" s="24094"/>
      <c r="BM132" s="23957"/>
      <c r="BN132" s="261"/>
      <c r="BO132" s="261"/>
      <c r="BP132" s="261"/>
      <c r="BQ132" s="261"/>
      <c r="BR132" s="261"/>
      <c r="BS132" s="261"/>
      <c r="BT132" s="261"/>
      <c r="BU132" s="24094"/>
      <c r="BV132" s="23957"/>
      <c r="BW132" s="24094"/>
      <c r="BX132" s="23957"/>
      <c r="BY132" s="261"/>
      <c r="BZ132" s="261"/>
      <c r="CA132" s="261"/>
      <c r="CB132" s="261"/>
      <c r="CC132" s="261"/>
      <c r="CD132" s="261"/>
      <c r="CE132" s="261"/>
      <c r="CF132" s="24094"/>
      <c r="CG132" s="23957"/>
      <c r="CH132" s="24094"/>
      <c r="CI132" s="23957"/>
      <c r="CJ132" s="261"/>
      <c r="CK132" s="261"/>
      <c r="CL132" s="261"/>
      <c r="CM132" s="261"/>
      <c r="CN132" s="261"/>
      <c r="CO132" s="261"/>
      <c r="CP132" s="261"/>
      <c r="CQ132" s="24094"/>
      <c r="CR132" s="23957"/>
      <c r="CS132" s="24094"/>
      <c r="CT132" s="23957"/>
      <c r="CU132" s="261"/>
      <c r="CV132" s="261"/>
      <c r="CW132" s="261"/>
      <c r="CX132" s="261"/>
      <c r="CY132" s="261"/>
      <c r="CZ132" s="261"/>
      <c r="DA132" s="261"/>
      <c r="DB132" s="24094"/>
      <c r="DC132" s="23957"/>
      <c r="DD132" s="24094"/>
      <c r="DE132" s="23957"/>
      <c r="DF132" s="261"/>
      <c r="DG132" s="261"/>
      <c r="DH132" s="261"/>
      <c r="DI132" s="261"/>
      <c r="DJ132" s="261"/>
      <c r="DK132" s="261"/>
      <c r="DL132" s="261"/>
      <c r="DM132" s="24094"/>
      <c r="DN132" s="23957"/>
      <c r="DO132" s="24094"/>
      <c r="DP132" s="23957"/>
      <c r="DQ132" s="261"/>
      <c r="DR132" s="261"/>
      <c r="DS132" s="261"/>
      <c r="DT132" s="261"/>
      <c r="DU132" s="261"/>
      <c r="DV132" s="261"/>
      <c r="DW132" s="261"/>
      <c r="DX132" s="24094"/>
      <c r="DY132" s="23957"/>
      <c r="DZ132" s="24094"/>
      <c r="EA132" s="23957"/>
      <c r="EB132" s="261"/>
      <c r="EC132" s="261"/>
      <c r="ED132" s="261"/>
      <c r="EE132" s="261"/>
      <c r="EF132" s="261"/>
      <c r="EG132" s="261"/>
      <c r="EH132" s="261"/>
      <c r="EI132" s="24094"/>
      <c r="EJ132" s="23957"/>
      <c r="EK132" s="24094"/>
      <c r="EL132" s="23957"/>
      <c r="EM132" s="1286"/>
      <c r="EN132" s="1286"/>
      <c r="EO132" s="1286"/>
      <c r="EP132" s="1286"/>
      <c r="EQ132" s="1286"/>
      <c r="ER132" s="1286"/>
      <c r="ES132" s="1286"/>
      <c r="ET132" s="24085"/>
      <c r="EU132" s="24085"/>
      <c r="EV132" s="24085"/>
      <c r="EW132" s="24085"/>
      <c r="EX132" s="1286"/>
      <c r="EY132" s="1286"/>
      <c r="EZ132" s="1286"/>
      <c r="FA132" s="1286"/>
      <c r="FB132" s="1286"/>
      <c r="FC132" s="1286"/>
      <c r="FD132" s="1286"/>
      <c r="FE132" s="24085"/>
      <c r="FF132" s="24085"/>
      <c r="FG132" s="24085"/>
      <c r="FH132" s="24085"/>
      <c r="FI132" s="1286"/>
      <c r="FJ132" s="1286"/>
      <c r="FK132" s="1286"/>
      <c r="FL132" s="1286"/>
      <c r="FM132" s="1286"/>
      <c r="FN132" s="1286"/>
      <c r="FO132" s="1286"/>
      <c r="FP132" s="24085"/>
      <c r="FQ132" s="24085"/>
      <c r="FR132" s="24085"/>
      <c r="FS132" s="24085"/>
      <c r="FT132" s="1365"/>
      <c r="FU132" s="24162"/>
      <c r="FV132" s="1568"/>
      <c r="FW132" s="1550"/>
      <c r="FX132" s="1550" t="str">
        <f t="shared" si="2"/>
        <v/>
      </c>
      <c r="FY132" s="1550"/>
      <c r="FZ132" s="1550"/>
      <c r="GA132" s="1561">
        <v>0</v>
      </c>
    </row>
    <row r="133" spans="1:183" s="1747" customFormat="1" ht="21" customHeight="1">
      <c r="A133" s="1289"/>
      <c r="B133" s="1289"/>
      <c r="C133" s="1289"/>
      <c r="D133" s="1289"/>
      <c r="E133" s="24089"/>
      <c r="F133" s="24089" t="s">
        <v>95</v>
      </c>
      <c r="G133" s="24089"/>
      <c r="H133" s="24089"/>
      <c r="I133" s="24091"/>
      <c r="J133" s="24090"/>
      <c r="K133" s="1289"/>
      <c r="L133" s="1295"/>
      <c r="M133" s="1674"/>
      <c r="N133" s="1674"/>
      <c r="O133" s="1674"/>
      <c r="P133" s="24092"/>
      <c r="Q133" s="24092"/>
      <c r="R133" s="292"/>
      <c r="S133" s="2723"/>
      <c r="T133" s="2724" t="s">
        <v>712</v>
      </c>
      <c r="U133" s="2725"/>
      <c r="V133" s="2726"/>
      <c r="W133" s="2727"/>
      <c r="X133" s="2728"/>
      <c r="Y133" s="2729"/>
      <c r="Z133" s="2730"/>
      <c r="AA133" s="2731"/>
      <c r="AB133" s="2732"/>
      <c r="AC133" s="2733"/>
      <c r="AD133" s="2734"/>
      <c r="AE133" s="2735"/>
      <c r="AF133" s="2736"/>
      <c r="AG133" s="2737"/>
      <c r="AH133" s="2738"/>
      <c r="AI133" s="2739"/>
      <c r="AJ133" s="2740"/>
      <c r="AK133" s="2741"/>
      <c r="AL133" s="2742"/>
      <c r="AM133" s="2743"/>
      <c r="AN133" s="2744"/>
      <c r="AO133" s="2745"/>
      <c r="AP133" s="2746"/>
      <c r="AQ133" s="2747"/>
      <c r="AR133" s="6840"/>
      <c r="AS133" s="6841"/>
      <c r="AT133" s="6842"/>
      <c r="AU133" s="6843"/>
      <c r="AV133" s="6844"/>
      <c r="AW133" s="6845"/>
      <c r="AX133" s="6846"/>
      <c r="AY133" s="6847"/>
      <c r="AZ133" s="6848"/>
      <c r="BA133" s="6849"/>
      <c r="BB133" s="6850"/>
      <c r="BC133" s="6851"/>
      <c r="BD133" s="6852"/>
      <c r="BE133" s="11128"/>
      <c r="BF133" s="11129"/>
      <c r="BG133" s="21848"/>
      <c r="BH133" s="11130"/>
      <c r="BI133" s="11131"/>
      <c r="BJ133" s="11132"/>
      <c r="BK133" s="11133"/>
      <c r="BL133" s="11134"/>
      <c r="BM133" s="11135"/>
      <c r="BN133" s="2748"/>
      <c r="BO133" s="2749"/>
      <c r="BP133" s="11136"/>
      <c r="BQ133" s="11137"/>
      <c r="BR133" s="2750"/>
      <c r="BS133" s="11138"/>
      <c r="BT133" s="11139"/>
      <c r="BU133" s="11140"/>
      <c r="BV133" s="11141"/>
      <c r="BW133" s="11142"/>
      <c r="BX133" s="11143"/>
      <c r="BY133" s="11144"/>
      <c r="BZ133" s="11145"/>
      <c r="CA133" s="11146"/>
      <c r="CB133" s="11147"/>
      <c r="CC133" s="11148"/>
      <c r="CD133" s="11149"/>
      <c r="CE133" s="11150"/>
      <c r="CF133" s="11151"/>
      <c r="CG133" s="11152"/>
      <c r="CH133" s="11153"/>
      <c r="CI133" s="11154"/>
      <c r="CJ133" s="11155"/>
      <c r="CK133" s="11156"/>
      <c r="CL133" s="11157"/>
      <c r="CM133" s="11158"/>
      <c r="CN133" s="11159"/>
      <c r="CO133" s="11160"/>
      <c r="CP133" s="11161"/>
      <c r="CQ133" s="11162"/>
      <c r="CR133" s="11163"/>
      <c r="CS133" s="11164"/>
      <c r="CT133" s="11165"/>
      <c r="CU133" s="11166"/>
      <c r="CV133" s="11167"/>
      <c r="CW133" s="11168"/>
      <c r="CX133" s="11169"/>
      <c r="CY133" s="11170"/>
      <c r="CZ133" s="11171"/>
      <c r="DA133" s="11172"/>
      <c r="DB133" s="11173"/>
      <c r="DC133" s="11174"/>
      <c r="DD133" s="11175"/>
      <c r="DE133" s="11176"/>
      <c r="DF133" s="11177"/>
      <c r="DG133" s="11178"/>
      <c r="DH133" s="11179"/>
      <c r="DI133" s="11180"/>
      <c r="DJ133" s="11181"/>
      <c r="DK133" s="11182"/>
      <c r="DL133" s="11183"/>
      <c r="DM133" s="11184"/>
      <c r="DN133" s="11185"/>
      <c r="DO133" s="11186"/>
      <c r="DP133" s="11187"/>
      <c r="DQ133" s="11188"/>
      <c r="DR133" s="11189"/>
      <c r="DS133" s="11190"/>
      <c r="DT133" s="11191"/>
      <c r="DU133" s="11192"/>
      <c r="DV133" s="11193"/>
      <c r="DW133" s="11194"/>
      <c r="DX133" s="11195"/>
      <c r="DY133" s="11196"/>
      <c r="DZ133" s="11197"/>
      <c r="EA133" s="11198"/>
      <c r="EB133" s="11199"/>
      <c r="EC133" s="11200"/>
      <c r="ED133" s="11201"/>
      <c r="EE133" s="11202"/>
      <c r="EF133" s="11203"/>
      <c r="EG133" s="11204"/>
      <c r="EH133" s="11205"/>
      <c r="EI133" s="11206"/>
      <c r="EJ133" s="11207"/>
      <c r="EK133" s="11208"/>
      <c r="EL133" s="11209"/>
      <c r="EM133" s="21500"/>
      <c r="EN133" s="21501"/>
      <c r="EO133" s="11210"/>
      <c r="EP133" s="11211"/>
      <c r="EQ133" s="21502"/>
      <c r="ER133" s="11212"/>
      <c r="ES133" s="11213"/>
      <c r="ET133" s="11214"/>
      <c r="EU133" s="11215"/>
      <c r="EV133" s="11216"/>
      <c r="EW133" s="11217"/>
      <c r="EX133" s="2751"/>
      <c r="EY133" s="2752"/>
      <c r="EZ133" s="11218"/>
      <c r="FA133" s="11219"/>
      <c r="FB133" s="2753"/>
      <c r="FC133" s="11220"/>
      <c r="FD133" s="11221"/>
      <c r="FE133" s="11222"/>
      <c r="FF133" s="11223"/>
      <c r="FG133" s="11224"/>
      <c r="FH133" s="5684"/>
      <c r="FI133" s="22578"/>
      <c r="FJ133" s="22579"/>
      <c r="FK133" s="23382"/>
      <c r="FL133" s="23383"/>
      <c r="FM133" s="22580"/>
      <c r="FN133" s="23384"/>
      <c r="FO133" s="23385"/>
      <c r="FP133" s="22581"/>
      <c r="FQ133" s="22582"/>
      <c r="FR133" s="22583"/>
      <c r="FS133" s="23386"/>
      <c r="FT133" s="2754"/>
      <c r="FU133" s="1184" t="s">
        <v>713</v>
      </c>
      <c r="FV133" s="1568"/>
      <c r="FW133" s="1550"/>
      <c r="FX133" s="1550" t="str">
        <f t="shared" si="2"/>
        <v>Добавить значение признака дифференциации</v>
      </c>
      <c r="FY133" s="1550"/>
      <c r="FZ133" s="1550"/>
      <c r="GA133" s="1561">
        <v>0</v>
      </c>
    </row>
    <row r="134" spans="1:183" s="1747" customFormat="1" ht="23.25" customHeight="1">
      <c r="A134" s="1289"/>
      <c r="B134" s="1289"/>
      <c r="C134" s="1289"/>
      <c r="D134" s="1289"/>
      <c r="E134" s="24089"/>
      <c r="F134" s="24089"/>
      <c r="G134" s="24089"/>
      <c r="H134" s="24089"/>
      <c r="I134" s="24091"/>
      <c r="J134" s="24090" t="str">
        <f>I129&amp;".2"</f>
        <v>1.3.1.1.2</v>
      </c>
      <c r="K134" s="1289"/>
      <c r="L134" s="1295" t="s">
        <v>635</v>
      </c>
      <c r="M134" s="1674"/>
      <c r="N134" s="1674"/>
      <c r="O134" s="1674"/>
      <c r="P134" s="24092"/>
      <c r="Q134" s="24206" t="s">
        <v>96</v>
      </c>
      <c r="R134" s="293"/>
      <c r="S134" s="1976" t="str">
        <f>$J134</f>
        <v>1.3.1.1.2</v>
      </c>
      <c r="T134" s="222" t="s">
        <v>636</v>
      </c>
      <c r="U134" s="236"/>
      <c r="V134" s="24076"/>
      <c r="W134" s="24077"/>
      <c r="X134" s="24077"/>
      <c r="Y134" s="24077"/>
      <c r="Z134" s="24077"/>
      <c r="AA134" s="24077"/>
      <c r="AB134" s="24077"/>
      <c r="AC134" s="24077"/>
      <c r="AD134" s="24077"/>
      <c r="AE134" s="24077"/>
      <c r="AF134" s="24078"/>
      <c r="AG134" s="24076" t="s">
        <v>771</v>
      </c>
      <c r="AH134" s="24077"/>
      <c r="AI134" s="24077"/>
      <c r="AJ134" s="24077"/>
      <c r="AK134" s="24077"/>
      <c r="AL134" s="24077"/>
      <c r="AM134" s="24077"/>
      <c r="AN134" s="24077"/>
      <c r="AO134" s="24077"/>
      <c r="AP134" s="24077"/>
      <c r="AQ134" s="24077"/>
      <c r="AR134" s="24179"/>
      <c r="AS134" s="24180"/>
      <c r="AT134" s="24180"/>
      <c r="AU134" s="24180"/>
      <c r="AV134" s="24180"/>
      <c r="AW134" s="24180"/>
      <c r="AX134" s="24180"/>
      <c r="AY134" s="24180"/>
      <c r="AZ134" s="24180"/>
      <c r="BA134" s="24180"/>
      <c r="BB134" s="24181"/>
      <c r="BC134" s="24179"/>
      <c r="BD134" s="24180"/>
      <c r="BE134" s="24180"/>
      <c r="BF134" s="24180"/>
      <c r="BG134" s="24180"/>
      <c r="BH134" s="24180"/>
      <c r="BI134" s="24180"/>
      <c r="BJ134" s="24180"/>
      <c r="BK134" s="24180"/>
      <c r="BL134" s="24180"/>
      <c r="BM134" s="24181"/>
      <c r="BN134" s="24076"/>
      <c r="BO134" s="24077"/>
      <c r="BP134" s="24180"/>
      <c r="BQ134" s="24180"/>
      <c r="BR134" s="24077"/>
      <c r="BS134" s="24180"/>
      <c r="BT134" s="24180"/>
      <c r="BU134" s="24180"/>
      <c r="BV134" s="24180"/>
      <c r="BW134" s="24180"/>
      <c r="BX134" s="24181"/>
      <c r="BY134" s="24179"/>
      <c r="BZ134" s="24180"/>
      <c r="CA134" s="24180"/>
      <c r="CB134" s="24180"/>
      <c r="CC134" s="24180"/>
      <c r="CD134" s="24180"/>
      <c r="CE134" s="24180"/>
      <c r="CF134" s="24180"/>
      <c r="CG134" s="24180"/>
      <c r="CH134" s="24180"/>
      <c r="CI134" s="24181"/>
      <c r="CJ134" s="24179"/>
      <c r="CK134" s="24180"/>
      <c r="CL134" s="24180"/>
      <c r="CM134" s="24180"/>
      <c r="CN134" s="24180"/>
      <c r="CO134" s="24180"/>
      <c r="CP134" s="24180"/>
      <c r="CQ134" s="24180"/>
      <c r="CR134" s="24180"/>
      <c r="CS134" s="24180"/>
      <c r="CT134" s="24181"/>
      <c r="CU134" s="24179"/>
      <c r="CV134" s="24180"/>
      <c r="CW134" s="24180"/>
      <c r="CX134" s="24180"/>
      <c r="CY134" s="24180"/>
      <c r="CZ134" s="24180"/>
      <c r="DA134" s="24180"/>
      <c r="DB134" s="24180"/>
      <c r="DC134" s="24180"/>
      <c r="DD134" s="24180"/>
      <c r="DE134" s="24181"/>
      <c r="DF134" s="24179"/>
      <c r="DG134" s="24180"/>
      <c r="DH134" s="24180"/>
      <c r="DI134" s="24180"/>
      <c r="DJ134" s="24180"/>
      <c r="DK134" s="24180"/>
      <c r="DL134" s="24180"/>
      <c r="DM134" s="24180"/>
      <c r="DN134" s="24180"/>
      <c r="DO134" s="24180"/>
      <c r="DP134" s="24181"/>
      <c r="DQ134" s="24179"/>
      <c r="DR134" s="24180"/>
      <c r="DS134" s="24180"/>
      <c r="DT134" s="24180"/>
      <c r="DU134" s="24180"/>
      <c r="DV134" s="24180"/>
      <c r="DW134" s="24180"/>
      <c r="DX134" s="24180"/>
      <c r="DY134" s="24180"/>
      <c r="DZ134" s="24180"/>
      <c r="EA134" s="24181"/>
      <c r="EB134" s="24179"/>
      <c r="EC134" s="24180"/>
      <c r="ED134" s="24180"/>
      <c r="EE134" s="24180"/>
      <c r="EF134" s="24180"/>
      <c r="EG134" s="24180"/>
      <c r="EH134" s="24180"/>
      <c r="EI134" s="24180"/>
      <c r="EJ134" s="24180"/>
      <c r="EK134" s="24180"/>
      <c r="EL134" s="24181"/>
      <c r="EM134" s="24179"/>
      <c r="EN134" s="24180"/>
      <c r="EO134" s="24180"/>
      <c r="EP134" s="24180"/>
      <c r="EQ134" s="24180"/>
      <c r="ER134" s="24180"/>
      <c r="ES134" s="24180"/>
      <c r="ET134" s="24180"/>
      <c r="EU134" s="24180"/>
      <c r="EV134" s="24180"/>
      <c r="EW134" s="24181"/>
      <c r="EX134" s="24076"/>
      <c r="EY134" s="24077"/>
      <c r="EZ134" s="24180"/>
      <c r="FA134" s="24180"/>
      <c r="FB134" s="24077"/>
      <c r="FC134" s="24180"/>
      <c r="FD134" s="24180"/>
      <c r="FE134" s="24180"/>
      <c r="FF134" s="24180"/>
      <c r="FG134" s="24180"/>
      <c r="FH134" s="24181"/>
      <c r="FI134" s="24076"/>
      <c r="FJ134" s="24077"/>
      <c r="FK134" s="24180"/>
      <c r="FL134" s="24180"/>
      <c r="FM134" s="24077"/>
      <c r="FN134" s="24180"/>
      <c r="FO134" s="24180"/>
      <c r="FP134" s="24077"/>
      <c r="FQ134" s="24077"/>
      <c r="FR134" s="24077"/>
      <c r="FS134" s="24181"/>
      <c r="FT134" s="24078"/>
      <c r="FU134" s="1233" t="s">
        <v>711</v>
      </c>
      <c r="FV134" s="1568"/>
      <c r="FW134" s="1550"/>
      <c r="FX134" s="1550" t="str">
        <f t="shared" si="2"/>
        <v>Группа потребителей</v>
      </c>
      <c r="FY134" s="1550"/>
      <c r="FZ134" s="1550"/>
      <c r="GA134" s="1561">
        <v>0</v>
      </c>
    </row>
    <row r="135" spans="1:183" s="1747" customFormat="1" ht="23.25" customHeight="1">
      <c r="A135" s="1289"/>
      <c r="B135" s="1289"/>
      <c r="C135" s="1289"/>
      <c r="D135" s="1289"/>
      <c r="E135" s="24089"/>
      <c r="F135" s="24089"/>
      <c r="G135" s="24089"/>
      <c r="H135" s="24089"/>
      <c r="I135" s="24091"/>
      <c r="J135" s="24091" t="str">
        <f>I129&amp;".1"</f>
        <v>1.3.1.1.1</v>
      </c>
      <c r="K135" s="24090" t="str">
        <f>J134&amp;".1"</f>
        <v>1.3.1.1.2.1</v>
      </c>
      <c r="L135" s="1295"/>
      <c r="M135" s="1674"/>
      <c r="N135" s="1674"/>
      <c r="O135" s="1674"/>
      <c r="P135" s="24092"/>
      <c r="Q135" s="24092"/>
      <c r="R135" s="293">
        <v>1</v>
      </c>
      <c r="S135" s="1976" t="str">
        <f>$K135</f>
        <v>1.3.1.1.2.1</v>
      </c>
      <c r="T135" s="1363"/>
      <c r="U135" s="236"/>
      <c r="V135" s="1286"/>
      <c r="W135" s="1286"/>
      <c r="X135" s="1286"/>
      <c r="Y135" s="1286"/>
      <c r="Z135" s="1286"/>
      <c r="AA135" s="1286"/>
      <c r="AB135" s="1286"/>
      <c r="AC135" s="24086"/>
      <c r="AD135" s="24085" t="s">
        <v>59</v>
      </c>
      <c r="AE135" s="24086"/>
      <c r="AF135" s="24085" t="s">
        <v>59</v>
      </c>
      <c r="AG135" s="687">
        <v>195.86</v>
      </c>
      <c r="AH135" s="687">
        <v>28.01</v>
      </c>
      <c r="AI135" s="687"/>
      <c r="AJ135" s="687"/>
      <c r="AK135" s="687">
        <v>2640.98</v>
      </c>
      <c r="AL135" s="687"/>
      <c r="AM135" s="687"/>
      <c r="AN135" s="24093" t="s">
        <v>9</v>
      </c>
      <c r="AO135" s="23957" t="s">
        <v>59</v>
      </c>
      <c r="AP135" s="24095" t="s">
        <v>770</v>
      </c>
      <c r="AQ135" s="23957" t="s">
        <v>59</v>
      </c>
      <c r="AR135" s="687">
        <v>218.21</v>
      </c>
      <c r="AS135" s="687">
        <v>33.56</v>
      </c>
      <c r="AT135" s="687"/>
      <c r="AU135" s="687"/>
      <c r="AV135" s="687">
        <v>2905.08</v>
      </c>
      <c r="AW135" s="687"/>
      <c r="AX135" s="687"/>
      <c r="AY135" s="24093" t="s">
        <v>772</v>
      </c>
      <c r="AZ135" s="23957" t="s">
        <v>59</v>
      </c>
      <c r="BA135" s="24093" t="s">
        <v>773</v>
      </c>
      <c r="BB135" s="23957" t="s">
        <v>59</v>
      </c>
      <c r="BC135" s="687">
        <v>218.21</v>
      </c>
      <c r="BD135" s="687">
        <v>33.56</v>
      </c>
      <c r="BE135" s="687"/>
      <c r="BF135" s="687"/>
      <c r="BG135" s="687">
        <v>2905.08</v>
      </c>
      <c r="BH135" s="687"/>
      <c r="BI135" s="687"/>
      <c r="BJ135" s="24093" t="s">
        <v>774</v>
      </c>
      <c r="BK135" s="23957" t="s">
        <v>59</v>
      </c>
      <c r="BL135" s="24093" t="s">
        <v>775</v>
      </c>
      <c r="BM135" s="23957" t="s">
        <v>59</v>
      </c>
      <c r="BN135" s="687">
        <v>244.18</v>
      </c>
      <c r="BO135" s="687">
        <v>37.56</v>
      </c>
      <c r="BP135" s="687"/>
      <c r="BQ135" s="687"/>
      <c r="BR135" s="687">
        <v>3250.79</v>
      </c>
      <c r="BS135" s="687"/>
      <c r="BT135" s="687"/>
      <c r="BU135" s="24093" t="s">
        <v>776</v>
      </c>
      <c r="BV135" s="23957" t="s">
        <v>59</v>
      </c>
      <c r="BW135" s="24093" t="s">
        <v>777</v>
      </c>
      <c r="BX135" s="23957" t="s">
        <v>59</v>
      </c>
      <c r="BY135" s="687">
        <v>248.33</v>
      </c>
      <c r="BZ135" s="687">
        <v>38.19</v>
      </c>
      <c r="CA135" s="687"/>
      <c r="CB135" s="687"/>
      <c r="CC135" s="687">
        <v>3306.32</v>
      </c>
      <c r="CD135" s="687"/>
      <c r="CE135" s="687"/>
      <c r="CF135" s="24093" t="s">
        <v>778</v>
      </c>
      <c r="CG135" s="23957" t="s">
        <v>59</v>
      </c>
      <c r="CH135" s="24185">
        <v>46295</v>
      </c>
      <c r="CI135" s="23957" t="s">
        <v>59</v>
      </c>
      <c r="CJ135" s="687">
        <v>278.14</v>
      </c>
      <c r="CK135" s="687">
        <v>42.77</v>
      </c>
      <c r="CL135" s="687"/>
      <c r="CM135" s="687"/>
      <c r="CN135" s="687">
        <v>3703.08</v>
      </c>
      <c r="CO135" s="687"/>
      <c r="CP135" s="687"/>
      <c r="CQ135" s="24185">
        <v>46296</v>
      </c>
      <c r="CR135" s="23957" t="s">
        <v>59</v>
      </c>
      <c r="CS135" s="24093" t="s">
        <v>779</v>
      </c>
      <c r="CT135" s="23957" t="s">
        <v>59</v>
      </c>
      <c r="CU135" s="687">
        <v>264.45999999999998</v>
      </c>
      <c r="CV135" s="687">
        <v>29.1</v>
      </c>
      <c r="CW135" s="687"/>
      <c r="CX135" s="687"/>
      <c r="CY135" s="687">
        <f>CN135</f>
        <v>3703.08</v>
      </c>
      <c r="CZ135" s="687"/>
      <c r="DA135" s="687"/>
      <c r="DB135" s="24185" t="s">
        <v>780</v>
      </c>
      <c r="DC135" s="23957" t="s">
        <v>59</v>
      </c>
      <c r="DD135" s="24093" t="s">
        <v>781</v>
      </c>
      <c r="DE135" s="23957" t="s">
        <v>59</v>
      </c>
      <c r="DF135" s="687">
        <v>284.94</v>
      </c>
      <c r="DG135" s="687">
        <v>29.1</v>
      </c>
      <c r="DH135" s="687"/>
      <c r="DI135" s="687"/>
      <c r="DJ135" s="687">
        <v>4025.24</v>
      </c>
      <c r="DK135" s="687"/>
      <c r="DL135" s="687"/>
      <c r="DM135" s="24093" t="s">
        <v>782</v>
      </c>
      <c r="DN135" s="23957" t="s">
        <v>59</v>
      </c>
      <c r="DO135" s="24093" t="s">
        <v>783</v>
      </c>
      <c r="DP135" s="23957" t="s">
        <v>59</v>
      </c>
      <c r="DQ135" s="687">
        <f>DF135</f>
        <v>284.94</v>
      </c>
      <c r="DR135" s="687">
        <f>DG135</f>
        <v>29.1</v>
      </c>
      <c r="DS135" s="687"/>
      <c r="DT135" s="687"/>
      <c r="DU135" s="687">
        <f>DJ135</f>
        <v>4025.24</v>
      </c>
      <c r="DV135" s="687"/>
      <c r="DW135" s="687"/>
      <c r="DX135" s="24093" t="s">
        <v>784</v>
      </c>
      <c r="DY135" s="23957" t="s">
        <v>59</v>
      </c>
      <c r="DZ135" s="24093" t="s">
        <v>785</v>
      </c>
      <c r="EA135" s="23957" t="s">
        <v>59</v>
      </c>
      <c r="EB135" s="687">
        <v>305.87</v>
      </c>
      <c r="EC135" s="687">
        <v>31.85</v>
      </c>
      <c r="ED135" s="687"/>
      <c r="EE135" s="687"/>
      <c r="EF135" s="687">
        <v>4311.04</v>
      </c>
      <c r="EG135" s="687"/>
      <c r="EH135" s="687"/>
      <c r="EI135" s="24093" t="s">
        <v>786</v>
      </c>
      <c r="EJ135" s="23957" t="s">
        <v>59</v>
      </c>
      <c r="EK135" s="24093" t="s">
        <v>787</v>
      </c>
      <c r="EL135" s="23957" t="s">
        <v>6</v>
      </c>
      <c r="EM135" s="1286"/>
      <c r="EN135" s="1286"/>
      <c r="EO135" s="1286"/>
      <c r="EP135" s="1286"/>
      <c r="EQ135" s="1286"/>
      <c r="ER135" s="1286"/>
      <c r="ES135" s="1286"/>
      <c r="ET135" s="24086"/>
      <c r="EU135" s="24085" t="s">
        <v>59</v>
      </c>
      <c r="EV135" s="24086"/>
      <c r="EW135" s="24085" t="s">
        <v>59</v>
      </c>
      <c r="EX135" s="1286"/>
      <c r="EY135" s="1286"/>
      <c r="EZ135" s="1286"/>
      <c r="FA135" s="1286"/>
      <c r="FB135" s="1286"/>
      <c r="FC135" s="1286"/>
      <c r="FD135" s="1286"/>
      <c r="FE135" s="24086"/>
      <c r="FF135" s="24085" t="s">
        <v>59</v>
      </c>
      <c r="FG135" s="24086"/>
      <c r="FH135" s="24085" t="s">
        <v>59</v>
      </c>
      <c r="FI135" s="1286"/>
      <c r="FJ135" s="1286"/>
      <c r="FK135" s="1286"/>
      <c r="FL135" s="1286"/>
      <c r="FM135" s="1286"/>
      <c r="FN135" s="1286"/>
      <c r="FO135" s="1286"/>
      <c r="FP135" s="24086"/>
      <c r="FQ135" s="24085" t="s">
        <v>59</v>
      </c>
      <c r="FR135" s="24086"/>
      <c r="FS135" s="24085" t="s">
        <v>59</v>
      </c>
      <c r="FT135" s="1364"/>
      <c r="FU13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35" s="1568" t="e">
        <f ca="1">STRCHECKDATE(V136:FT136)</f>
        <v>#NAME?</v>
      </c>
      <c r="FW135" s="1550"/>
      <c r="FX135" s="1550" t="str">
        <f t="shared" si="2"/>
        <v/>
      </c>
      <c r="FY135" s="1550"/>
      <c r="FZ135" s="1550"/>
      <c r="GA135" s="1561">
        <v>0</v>
      </c>
    </row>
    <row r="136" spans="1:183" s="1747" customFormat="1" ht="14.25" customHeight="1">
      <c r="A136" s="1289"/>
      <c r="B136" s="1289"/>
      <c r="C136" s="1289"/>
      <c r="D136" s="1289"/>
      <c r="E136" s="24089"/>
      <c r="F136" s="24089"/>
      <c r="G136" s="24089"/>
      <c r="H136" s="24089"/>
      <c r="I136" s="24091"/>
      <c r="J136" s="24091" t="str">
        <f>I129&amp;".1"</f>
        <v>1.3.1.1.1</v>
      </c>
      <c r="K136" s="24090"/>
      <c r="L136" s="1295"/>
      <c r="M136" s="1674"/>
      <c r="N136" s="1674"/>
      <c r="O136" s="1674"/>
      <c r="P136" s="24092"/>
      <c r="Q136" s="24092"/>
      <c r="R136" s="293"/>
      <c r="S136" s="1982"/>
      <c r="T136" s="236"/>
      <c r="U136" s="236"/>
      <c r="V136" s="1286"/>
      <c r="W136" s="1286"/>
      <c r="X136" s="1286"/>
      <c r="Y136" s="1286"/>
      <c r="Z136" s="1286"/>
      <c r="AA136" s="1286"/>
      <c r="AB136" s="1286"/>
      <c r="AC136" s="24085"/>
      <c r="AD136" s="24085"/>
      <c r="AE136" s="24085"/>
      <c r="AF136" s="24085"/>
      <c r="AG136" s="261"/>
      <c r="AH136" s="261"/>
      <c r="AI136" s="261"/>
      <c r="AJ136" s="261"/>
      <c r="AK136" s="261"/>
      <c r="AL136" s="261"/>
      <c r="AM136" s="261"/>
      <c r="AN136" s="24094"/>
      <c r="AO136" s="23957"/>
      <c r="AP136" s="24096"/>
      <c r="AQ136" s="23957"/>
      <c r="AR136" s="261"/>
      <c r="AS136" s="261"/>
      <c r="AT136" s="261"/>
      <c r="AU136" s="261"/>
      <c r="AV136" s="261"/>
      <c r="AW136" s="261"/>
      <c r="AX136" s="261"/>
      <c r="AY136" s="24094"/>
      <c r="AZ136" s="23957"/>
      <c r="BA136" s="24094"/>
      <c r="BB136" s="23957"/>
      <c r="BC136" s="261"/>
      <c r="BD136" s="261"/>
      <c r="BE136" s="261"/>
      <c r="BF136" s="261"/>
      <c r="BG136" s="261"/>
      <c r="BH136" s="261"/>
      <c r="BI136" s="261"/>
      <c r="BJ136" s="24094"/>
      <c r="BK136" s="23957"/>
      <c r="BL136" s="24094"/>
      <c r="BM136" s="23957"/>
      <c r="BN136" s="261"/>
      <c r="BO136" s="261"/>
      <c r="BP136" s="261"/>
      <c r="BQ136" s="261"/>
      <c r="BR136" s="261"/>
      <c r="BS136" s="261"/>
      <c r="BT136" s="261"/>
      <c r="BU136" s="24094"/>
      <c r="BV136" s="23957"/>
      <c r="BW136" s="24094"/>
      <c r="BX136" s="23957"/>
      <c r="BY136" s="261"/>
      <c r="BZ136" s="261"/>
      <c r="CA136" s="261"/>
      <c r="CB136" s="261"/>
      <c r="CC136" s="261"/>
      <c r="CD136" s="261"/>
      <c r="CE136" s="261"/>
      <c r="CF136" s="24094"/>
      <c r="CG136" s="23957"/>
      <c r="CH136" s="24094"/>
      <c r="CI136" s="23957"/>
      <c r="CJ136" s="261"/>
      <c r="CK136" s="261"/>
      <c r="CL136" s="261"/>
      <c r="CM136" s="261"/>
      <c r="CN136" s="261"/>
      <c r="CO136" s="261"/>
      <c r="CP136" s="261"/>
      <c r="CQ136" s="24094"/>
      <c r="CR136" s="23957"/>
      <c r="CS136" s="24094"/>
      <c r="CT136" s="23957"/>
      <c r="CU136" s="261"/>
      <c r="CV136" s="261"/>
      <c r="CW136" s="261"/>
      <c r="CX136" s="261"/>
      <c r="CY136" s="261"/>
      <c r="CZ136" s="261"/>
      <c r="DA136" s="261"/>
      <c r="DB136" s="24094"/>
      <c r="DC136" s="23957"/>
      <c r="DD136" s="24094"/>
      <c r="DE136" s="23957"/>
      <c r="DF136" s="261"/>
      <c r="DG136" s="261"/>
      <c r="DH136" s="261"/>
      <c r="DI136" s="261"/>
      <c r="DJ136" s="261"/>
      <c r="DK136" s="261"/>
      <c r="DL136" s="261"/>
      <c r="DM136" s="24094"/>
      <c r="DN136" s="23957"/>
      <c r="DO136" s="24094"/>
      <c r="DP136" s="23957"/>
      <c r="DQ136" s="261"/>
      <c r="DR136" s="261"/>
      <c r="DS136" s="261"/>
      <c r="DT136" s="261"/>
      <c r="DU136" s="261"/>
      <c r="DV136" s="261"/>
      <c r="DW136" s="261"/>
      <c r="DX136" s="24094"/>
      <c r="DY136" s="23957"/>
      <c r="DZ136" s="24094"/>
      <c r="EA136" s="23957"/>
      <c r="EB136" s="261"/>
      <c r="EC136" s="261"/>
      <c r="ED136" s="261"/>
      <c r="EE136" s="261"/>
      <c r="EF136" s="261"/>
      <c r="EG136" s="261"/>
      <c r="EH136" s="261"/>
      <c r="EI136" s="24094"/>
      <c r="EJ136" s="23957"/>
      <c r="EK136" s="24094"/>
      <c r="EL136" s="23957"/>
      <c r="EM136" s="1286"/>
      <c r="EN136" s="1286"/>
      <c r="EO136" s="1286"/>
      <c r="EP136" s="1286"/>
      <c r="EQ136" s="1286"/>
      <c r="ER136" s="1286"/>
      <c r="ES136" s="1286"/>
      <c r="ET136" s="24085"/>
      <c r="EU136" s="24085"/>
      <c r="EV136" s="24085"/>
      <c r="EW136" s="24085"/>
      <c r="EX136" s="1286"/>
      <c r="EY136" s="1286"/>
      <c r="EZ136" s="1286"/>
      <c r="FA136" s="1286"/>
      <c r="FB136" s="1286"/>
      <c r="FC136" s="1286"/>
      <c r="FD136" s="1286"/>
      <c r="FE136" s="24085"/>
      <c r="FF136" s="24085"/>
      <c r="FG136" s="24085"/>
      <c r="FH136" s="24085"/>
      <c r="FI136" s="1286"/>
      <c r="FJ136" s="1286"/>
      <c r="FK136" s="1286"/>
      <c r="FL136" s="1286"/>
      <c r="FM136" s="1286"/>
      <c r="FN136" s="1286"/>
      <c r="FO136" s="1286"/>
      <c r="FP136" s="24085"/>
      <c r="FQ136" s="24085"/>
      <c r="FR136" s="24085"/>
      <c r="FS136" s="24085"/>
      <c r="FT136" s="1365"/>
      <c r="FU136" s="24162"/>
      <c r="FV136" s="1568"/>
      <c r="FW136" s="1550"/>
      <c r="FX136" s="1550" t="str">
        <f t="shared" si="2"/>
        <v/>
      </c>
      <c r="FY136" s="1550"/>
      <c r="FZ136" s="1550"/>
      <c r="GA136" s="1561">
        <v>0</v>
      </c>
    </row>
    <row r="137" spans="1:183" s="1747" customFormat="1" ht="21" customHeight="1">
      <c r="A137" s="1289"/>
      <c r="B137" s="1289"/>
      <c r="C137" s="1289"/>
      <c r="D137" s="1289"/>
      <c r="E137" s="24089"/>
      <c r="F137" s="24089"/>
      <c r="G137" s="24089"/>
      <c r="H137" s="24089"/>
      <c r="I137" s="24091"/>
      <c r="J137" s="24090" t="str">
        <f>I129&amp;".1"</f>
        <v>1.3.1.1.1</v>
      </c>
      <c r="K137" s="1289"/>
      <c r="L137" s="1295"/>
      <c r="M137" s="1674"/>
      <c r="N137" s="1674"/>
      <c r="O137" s="1674"/>
      <c r="P137" s="24092"/>
      <c r="Q137" s="24092"/>
      <c r="R137" s="292"/>
      <c r="S137" s="2755"/>
      <c r="T137" s="2756" t="s">
        <v>712</v>
      </c>
      <c r="U137" s="2757"/>
      <c r="V137" s="2758"/>
      <c r="W137" s="2759"/>
      <c r="X137" s="2760"/>
      <c r="Y137" s="2761"/>
      <c r="Z137" s="2762"/>
      <c r="AA137" s="2763"/>
      <c r="AB137" s="2764"/>
      <c r="AC137" s="2765"/>
      <c r="AD137" s="2766"/>
      <c r="AE137" s="2767"/>
      <c r="AF137" s="2768"/>
      <c r="AG137" s="2769"/>
      <c r="AH137" s="2770"/>
      <c r="AI137" s="2771"/>
      <c r="AJ137" s="2772"/>
      <c r="AK137" s="2773"/>
      <c r="AL137" s="2774"/>
      <c r="AM137" s="2775"/>
      <c r="AN137" s="2776"/>
      <c r="AO137" s="2777"/>
      <c r="AP137" s="2778"/>
      <c r="AQ137" s="2779"/>
      <c r="AR137" s="6853"/>
      <c r="AS137" s="6854"/>
      <c r="AT137" s="6855"/>
      <c r="AU137" s="6856"/>
      <c r="AV137" s="6857"/>
      <c r="AW137" s="6858"/>
      <c r="AX137" s="6859"/>
      <c r="AY137" s="6860"/>
      <c r="AZ137" s="6861"/>
      <c r="BA137" s="6862"/>
      <c r="BB137" s="6863"/>
      <c r="BC137" s="6864"/>
      <c r="BD137" s="6865"/>
      <c r="BE137" s="11225"/>
      <c r="BF137" s="11226"/>
      <c r="BG137" s="21849"/>
      <c r="BH137" s="11227"/>
      <c r="BI137" s="11228"/>
      <c r="BJ137" s="11229"/>
      <c r="BK137" s="11230"/>
      <c r="BL137" s="11231"/>
      <c r="BM137" s="11232"/>
      <c r="BN137" s="2780"/>
      <c r="BO137" s="2781"/>
      <c r="BP137" s="11233"/>
      <c r="BQ137" s="11234"/>
      <c r="BR137" s="2782"/>
      <c r="BS137" s="11235"/>
      <c r="BT137" s="11236"/>
      <c r="BU137" s="11237"/>
      <c r="BV137" s="11238"/>
      <c r="BW137" s="11239"/>
      <c r="BX137" s="11240"/>
      <c r="BY137" s="11241"/>
      <c r="BZ137" s="11242"/>
      <c r="CA137" s="11243"/>
      <c r="CB137" s="11244"/>
      <c r="CC137" s="11245"/>
      <c r="CD137" s="11246"/>
      <c r="CE137" s="11247"/>
      <c r="CF137" s="11248"/>
      <c r="CG137" s="11249"/>
      <c r="CH137" s="11250"/>
      <c r="CI137" s="11251"/>
      <c r="CJ137" s="11252"/>
      <c r="CK137" s="11253"/>
      <c r="CL137" s="11254"/>
      <c r="CM137" s="11255"/>
      <c r="CN137" s="11256"/>
      <c r="CO137" s="11257"/>
      <c r="CP137" s="11258"/>
      <c r="CQ137" s="11259"/>
      <c r="CR137" s="11260"/>
      <c r="CS137" s="11261"/>
      <c r="CT137" s="11262"/>
      <c r="CU137" s="11263"/>
      <c r="CV137" s="11264"/>
      <c r="CW137" s="11265"/>
      <c r="CX137" s="11266"/>
      <c r="CY137" s="11267"/>
      <c r="CZ137" s="11268"/>
      <c r="DA137" s="11269"/>
      <c r="DB137" s="11270"/>
      <c r="DC137" s="11271"/>
      <c r="DD137" s="11272"/>
      <c r="DE137" s="11273"/>
      <c r="DF137" s="11274"/>
      <c r="DG137" s="11275"/>
      <c r="DH137" s="11276"/>
      <c r="DI137" s="11277"/>
      <c r="DJ137" s="11278"/>
      <c r="DK137" s="11279"/>
      <c r="DL137" s="11280"/>
      <c r="DM137" s="11281"/>
      <c r="DN137" s="11282"/>
      <c r="DO137" s="11283"/>
      <c r="DP137" s="11284"/>
      <c r="DQ137" s="11285"/>
      <c r="DR137" s="11286"/>
      <c r="DS137" s="11287"/>
      <c r="DT137" s="11288"/>
      <c r="DU137" s="11289"/>
      <c r="DV137" s="11290"/>
      <c r="DW137" s="11291"/>
      <c r="DX137" s="11292"/>
      <c r="DY137" s="11293"/>
      <c r="DZ137" s="11294"/>
      <c r="EA137" s="11295"/>
      <c r="EB137" s="11296"/>
      <c r="EC137" s="11297"/>
      <c r="ED137" s="11298"/>
      <c r="EE137" s="11299"/>
      <c r="EF137" s="11300"/>
      <c r="EG137" s="11301"/>
      <c r="EH137" s="11302"/>
      <c r="EI137" s="11303"/>
      <c r="EJ137" s="11304"/>
      <c r="EK137" s="11305"/>
      <c r="EL137" s="11306"/>
      <c r="EM137" s="21503"/>
      <c r="EN137" s="21504"/>
      <c r="EO137" s="11307"/>
      <c r="EP137" s="11308"/>
      <c r="EQ137" s="21505"/>
      <c r="ER137" s="11309"/>
      <c r="ES137" s="11310"/>
      <c r="ET137" s="11311"/>
      <c r="EU137" s="11312"/>
      <c r="EV137" s="11313"/>
      <c r="EW137" s="11314"/>
      <c r="EX137" s="2783"/>
      <c r="EY137" s="2784"/>
      <c r="EZ137" s="11315"/>
      <c r="FA137" s="11316"/>
      <c r="FB137" s="2785"/>
      <c r="FC137" s="11317"/>
      <c r="FD137" s="11318"/>
      <c r="FE137" s="11319"/>
      <c r="FF137" s="11320"/>
      <c r="FG137" s="11321"/>
      <c r="FH137" s="5685"/>
      <c r="FI137" s="22584"/>
      <c r="FJ137" s="22585"/>
      <c r="FK137" s="23387"/>
      <c r="FL137" s="23388"/>
      <c r="FM137" s="22586"/>
      <c r="FN137" s="23389"/>
      <c r="FO137" s="23390"/>
      <c r="FP137" s="22587"/>
      <c r="FQ137" s="22588"/>
      <c r="FR137" s="22589"/>
      <c r="FS137" s="23391"/>
      <c r="FT137" s="2786"/>
      <c r="FU137" s="1184" t="s">
        <v>713</v>
      </c>
      <c r="FV137" s="1568"/>
      <c r="FW137" s="1550"/>
      <c r="FX137" s="1550" t="str">
        <f t="shared" si="2"/>
        <v>Добавить значение признака дифференциации</v>
      </c>
      <c r="FY137" s="1550"/>
      <c r="FZ137" s="1550"/>
      <c r="GA137" s="1561">
        <v>0</v>
      </c>
    </row>
    <row r="138" spans="1:183" s="1747" customFormat="1" ht="21" customHeight="1">
      <c r="A138" s="1289"/>
      <c r="B138" s="1289"/>
      <c r="C138" s="1289"/>
      <c r="D138" s="1289"/>
      <c r="E138" s="24089"/>
      <c r="F138" s="24089" t="s">
        <v>95</v>
      </c>
      <c r="G138" s="24089"/>
      <c r="H138" s="24089"/>
      <c r="I138" s="24090"/>
      <c r="J138" s="1289"/>
      <c r="K138" s="1289"/>
      <c r="L138" s="1295"/>
      <c r="M138" s="1674"/>
      <c r="N138" s="1674"/>
      <c r="O138" s="1674"/>
      <c r="P138" s="24092"/>
      <c r="Q138" s="1978"/>
      <c r="R138" s="292"/>
      <c r="S138" s="2787"/>
      <c r="T138" s="2788" t="s">
        <v>641</v>
      </c>
      <c r="U138" s="2789"/>
      <c r="V138" s="2790"/>
      <c r="W138" s="2791"/>
      <c r="X138" s="2792"/>
      <c r="Y138" s="2793"/>
      <c r="Z138" s="2794"/>
      <c r="AA138" s="2795"/>
      <c r="AB138" s="2796"/>
      <c r="AC138" s="2797"/>
      <c r="AD138" s="2798"/>
      <c r="AE138" s="2799"/>
      <c r="AF138" s="2800"/>
      <c r="AG138" s="2801"/>
      <c r="AH138" s="2802"/>
      <c r="AI138" s="2803"/>
      <c r="AJ138" s="2804"/>
      <c r="AK138" s="2805"/>
      <c r="AL138" s="2806"/>
      <c r="AM138" s="2807"/>
      <c r="AN138" s="2808"/>
      <c r="AO138" s="2809"/>
      <c r="AP138" s="2810"/>
      <c r="AQ138" s="2811"/>
      <c r="AR138" s="6866"/>
      <c r="AS138" s="6867"/>
      <c r="AT138" s="6868"/>
      <c r="AU138" s="6869"/>
      <c r="AV138" s="6870"/>
      <c r="AW138" s="6871"/>
      <c r="AX138" s="6872"/>
      <c r="AY138" s="6873"/>
      <c r="AZ138" s="6874"/>
      <c r="BA138" s="6875"/>
      <c r="BB138" s="6876"/>
      <c r="BC138" s="6877"/>
      <c r="BD138" s="6878"/>
      <c r="BE138" s="11322"/>
      <c r="BF138" s="11323"/>
      <c r="BG138" s="21850"/>
      <c r="BH138" s="11324"/>
      <c r="BI138" s="11325"/>
      <c r="BJ138" s="11326"/>
      <c r="BK138" s="11327"/>
      <c r="BL138" s="11328"/>
      <c r="BM138" s="11329"/>
      <c r="BN138" s="2812"/>
      <c r="BO138" s="2813"/>
      <c r="BP138" s="11330"/>
      <c r="BQ138" s="11331"/>
      <c r="BR138" s="2814"/>
      <c r="BS138" s="11332"/>
      <c r="BT138" s="11333"/>
      <c r="BU138" s="11334"/>
      <c r="BV138" s="11335"/>
      <c r="BW138" s="11336"/>
      <c r="BX138" s="11337"/>
      <c r="BY138" s="11338"/>
      <c r="BZ138" s="11339"/>
      <c r="CA138" s="11340"/>
      <c r="CB138" s="11341"/>
      <c r="CC138" s="11342"/>
      <c r="CD138" s="11343"/>
      <c r="CE138" s="11344"/>
      <c r="CF138" s="11345"/>
      <c r="CG138" s="11346"/>
      <c r="CH138" s="11347"/>
      <c r="CI138" s="11348"/>
      <c r="CJ138" s="11349"/>
      <c r="CK138" s="11350"/>
      <c r="CL138" s="11351"/>
      <c r="CM138" s="11352"/>
      <c r="CN138" s="11353"/>
      <c r="CO138" s="11354"/>
      <c r="CP138" s="11355"/>
      <c r="CQ138" s="11356"/>
      <c r="CR138" s="11357"/>
      <c r="CS138" s="11358"/>
      <c r="CT138" s="11359"/>
      <c r="CU138" s="11360"/>
      <c r="CV138" s="11361"/>
      <c r="CW138" s="11362"/>
      <c r="CX138" s="11363"/>
      <c r="CY138" s="11364"/>
      <c r="CZ138" s="11365"/>
      <c r="DA138" s="11366"/>
      <c r="DB138" s="11367"/>
      <c r="DC138" s="11368"/>
      <c r="DD138" s="11369"/>
      <c r="DE138" s="11370"/>
      <c r="DF138" s="11371"/>
      <c r="DG138" s="11372"/>
      <c r="DH138" s="11373"/>
      <c r="DI138" s="11374"/>
      <c r="DJ138" s="11375"/>
      <c r="DK138" s="11376"/>
      <c r="DL138" s="11377"/>
      <c r="DM138" s="11378"/>
      <c r="DN138" s="11379"/>
      <c r="DO138" s="11380"/>
      <c r="DP138" s="11381"/>
      <c r="DQ138" s="11382"/>
      <c r="DR138" s="11383"/>
      <c r="DS138" s="11384"/>
      <c r="DT138" s="11385"/>
      <c r="DU138" s="11386"/>
      <c r="DV138" s="11387"/>
      <c r="DW138" s="11388"/>
      <c r="DX138" s="11389"/>
      <c r="DY138" s="11390"/>
      <c r="DZ138" s="11391"/>
      <c r="EA138" s="11392"/>
      <c r="EB138" s="11393"/>
      <c r="EC138" s="11394"/>
      <c r="ED138" s="11395"/>
      <c r="EE138" s="11396"/>
      <c r="EF138" s="11397"/>
      <c r="EG138" s="11398"/>
      <c r="EH138" s="11399"/>
      <c r="EI138" s="11400"/>
      <c r="EJ138" s="11401"/>
      <c r="EK138" s="11402"/>
      <c r="EL138" s="11403"/>
      <c r="EM138" s="21506"/>
      <c r="EN138" s="21507"/>
      <c r="EO138" s="11404"/>
      <c r="EP138" s="11405"/>
      <c r="EQ138" s="21508"/>
      <c r="ER138" s="11406"/>
      <c r="ES138" s="11407"/>
      <c r="ET138" s="11408"/>
      <c r="EU138" s="11409"/>
      <c r="EV138" s="11410"/>
      <c r="EW138" s="11411"/>
      <c r="EX138" s="2815"/>
      <c r="EY138" s="2816"/>
      <c r="EZ138" s="11412"/>
      <c r="FA138" s="11413"/>
      <c r="FB138" s="2817"/>
      <c r="FC138" s="11414"/>
      <c r="FD138" s="11415"/>
      <c r="FE138" s="11416"/>
      <c r="FF138" s="11417"/>
      <c r="FG138" s="11418"/>
      <c r="FH138" s="5686"/>
      <c r="FI138" s="22590"/>
      <c r="FJ138" s="22591"/>
      <c r="FK138" s="23392"/>
      <c r="FL138" s="23393"/>
      <c r="FM138" s="22592"/>
      <c r="FN138" s="23394"/>
      <c r="FO138" s="23395"/>
      <c r="FP138" s="22593"/>
      <c r="FQ138" s="22594"/>
      <c r="FR138" s="22595"/>
      <c r="FS138" s="23396"/>
      <c r="FT138" s="2818"/>
      <c r="FU138" s="2819"/>
      <c r="FV138" s="1568"/>
      <c r="FW138" s="1550"/>
      <c r="FX138" s="1550" t="str">
        <f t="shared" si="2"/>
        <v>Добавить группу потребителей</v>
      </c>
      <c r="FY138" s="1550"/>
      <c r="FZ138" s="1550"/>
      <c r="GA138" s="1561">
        <v>0</v>
      </c>
    </row>
    <row r="139" spans="1:183" s="1747" customFormat="1" ht="21" customHeight="1">
      <c r="A139" s="1289"/>
      <c r="B139" s="1289"/>
      <c r="C139" s="1289"/>
      <c r="D139" s="1289"/>
      <c r="E139" s="24089"/>
      <c r="F139" s="24089" t="s">
        <v>95</v>
      </c>
      <c r="G139" s="24089"/>
      <c r="H139" s="24088"/>
      <c r="I139" s="1289"/>
      <c r="J139" s="1289"/>
      <c r="K139" s="1289"/>
      <c r="L139" s="1295"/>
      <c r="M139" s="1291"/>
      <c r="N139" s="1291"/>
      <c r="O139" s="1292"/>
      <c r="P139" s="1720"/>
      <c r="Q139" s="311"/>
      <c r="R139" s="291"/>
      <c r="S139" s="2820"/>
      <c r="T139" s="2821" t="s">
        <v>714</v>
      </c>
      <c r="U139" s="2822"/>
      <c r="V139" s="2823"/>
      <c r="W139" s="2824"/>
      <c r="X139" s="2825"/>
      <c r="Y139" s="2826"/>
      <c r="Z139" s="2827"/>
      <c r="AA139" s="2828"/>
      <c r="AB139" s="2829"/>
      <c r="AC139" s="2830"/>
      <c r="AD139" s="2831"/>
      <c r="AE139" s="2832"/>
      <c r="AF139" s="2833"/>
      <c r="AG139" s="2834"/>
      <c r="AH139" s="2835"/>
      <c r="AI139" s="2836"/>
      <c r="AJ139" s="2837"/>
      <c r="AK139" s="2838"/>
      <c r="AL139" s="2839"/>
      <c r="AM139" s="2840"/>
      <c r="AN139" s="2841"/>
      <c r="AO139" s="2842"/>
      <c r="AP139" s="2843"/>
      <c r="AQ139" s="2844"/>
      <c r="AR139" s="6879"/>
      <c r="AS139" s="6880"/>
      <c r="AT139" s="6881"/>
      <c r="AU139" s="6882"/>
      <c r="AV139" s="6883"/>
      <c r="AW139" s="6884"/>
      <c r="AX139" s="6885"/>
      <c r="AY139" s="6886"/>
      <c r="AZ139" s="6887"/>
      <c r="BA139" s="6888"/>
      <c r="BB139" s="6889"/>
      <c r="BC139" s="6890"/>
      <c r="BD139" s="6891"/>
      <c r="BE139" s="11419"/>
      <c r="BF139" s="11420"/>
      <c r="BG139" s="21851"/>
      <c r="BH139" s="11421"/>
      <c r="BI139" s="11422"/>
      <c r="BJ139" s="11423"/>
      <c r="BK139" s="11424"/>
      <c r="BL139" s="11425"/>
      <c r="BM139" s="11426"/>
      <c r="BN139" s="2845"/>
      <c r="BO139" s="2846"/>
      <c r="BP139" s="11427"/>
      <c r="BQ139" s="11428"/>
      <c r="BR139" s="2847"/>
      <c r="BS139" s="11429"/>
      <c r="BT139" s="11430"/>
      <c r="BU139" s="11431"/>
      <c r="BV139" s="11432"/>
      <c r="BW139" s="11433"/>
      <c r="BX139" s="11434"/>
      <c r="BY139" s="11435"/>
      <c r="BZ139" s="11436"/>
      <c r="CA139" s="11437"/>
      <c r="CB139" s="11438"/>
      <c r="CC139" s="11439"/>
      <c r="CD139" s="11440"/>
      <c r="CE139" s="11441"/>
      <c r="CF139" s="11442"/>
      <c r="CG139" s="11443"/>
      <c r="CH139" s="11444"/>
      <c r="CI139" s="11445"/>
      <c r="CJ139" s="11446"/>
      <c r="CK139" s="11447"/>
      <c r="CL139" s="11448"/>
      <c r="CM139" s="11449"/>
      <c r="CN139" s="11450"/>
      <c r="CO139" s="11451"/>
      <c r="CP139" s="11452"/>
      <c r="CQ139" s="11453"/>
      <c r="CR139" s="11454"/>
      <c r="CS139" s="11455"/>
      <c r="CT139" s="11456"/>
      <c r="CU139" s="11457"/>
      <c r="CV139" s="11458"/>
      <c r="CW139" s="11459"/>
      <c r="CX139" s="11460"/>
      <c r="CY139" s="11461"/>
      <c r="CZ139" s="11462"/>
      <c r="DA139" s="11463"/>
      <c r="DB139" s="11464"/>
      <c r="DC139" s="11465"/>
      <c r="DD139" s="11466"/>
      <c r="DE139" s="11467"/>
      <c r="DF139" s="11468"/>
      <c r="DG139" s="11469"/>
      <c r="DH139" s="11470"/>
      <c r="DI139" s="11471"/>
      <c r="DJ139" s="11472"/>
      <c r="DK139" s="11473"/>
      <c r="DL139" s="11474"/>
      <c r="DM139" s="11475"/>
      <c r="DN139" s="11476"/>
      <c r="DO139" s="11477"/>
      <c r="DP139" s="11478"/>
      <c r="DQ139" s="11479"/>
      <c r="DR139" s="11480"/>
      <c r="DS139" s="11481"/>
      <c r="DT139" s="11482"/>
      <c r="DU139" s="11483"/>
      <c r="DV139" s="11484"/>
      <c r="DW139" s="11485"/>
      <c r="DX139" s="11486"/>
      <c r="DY139" s="11487"/>
      <c r="DZ139" s="11488"/>
      <c r="EA139" s="11489"/>
      <c r="EB139" s="11490"/>
      <c r="EC139" s="11491"/>
      <c r="ED139" s="11492"/>
      <c r="EE139" s="11493"/>
      <c r="EF139" s="11494"/>
      <c r="EG139" s="11495"/>
      <c r="EH139" s="11496"/>
      <c r="EI139" s="11497"/>
      <c r="EJ139" s="11498"/>
      <c r="EK139" s="11499"/>
      <c r="EL139" s="11500"/>
      <c r="EM139" s="21509"/>
      <c r="EN139" s="21510"/>
      <c r="EO139" s="11501"/>
      <c r="EP139" s="11502"/>
      <c r="EQ139" s="21511"/>
      <c r="ER139" s="11503"/>
      <c r="ES139" s="11504"/>
      <c r="ET139" s="11505"/>
      <c r="EU139" s="11506"/>
      <c r="EV139" s="11507"/>
      <c r="EW139" s="11508"/>
      <c r="EX139" s="2848"/>
      <c r="EY139" s="2849"/>
      <c r="EZ139" s="11509"/>
      <c r="FA139" s="11510"/>
      <c r="FB139" s="2850"/>
      <c r="FC139" s="11511"/>
      <c r="FD139" s="11512"/>
      <c r="FE139" s="11513"/>
      <c r="FF139" s="11514"/>
      <c r="FG139" s="11515"/>
      <c r="FH139" s="5687"/>
      <c r="FI139" s="22596"/>
      <c r="FJ139" s="22597"/>
      <c r="FK139" s="23397"/>
      <c r="FL139" s="23398"/>
      <c r="FM139" s="22598"/>
      <c r="FN139" s="23399"/>
      <c r="FO139" s="23400"/>
      <c r="FP139" s="22599"/>
      <c r="FQ139" s="22600"/>
      <c r="FR139" s="22601"/>
      <c r="FS139" s="23401"/>
      <c r="FT139" s="2851"/>
      <c r="FU139" s="2852"/>
      <c r="FV139" s="1568"/>
      <c r="FW139" s="1550"/>
      <c r="FX139" s="1550" t="str">
        <f t="shared" si="2"/>
        <v>Добавить наименование признака дифференциации</v>
      </c>
      <c r="FY139" s="1550"/>
      <c r="FZ139" s="1550"/>
      <c r="GA139" s="1561">
        <v>0</v>
      </c>
    </row>
    <row r="140" spans="1:183" s="558" customFormat="1" ht="14.25" customHeight="1">
      <c r="A140" s="1269"/>
      <c r="B140" s="1269"/>
      <c r="C140" s="1269"/>
      <c r="D140" s="1269"/>
      <c r="E140" s="24089"/>
      <c r="F140" s="24088" t="s">
        <v>95</v>
      </c>
      <c r="G140" s="1269"/>
      <c r="H140" s="1269"/>
      <c r="I140" s="1269"/>
      <c r="J140" s="1269"/>
      <c r="K140" s="1269"/>
      <c r="L140" s="1471"/>
      <c r="M140" s="1247"/>
      <c r="N140" s="1247"/>
      <c r="O140" s="1568"/>
      <c r="P140" s="1242"/>
      <c r="Q140" s="1270"/>
      <c r="R140" s="1242"/>
      <c r="S140" s="1248"/>
      <c r="T140" s="1251" t="s">
        <v>370</v>
      </c>
      <c r="U140" s="1250"/>
      <c r="V140" s="1250"/>
      <c r="W140" s="1250"/>
      <c r="X140" s="1250"/>
      <c r="Y140" s="1250"/>
      <c r="Z140" s="1250"/>
      <c r="AA140" s="1250"/>
      <c r="AB140" s="1250"/>
      <c r="AC140" s="1250"/>
      <c r="AD140" s="1250"/>
      <c r="AE140" s="1250"/>
      <c r="AF140" s="1250"/>
      <c r="AG140" s="1250"/>
      <c r="AH140" s="1250"/>
      <c r="AI140" s="1250"/>
      <c r="AJ140" s="1250"/>
      <c r="AK140" s="1250"/>
      <c r="AL140" s="1250"/>
      <c r="AM140" s="1250"/>
      <c r="AN140" s="1250"/>
      <c r="AO140" s="1250"/>
      <c r="AP140" s="1250"/>
      <c r="AQ140" s="1250"/>
      <c r="AR140" s="1250"/>
      <c r="AS140" s="1250"/>
      <c r="AT140" s="1250"/>
      <c r="AU140" s="1250"/>
      <c r="AV140" s="1250"/>
      <c r="AW140" s="1250"/>
      <c r="AX140" s="1250"/>
      <c r="AY140" s="1250"/>
      <c r="AZ140" s="1250"/>
      <c r="BA140" s="1250"/>
      <c r="BB140" s="1250"/>
      <c r="BC140" s="1250"/>
      <c r="BD140" s="1250"/>
      <c r="BE140" s="1250"/>
      <c r="BF140" s="1250"/>
      <c r="BG140" s="1250"/>
      <c r="BH140" s="1250"/>
      <c r="BI140" s="1250"/>
      <c r="BJ140" s="1250"/>
      <c r="BK140" s="1250"/>
      <c r="BL140" s="1250"/>
      <c r="BM140" s="1250"/>
      <c r="BN140" s="1250"/>
      <c r="BO140" s="1250"/>
      <c r="BP140" s="1250"/>
      <c r="BQ140" s="1250"/>
      <c r="BR140" s="1250"/>
      <c r="BS140" s="1250"/>
      <c r="BT140" s="1250"/>
      <c r="BU140" s="1250"/>
      <c r="BV140" s="1250"/>
      <c r="BW140" s="1250"/>
      <c r="BX140" s="1250"/>
      <c r="BY140" s="1250"/>
      <c r="BZ140" s="1250"/>
      <c r="CA140" s="1250"/>
      <c r="CB140" s="1250"/>
      <c r="CC140" s="1250"/>
      <c r="CD140" s="1250"/>
      <c r="CE140" s="1250"/>
      <c r="CF140" s="1250"/>
      <c r="CG140" s="1250"/>
      <c r="CH140" s="1250"/>
      <c r="CI140" s="1250"/>
      <c r="CJ140" s="1250"/>
      <c r="CK140" s="1250"/>
      <c r="CL140" s="1250"/>
      <c r="CM140" s="1250"/>
      <c r="CN140" s="1250"/>
      <c r="CO140" s="1250"/>
      <c r="CP140" s="1250"/>
      <c r="CQ140" s="1250"/>
      <c r="CR140" s="1250"/>
      <c r="CS140" s="1250"/>
      <c r="CT140" s="1250"/>
      <c r="CU140" s="1250"/>
      <c r="CV140" s="1250"/>
      <c r="CW140" s="1250"/>
      <c r="CX140" s="1250"/>
      <c r="CY140" s="1250"/>
      <c r="CZ140" s="1250"/>
      <c r="DA140" s="1250"/>
      <c r="DB140" s="1250"/>
      <c r="DC140" s="1250"/>
      <c r="DD140" s="1250"/>
      <c r="DE140" s="1250"/>
      <c r="DF140" s="1250"/>
      <c r="DG140" s="1250"/>
      <c r="DH140" s="1250"/>
      <c r="DI140" s="1250"/>
      <c r="DJ140" s="1250"/>
      <c r="DK140" s="1250"/>
      <c r="DL140" s="1250"/>
      <c r="DM140" s="1250"/>
      <c r="DN140" s="1250"/>
      <c r="DO140" s="1250"/>
      <c r="DP140" s="1250"/>
      <c r="DQ140" s="1250"/>
      <c r="DR140" s="1250"/>
      <c r="DS140" s="1250"/>
      <c r="DT140" s="1250"/>
      <c r="DU140" s="1250"/>
      <c r="DV140" s="1250"/>
      <c r="DW140" s="1250"/>
      <c r="DX140" s="1250"/>
      <c r="DY140" s="1250"/>
      <c r="DZ140" s="1250"/>
      <c r="EA140" s="1250"/>
      <c r="EB140" s="1250"/>
      <c r="EC140" s="1250"/>
      <c r="ED140" s="1250"/>
      <c r="EE140" s="1250"/>
      <c r="EF140" s="1250"/>
      <c r="EG140" s="1250"/>
      <c r="EH140" s="1250"/>
      <c r="EI140" s="1250"/>
      <c r="EJ140" s="1250"/>
      <c r="EK140" s="1250"/>
      <c r="EL140" s="1250"/>
      <c r="EM140" s="1250"/>
      <c r="EN140" s="1250"/>
      <c r="EO140" s="1250"/>
      <c r="EP140" s="1250"/>
      <c r="EQ140" s="1250"/>
      <c r="ER140" s="1250"/>
      <c r="ES140" s="1250"/>
      <c r="ET140" s="1250"/>
      <c r="EU140" s="1250"/>
      <c r="EV140" s="1250"/>
      <c r="EW140" s="1250"/>
      <c r="EX140" s="1250"/>
      <c r="EY140" s="1250"/>
      <c r="EZ140" s="1250"/>
      <c r="FA140" s="1250"/>
      <c r="FB140" s="1250"/>
      <c r="FC140" s="1250"/>
      <c r="FD140" s="1250"/>
      <c r="FE140" s="1250"/>
      <c r="FF140" s="1250"/>
      <c r="FG140" s="1250"/>
      <c r="FH140" s="1250"/>
      <c r="FI140" s="1250"/>
      <c r="FJ140" s="1250"/>
      <c r="FK140" s="1250"/>
      <c r="FL140" s="1250"/>
      <c r="FM140" s="1250"/>
      <c r="FN140" s="1250"/>
      <c r="FO140" s="1250"/>
      <c r="FP140" s="1250"/>
      <c r="FQ140" s="1250"/>
      <c r="FR140" s="1250"/>
      <c r="FS140" s="1250"/>
      <c r="FT140" s="1250"/>
      <c r="FU140" s="1250"/>
      <c r="FV140" s="1568"/>
      <c r="FW140" s="1550"/>
      <c r="FX140" s="1550" t="str">
        <f t="shared" si="2"/>
        <v>Добавить централизованную систему для дифференциации</v>
      </c>
      <c r="FY140" s="1550"/>
      <c r="FZ140" s="1550"/>
      <c r="GA140" s="1568">
        <v>0</v>
      </c>
    </row>
    <row r="141" spans="1:183" s="1747" customFormat="1" ht="23.25" customHeight="1">
      <c r="A141" s="1289"/>
      <c r="B141" s="1289" t="s">
        <v>380</v>
      </c>
      <c r="C141" s="1289"/>
      <c r="D141" s="1289"/>
      <c r="E141" s="24089"/>
      <c r="F141" s="24088" t="s">
        <v>82</v>
      </c>
      <c r="G141" s="1289"/>
      <c r="H141" s="1289"/>
      <c r="I141" s="1289"/>
      <c r="J141" s="1289"/>
      <c r="K141" s="1289"/>
      <c r="L141" s="1295"/>
      <c r="M141" s="1291"/>
      <c r="N141" s="1291"/>
      <c r="O141" s="1291"/>
      <c r="P141" s="1971"/>
      <c r="Q141" s="288"/>
      <c r="R141" s="289"/>
      <c r="S141" s="1976" t="str">
        <f>INDEX(PT_DIFFERENTIATION_NUM_TER,MATCH(B141,PT_DIFFERENTIATION_TER_ID,0))</f>
        <v>1.4</v>
      </c>
      <c r="T141" s="1448" t="s">
        <v>626</v>
      </c>
      <c r="U141" s="236"/>
      <c r="V141" s="24082"/>
      <c r="W141" s="24083"/>
      <c r="X141" s="24083"/>
      <c r="Y141" s="24083"/>
      <c r="Z141" s="24083"/>
      <c r="AA141" s="24083"/>
      <c r="AB141" s="24083"/>
      <c r="AC141" s="24083"/>
      <c r="AD141" s="24083"/>
      <c r="AE141" s="24083"/>
      <c r="AF141" s="24084"/>
      <c r="AG141" s="24082" t="str">
        <f>INDEX(PT_DIFFERENTIATION_TER,MATCH(B141,PT_DIFFERENTIATION_TER_ID,0))</f>
        <v>Территория 4</v>
      </c>
      <c r="AH141" s="24083"/>
      <c r="AI141" s="24083"/>
      <c r="AJ141" s="24083"/>
      <c r="AK141" s="24083"/>
      <c r="AL141" s="24083"/>
      <c r="AM141" s="24083"/>
      <c r="AN141" s="24083"/>
      <c r="AO141" s="24083"/>
      <c r="AP141" s="24083"/>
      <c r="AQ141" s="24083"/>
      <c r="AR141" s="24173"/>
      <c r="AS141" s="24174"/>
      <c r="AT141" s="24174"/>
      <c r="AU141" s="24174"/>
      <c r="AV141" s="24174"/>
      <c r="AW141" s="24174"/>
      <c r="AX141" s="24174"/>
      <c r="AY141" s="24174"/>
      <c r="AZ141" s="24174"/>
      <c r="BA141" s="24174"/>
      <c r="BB141" s="24175"/>
      <c r="BC141" s="24173"/>
      <c r="BD141" s="24174"/>
      <c r="BE141" s="24174"/>
      <c r="BF141" s="24174"/>
      <c r="BG141" s="24174"/>
      <c r="BH141" s="24174"/>
      <c r="BI141" s="24174"/>
      <c r="BJ141" s="24174"/>
      <c r="BK141" s="24174"/>
      <c r="BL141" s="24174"/>
      <c r="BM141" s="24175"/>
      <c r="BN141" s="24082"/>
      <c r="BO141" s="24083"/>
      <c r="BP141" s="24174"/>
      <c r="BQ141" s="24174"/>
      <c r="BR141" s="24083"/>
      <c r="BS141" s="24174"/>
      <c r="BT141" s="24174"/>
      <c r="BU141" s="24174"/>
      <c r="BV141" s="24174"/>
      <c r="BW141" s="24174"/>
      <c r="BX141" s="24175"/>
      <c r="BY141" s="24173"/>
      <c r="BZ141" s="24174"/>
      <c r="CA141" s="24174"/>
      <c r="CB141" s="24174"/>
      <c r="CC141" s="24174"/>
      <c r="CD141" s="24174"/>
      <c r="CE141" s="24174"/>
      <c r="CF141" s="24174"/>
      <c r="CG141" s="24174"/>
      <c r="CH141" s="24174"/>
      <c r="CI141" s="24175"/>
      <c r="CJ141" s="24173"/>
      <c r="CK141" s="24174"/>
      <c r="CL141" s="24174"/>
      <c r="CM141" s="24174"/>
      <c r="CN141" s="24174"/>
      <c r="CO141" s="24174"/>
      <c r="CP141" s="24174"/>
      <c r="CQ141" s="24174"/>
      <c r="CR141" s="24174"/>
      <c r="CS141" s="24174"/>
      <c r="CT141" s="24175"/>
      <c r="CU141" s="24173"/>
      <c r="CV141" s="24174"/>
      <c r="CW141" s="24174"/>
      <c r="CX141" s="24174"/>
      <c r="CY141" s="24174"/>
      <c r="CZ141" s="24174"/>
      <c r="DA141" s="24174"/>
      <c r="DB141" s="24174"/>
      <c r="DC141" s="24174"/>
      <c r="DD141" s="24174"/>
      <c r="DE141" s="24175"/>
      <c r="DF141" s="24173"/>
      <c r="DG141" s="24174"/>
      <c r="DH141" s="24174"/>
      <c r="DI141" s="24174"/>
      <c r="DJ141" s="24174"/>
      <c r="DK141" s="24174"/>
      <c r="DL141" s="24174"/>
      <c r="DM141" s="24174"/>
      <c r="DN141" s="24174"/>
      <c r="DO141" s="24174"/>
      <c r="DP141" s="24175"/>
      <c r="DQ141" s="24173"/>
      <c r="DR141" s="24174"/>
      <c r="DS141" s="24174"/>
      <c r="DT141" s="24174"/>
      <c r="DU141" s="24174"/>
      <c r="DV141" s="24174"/>
      <c r="DW141" s="24174"/>
      <c r="DX141" s="24174"/>
      <c r="DY141" s="24174"/>
      <c r="DZ141" s="24174"/>
      <c r="EA141" s="24175"/>
      <c r="EB141" s="24173"/>
      <c r="EC141" s="24174"/>
      <c r="ED141" s="24174"/>
      <c r="EE141" s="24174"/>
      <c r="EF141" s="24174"/>
      <c r="EG141" s="24174"/>
      <c r="EH141" s="24174"/>
      <c r="EI141" s="24174"/>
      <c r="EJ141" s="24174"/>
      <c r="EK141" s="24174"/>
      <c r="EL141" s="24175"/>
      <c r="EM141" s="24173"/>
      <c r="EN141" s="24174"/>
      <c r="EO141" s="24174"/>
      <c r="EP141" s="24174"/>
      <c r="EQ141" s="24174"/>
      <c r="ER141" s="24174"/>
      <c r="ES141" s="24174"/>
      <c r="ET141" s="24174"/>
      <c r="EU141" s="24174"/>
      <c r="EV141" s="24174"/>
      <c r="EW141" s="24175"/>
      <c r="EX141" s="24082"/>
      <c r="EY141" s="24083"/>
      <c r="EZ141" s="24174"/>
      <c r="FA141" s="24174"/>
      <c r="FB141" s="24083"/>
      <c r="FC141" s="24174"/>
      <c r="FD141" s="24174"/>
      <c r="FE141" s="24174"/>
      <c r="FF141" s="24174"/>
      <c r="FG141" s="24174"/>
      <c r="FH141" s="24175"/>
      <c r="FI141" s="24082"/>
      <c r="FJ141" s="24083"/>
      <c r="FK141" s="24174"/>
      <c r="FL141" s="24174"/>
      <c r="FM141" s="24083"/>
      <c r="FN141" s="24174"/>
      <c r="FO141" s="24174"/>
      <c r="FP141" s="24083"/>
      <c r="FQ141" s="24083"/>
      <c r="FR141" s="24083"/>
      <c r="FS141" s="24175"/>
      <c r="FT141" s="24084"/>
      <c r="FU141" s="1184" t="s">
        <v>627</v>
      </c>
      <c r="FV141" s="1568"/>
      <c r="FW141" s="1550"/>
      <c r="FX141" s="1550" t="str">
        <f t="shared" si="2"/>
        <v>Территория действия тарифа</v>
      </c>
      <c r="FY141" s="1550"/>
      <c r="FZ141" s="1550"/>
      <c r="GA141" s="1561">
        <v>0</v>
      </c>
    </row>
    <row r="142" spans="1:183" s="1747" customFormat="1" ht="23.25" customHeight="1">
      <c r="A142" s="1289"/>
      <c r="B142" s="1289"/>
      <c r="C142" s="1289" t="s">
        <v>381</v>
      </c>
      <c r="D142" s="1289"/>
      <c r="E142" s="24089"/>
      <c r="F142" s="24089" t="s">
        <v>81</v>
      </c>
      <c r="G142" s="24088">
        <v>1</v>
      </c>
      <c r="H142" s="1289"/>
      <c r="I142" s="1289"/>
      <c r="J142" s="1289"/>
      <c r="K142" s="1289"/>
      <c r="L142" s="1295"/>
      <c r="M142" s="1291"/>
      <c r="N142" s="1291"/>
      <c r="O142" s="1291"/>
      <c r="P142" s="290"/>
      <c r="Q142" s="288"/>
      <c r="R142" s="289"/>
      <c r="S142" s="1976" t="str">
        <f>INDEX(PT_DIFFERENTIATION_NUM_CS,MATCH(C142,PT_DIFFERENTIATION_CS_ID,0))</f>
        <v>1.4.1</v>
      </c>
      <c r="T142" s="245" t="s">
        <v>756</v>
      </c>
      <c r="U142" s="236"/>
      <c r="V142" s="24082"/>
      <c r="W142" s="24083"/>
      <c r="X142" s="24083"/>
      <c r="Y142" s="24083"/>
      <c r="Z142" s="24083"/>
      <c r="AA142" s="24083"/>
      <c r="AB142" s="24083"/>
      <c r="AC142" s="24083"/>
      <c r="AD142" s="24083"/>
      <c r="AE142" s="24083"/>
      <c r="AF142" s="24084"/>
      <c r="AG142" s="24082" t="str">
        <f>INDEX(PT_DIFFERENTIATION_CS,MATCH(C142,PT_DIFFERENTIATION_CS_ID,0))</f>
        <v>г. Гагарин Гагаринского муниципального округа Смоленской области</v>
      </c>
      <c r="AH142" s="24083"/>
      <c r="AI142" s="24083"/>
      <c r="AJ142" s="24083"/>
      <c r="AK142" s="24083"/>
      <c r="AL142" s="24083"/>
      <c r="AM142" s="24083"/>
      <c r="AN142" s="24083"/>
      <c r="AO142" s="24083"/>
      <c r="AP142" s="24083"/>
      <c r="AQ142" s="24083"/>
      <c r="AR142" s="24173"/>
      <c r="AS142" s="24174"/>
      <c r="AT142" s="24174"/>
      <c r="AU142" s="24174"/>
      <c r="AV142" s="24174"/>
      <c r="AW142" s="24174"/>
      <c r="AX142" s="24174"/>
      <c r="AY142" s="24174"/>
      <c r="AZ142" s="24174"/>
      <c r="BA142" s="24174"/>
      <c r="BB142" s="24175"/>
      <c r="BC142" s="24173"/>
      <c r="BD142" s="24174"/>
      <c r="BE142" s="24174"/>
      <c r="BF142" s="24174"/>
      <c r="BG142" s="24174"/>
      <c r="BH142" s="24174"/>
      <c r="BI142" s="24174"/>
      <c r="BJ142" s="24174"/>
      <c r="BK142" s="24174"/>
      <c r="BL142" s="24174"/>
      <c r="BM142" s="24175"/>
      <c r="BN142" s="24082"/>
      <c r="BO142" s="24083"/>
      <c r="BP142" s="24174"/>
      <c r="BQ142" s="24174"/>
      <c r="BR142" s="24083"/>
      <c r="BS142" s="24174"/>
      <c r="BT142" s="24174"/>
      <c r="BU142" s="24174"/>
      <c r="BV142" s="24174"/>
      <c r="BW142" s="24174"/>
      <c r="BX142" s="24175"/>
      <c r="BY142" s="24173"/>
      <c r="BZ142" s="24174"/>
      <c r="CA142" s="24174"/>
      <c r="CB142" s="24174"/>
      <c r="CC142" s="24174"/>
      <c r="CD142" s="24174"/>
      <c r="CE142" s="24174"/>
      <c r="CF142" s="24174"/>
      <c r="CG142" s="24174"/>
      <c r="CH142" s="24174"/>
      <c r="CI142" s="24175"/>
      <c r="CJ142" s="24173"/>
      <c r="CK142" s="24174"/>
      <c r="CL142" s="24174"/>
      <c r="CM142" s="24174"/>
      <c r="CN142" s="24174"/>
      <c r="CO142" s="24174"/>
      <c r="CP142" s="24174"/>
      <c r="CQ142" s="24174"/>
      <c r="CR142" s="24174"/>
      <c r="CS142" s="24174"/>
      <c r="CT142" s="24175"/>
      <c r="CU142" s="24173"/>
      <c r="CV142" s="24174"/>
      <c r="CW142" s="24174"/>
      <c r="CX142" s="24174"/>
      <c r="CY142" s="24174"/>
      <c r="CZ142" s="24174"/>
      <c r="DA142" s="24174"/>
      <c r="DB142" s="24174"/>
      <c r="DC142" s="24174"/>
      <c r="DD142" s="24174"/>
      <c r="DE142" s="24175"/>
      <c r="DF142" s="24173"/>
      <c r="DG142" s="24174"/>
      <c r="DH142" s="24174"/>
      <c r="DI142" s="24174"/>
      <c r="DJ142" s="24174"/>
      <c r="DK142" s="24174"/>
      <c r="DL142" s="24174"/>
      <c r="DM142" s="24174"/>
      <c r="DN142" s="24174"/>
      <c r="DO142" s="24174"/>
      <c r="DP142" s="24175"/>
      <c r="DQ142" s="24173"/>
      <c r="DR142" s="24174"/>
      <c r="DS142" s="24174"/>
      <c r="DT142" s="24174"/>
      <c r="DU142" s="24174"/>
      <c r="DV142" s="24174"/>
      <c r="DW142" s="24174"/>
      <c r="DX142" s="24174"/>
      <c r="DY142" s="24174"/>
      <c r="DZ142" s="24174"/>
      <c r="EA142" s="24175"/>
      <c r="EB142" s="24173"/>
      <c r="EC142" s="24174"/>
      <c r="ED142" s="24174"/>
      <c r="EE142" s="24174"/>
      <c r="EF142" s="24174"/>
      <c r="EG142" s="24174"/>
      <c r="EH142" s="24174"/>
      <c r="EI142" s="24174"/>
      <c r="EJ142" s="24174"/>
      <c r="EK142" s="24174"/>
      <c r="EL142" s="24175"/>
      <c r="EM142" s="24173"/>
      <c r="EN142" s="24174"/>
      <c r="EO142" s="24174"/>
      <c r="EP142" s="24174"/>
      <c r="EQ142" s="24174"/>
      <c r="ER142" s="24174"/>
      <c r="ES142" s="24174"/>
      <c r="ET142" s="24174"/>
      <c r="EU142" s="24174"/>
      <c r="EV142" s="24174"/>
      <c r="EW142" s="24175"/>
      <c r="EX142" s="24082"/>
      <c r="EY142" s="24083"/>
      <c r="EZ142" s="24174"/>
      <c r="FA142" s="24174"/>
      <c r="FB142" s="24083"/>
      <c r="FC142" s="24174"/>
      <c r="FD142" s="24174"/>
      <c r="FE142" s="24174"/>
      <c r="FF142" s="24174"/>
      <c r="FG142" s="24174"/>
      <c r="FH142" s="24175"/>
      <c r="FI142" s="24082"/>
      <c r="FJ142" s="24083"/>
      <c r="FK142" s="24174"/>
      <c r="FL142" s="24174"/>
      <c r="FM142" s="24083"/>
      <c r="FN142" s="24174"/>
      <c r="FO142" s="24174"/>
      <c r="FP142" s="24083"/>
      <c r="FQ142" s="24083"/>
      <c r="FR142" s="24083"/>
      <c r="FS142" s="24175"/>
      <c r="FT142" s="24084"/>
      <c r="FU142" s="1184" t="s">
        <v>757</v>
      </c>
      <c r="FV142" s="1568"/>
      <c r="FW142" s="1550"/>
      <c r="FX142" s="1550" t="str">
        <f t="shared" si="2"/>
        <v>Наименование централизованной системы горячего водоснабжения</v>
      </c>
      <c r="FY142" s="1550"/>
      <c r="FZ142" s="1550"/>
      <c r="GA142" s="1561">
        <v>0</v>
      </c>
    </row>
    <row r="143" spans="1:183" s="1747" customFormat="1" ht="23.25" customHeight="1">
      <c r="A143" s="1289"/>
      <c r="B143" s="1289"/>
      <c r="C143" s="1289"/>
      <c r="D143" s="1289"/>
      <c r="E143" s="24089"/>
      <c r="F143" s="24089" t="s">
        <v>81</v>
      </c>
      <c r="G143" s="24089"/>
      <c r="H143" s="24089"/>
      <c r="I143" s="24090" t="str">
        <f>S142&amp;".1"</f>
        <v>1.4.1.1</v>
      </c>
      <c r="J143" s="1289"/>
      <c r="K143" s="1289"/>
      <c r="L143" s="1295"/>
      <c r="M143" s="1674"/>
      <c r="N143" s="1674"/>
      <c r="O143" s="1674"/>
      <c r="P143" s="24092">
        <v>1</v>
      </c>
      <c r="Q143" s="1978"/>
      <c r="R143" s="292"/>
      <c r="S143" s="1976" t="str">
        <f>$I143</f>
        <v>1.4.1.1</v>
      </c>
      <c r="T143" s="221" t="s">
        <v>709</v>
      </c>
      <c r="U143" s="236"/>
      <c r="V143" s="24156"/>
      <c r="W143" s="24157"/>
      <c r="X143" s="24157"/>
      <c r="Y143" s="24157"/>
      <c r="Z143" s="24157"/>
      <c r="AA143" s="24157"/>
      <c r="AB143" s="24157"/>
      <c r="AC143" s="24157"/>
      <c r="AD143" s="24157"/>
      <c r="AE143" s="24157"/>
      <c r="AF143" s="24158"/>
      <c r="AG143" s="24159"/>
      <c r="AH143" s="24160"/>
      <c r="AI143" s="24160"/>
      <c r="AJ143" s="24160"/>
      <c r="AK143" s="24160"/>
      <c r="AL143" s="24160"/>
      <c r="AM143" s="24160"/>
      <c r="AN143" s="24160"/>
      <c r="AO143" s="24160"/>
      <c r="AP143" s="24160"/>
      <c r="AQ143" s="24160"/>
      <c r="AR143" s="24176"/>
      <c r="AS143" s="24177"/>
      <c r="AT143" s="24177"/>
      <c r="AU143" s="24177"/>
      <c r="AV143" s="24177"/>
      <c r="AW143" s="24177"/>
      <c r="AX143" s="24177"/>
      <c r="AY143" s="24177"/>
      <c r="AZ143" s="24177"/>
      <c r="BA143" s="24177"/>
      <c r="BB143" s="24178"/>
      <c r="BC143" s="24176"/>
      <c r="BD143" s="24177"/>
      <c r="BE143" s="24177"/>
      <c r="BF143" s="24177"/>
      <c r="BG143" s="24177"/>
      <c r="BH143" s="24177"/>
      <c r="BI143" s="24177"/>
      <c r="BJ143" s="24177"/>
      <c r="BK143" s="24177"/>
      <c r="BL143" s="24177"/>
      <c r="BM143" s="24178"/>
      <c r="BN143" s="24156"/>
      <c r="BO143" s="24157"/>
      <c r="BP143" s="24177"/>
      <c r="BQ143" s="24177"/>
      <c r="BR143" s="24157"/>
      <c r="BS143" s="24177"/>
      <c r="BT143" s="24177"/>
      <c r="BU143" s="24177"/>
      <c r="BV143" s="24177"/>
      <c r="BW143" s="24177"/>
      <c r="BX143" s="24178"/>
      <c r="BY143" s="24176"/>
      <c r="BZ143" s="24177"/>
      <c r="CA143" s="24177"/>
      <c r="CB143" s="24177"/>
      <c r="CC143" s="24177"/>
      <c r="CD143" s="24177"/>
      <c r="CE143" s="24177"/>
      <c r="CF143" s="24177"/>
      <c r="CG143" s="24177"/>
      <c r="CH143" s="24177"/>
      <c r="CI143" s="24178"/>
      <c r="CJ143" s="24176"/>
      <c r="CK143" s="24177"/>
      <c r="CL143" s="24177"/>
      <c r="CM143" s="24177"/>
      <c r="CN143" s="24177"/>
      <c r="CO143" s="24177"/>
      <c r="CP143" s="24177"/>
      <c r="CQ143" s="24177"/>
      <c r="CR143" s="24177"/>
      <c r="CS143" s="24177"/>
      <c r="CT143" s="24178"/>
      <c r="CU143" s="24176"/>
      <c r="CV143" s="24177"/>
      <c r="CW143" s="24177"/>
      <c r="CX143" s="24177"/>
      <c r="CY143" s="24177"/>
      <c r="CZ143" s="24177"/>
      <c r="DA143" s="24177"/>
      <c r="DB143" s="24177"/>
      <c r="DC143" s="24177"/>
      <c r="DD143" s="24177"/>
      <c r="DE143" s="24178"/>
      <c r="DF143" s="24176"/>
      <c r="DG143" s="24177"/>
      <c r="DH143" s="24177"/>
      <c r="DI143" s="24177"/>
      <c r="DJ143" s="24177"/>
      <c r="DK143" s="24177"/>
      <c r="DL143" s="24177"/>
      <c r="DM143" s="24177"/>
      <c r="DN143" s="24177"/>
      <c r="DO143" s="24177"/>
      <c r="DP143" s="24178"/>
      <c r="DQ143" s="24176"/>
      <c r="DR143" s="24177"/>
      <c r="DS143" s="24177"/>
      <c r="DT143" s="24177"/>
      <c r="DU143" s="24177"/>
      <c r="DV143" s="24177"/>
      <c r="DW143" s="24177"/>
      <c r="DX143" s="24177"/>
      <c r="DY143" s="24177"/>
      <c r="DZ143" s="24177"/>
      <c r="EA143" s="24178"/>
      <c r="EB143" s="24176"/>
      <c r="EC143" s="24177"/>
      <c r="ED143" s="24177"/>
      <c r="EE143" s="24177"/>
      <c r="EF143" s="24177"/>
      <c r="EG143" s="24177"/>
      <c r="EH143" s="24177"/>
      <c r="EI143" s="24177"/>
      <c r="EJ143" s="24177"/>
      <c r="EK143" s="24177"/>
      <c r="EL143" s="24178"/>
      <c r="EM143" s="24176"/>
      <c r="EN143" s="24177"/>
      <c r="EO143" s="24177"/>
      <c r="EP143" s="24177"/>
      <c r="EQ143" s="24177"/>
      <c r="ER143" s="24177"/>
      <c r="ES143" s="24177"/>
      <c r="ET143" s="24177"/>
      <c r="EU143" s="24177"/>
      <c r="EV143" s="24177"/>
      <c r="EW143" s="24178"/>
      <c r="EX143" s="24156"/>
      <c r="EY143" s="24157"/>
      <c r="EZ143" s="24177"/>
      <c r="FA143" s="24177"/>
      <c r="FB143" s="24157"/>
      <c r="FC143" s="24177"/>
      <c r="FD143" s="24177"/>
      <c r="FE143" s="24177"/>
      <c r="FF143" s="24177"/>
      <c r="FG143" s="24177"/>
      <c r="FH143" s="24178"/>
      <c r="FI143" s="24156"/>
      <c r="FJ143" s="24157"/>
      <c r="FK143" s="24177"/>
      <c r="FL143" s="24177"/>
      <c r="FM143" s="24157"/>
      <c r="FN143" s="24177"/>
      <c r="FO143" s="24177"/>
      <c r="FP143" s="24157"/>
      <c r="FQ143" s="24157"/>
      <c r="FR143" s="24157"/>
      <c r="FS143" s="24178"/>
      <c r="FT143" s="24161"/>
      <c r="FU143" s="1184" t="s">
        <v>710</v>
      </c>
      <c r="FV143" s="1568"/>
      <c r="FW143" s="1550"/>
      <c r="FX143" s="1550" t="str">
        <f t="shared" si="2"/>
        <v>Наименование признака дифференциации</v>
      </c>
      <c r="FY143" s="1550"/>
      <c r="FZ143" s="1550"/>
      <c r="GA143" s="1561">
        <v>0</v>
      </c>
    </row>
    <row r="144" spans="1:183" s="1747" customFormat="1" ht="23.25" customHeight="1">
      <c r="A144" s="1289"/>
      <c r="B144" s="1289"/>
      <c r="C144" s="1289"/>
      <c r="D144" s="1289"/>
      <c r="E144" s="24089"/>
      <c r="F144" s="24089" t="s">
        <v>81</v>
      </c>
      <c r="G144" s="24089"/>
      <c r="H144" s="24089"/>
      <c r="I144" s="24091"/>
      <c r="J144" s="24090" t="str">
        <f>I143&amp;".1"</f>
        <v>1.4.1.1.1</v>
      </c>
      <c r="K144" s="1289"/>
      <c r="L144" s="1295" t="s">
        <v>635</v>
      </c>
      <c r="M144" s="1674"/>
      <c r="N144" s="1674"/>
      <c r="O144" s="1674"/>
      <c r="P144" s="24092"/>
      <c r="Q144" s="24092">
        <v>1</v>
      </c>
      <c r="R144" s="293"/>
      <c r="S144" s="1976" t="str">
        <f>$J144</f>
        <v>1.4.1.1.1</v>
      </c>
      <c r="T144" s="222" t="s">
        <v>636</v>
      </c>
      <c r="U144" s="236"/>
      <c r="V144" s="24076"/>
      <c r="W144" s="24077"/>
      <c r="X144" s="24077"/>
      <c r="Y144" s="24077"/>
      <c r="Z144" s="24077"/>
      <c r="AA144" s="24077"/>
      <c r="AB144" s="24077"/>
      <c r="AC144" s="24077"/>
      <c r="AD144" s="24077"/>
      <c r="AE144" s="24077"/>
      <c r="AF144" s="24078"/>
      <c r="AG144" s="24076" t="s">
        <v>769</v>
      </c>
      <c r="AH144" s="24077"/>
      <c r="AI144" s="24077"/>
      <c r="AJ144" s="24077"/>
      <c r="AK144" s="24077"/>
      <c r="AL144" s="24077"/>
      <c r="AM144" s="24077"/>
      <c r="AN144" s="24077"/>
      <c r="AO144" s="24077"/>
      <c r="AP144" s="24077"/>
      <c r="AQ144" s="24077"/>
      <c r="AR144" s="24179"/>
      <c r="AS144" s="24180"/>
      <c r="AT144" s="24180"/>
      <c r="AU144" s="24180"/>
      <c r="AV144" s="24180"/>
      <c r="AW144" s="24180"/>
      <c r="AX144" s="24180"/>
      <c r="AY144" s="24180"/>
      <c r="AZ144" s="24180"/>
      <c r="BA144" s="24180"/>
      <c r="BB144" s="24181"/>
      <c r="BC144" s="24179"/>
      <c r="BD144" s="24180"/>
      <c r="BE144" s="24180"/>
      <c r="BF144" s="24180"/>
      <c r="BG144" s="24180"/>
      <c r="BH144" s="24180"/>
      <c r="BI144" s="24180"/>
      <c r="BJ144" s="24180"/>
      <c r="BK144" s="24180"/>
      <c r="BL144" s="24180"/>
      <c r="BM144" s="24181"/>
      <c r="BN144" s="24076"/>
      <c r="BO144" s="24077"/>
      <c r="BP144" s="24180"/>
      <c r="BQ144" s="24180"/>
      <c r="BR144" s="24077"/>
      <c r="BS144" s="24180"/>
      <c r="BT144" s="24180"/>
      <c r="BU144" s="24180"/>
      <c r="BV144" s="24180"/>
      <c r="BW144" s="24180"/>
      <c r="BX144" s="24181"/>
      <c r="BY144" s="24179"/>
      <c r="BZ144" s="24180"/>
      <c r="CA144" s="24180"/>
      <c r="CB144" s="24180"/>
      <c r="CC144" s="24180"/>
      <c r="CD144" s="24180"/>
      <c r="CE144" s="24180"/>
      <c r="CF144" s="24180"/>
      <c r="CG144" s="24180"/>
      <c r="CH144" s="24180"/>
      <c r="CI144" s="24181"/>
      <c r="CJ144" s="24179"/>
      <c r="CK144" s="24180"/>
      <c r="CL144" s="24180"/>
      <c r="CM144" s="24180"/>
      <c r="CN144" s="24180"/>
      <c r="CO144" s="24180"/>
      <c r="CP144" s="24180"/>
      <c r="CQ144" s="24180"/>
      <c r="CR144" s="24180"/>
      <c r="CS144" s="24180"/>
      <c r="CT144" s="24181"/>
      <c r="CU144" s="24179"/>
      <c r="CV144" s="24180"/>
      <c r="CW144" s="24180"/>
      <c r="CX144" s="24180"/>
      <c r="CY144" s="24180"/>
      <c r="CZ144" s="24180"/>
      <c r="DA144" s="24180"/>
      <c r="DB144" s="24180"/>
      <c r="DC144" s="24180"/>
      <c r="DD144" s="24180"/>
      <c r="DE144" s="24181"/>
      <c r="DF144" s="24179"/>
      <c r="DG144" s="24180"/>
      <c r="DH144" s="24180"/>
      <c r="DI144" s="24180"/>
      <c r="DJ144" s="24180"/>
      <c r="DK144" s="24180"/>
      <c r="DL144" s="24180"/>
      <c r="DM144" s="24180"/>
      <c r="DN144" s="24180"/>
      <c r="DO144" s="24180"/>
      <c r="DP144" s="24181"/>
      <c r="DQ144" s="24179"/>
      <c r="DR144" s="24180"/>
      <c r="DS144" s="24180"/>
      <c r="DT144" s="24180"/>
      <c r="DU144" s="24180"/>
      <c r="DV144" s="24180"/>
      <c r="DW144" s="24180"/>
      <c r="DX144" s="24180"/>
      <c r="DY144" s="24180"/>
      <c r="DZ144" s="24180"/>
      <c r="EA144" s="24181"/>
      <c r="EB144" s="24179"/>
      <c r="EC144" s="24180"/>
      <c r="ED144" s="24180"/>
      <c r="EE144" s="24180"/>
      <c r="EF144" s="24180"/>
      <c r="EG144" s="24180"/>
      <c r="EH144" s="24180"/>
      <c r="EI144" s="24180"/>
      <c r="EJ144" s="24180"/>
      <c r="EK144" s="24180"/>
      <c r="EL144" s="24181"/>
      <c r="EM144" s="24179"/>
      <c r="EN144" s="24180"/>
      <c r="EO144" s="24180"/>
      <c r="EP144" s="24180"/>
      <c r="EQ144" s="24180"/>
      <c r="ER144" s="24180"/>
      <c r="ES144" s="24180"/>
      <c r="ET144" s="24180"/>
      <c r="EU144" s="24180"/>
      <c r="EV144" s="24180"/>
      <c r="EW144" s="24181"/>
      <c r="EX144" s="24076"/>
      <c r="EY144" s="24077"/>
      <c r="EZ144" s="24180"/>
      <c r="FA144" s="24180"/>
      <c r="FB144" s="24077"/>
      <c r="FC144" s="24180"/>
      <c r="FD144" s="24180"/>
      <c r="FE144" s="24180"/>
      <c r="FF144" s="24180"/>
      <c r="FG144" s="24180"/>
      <c r="FH144" s="24181"/>
      <c r="FI144" s="24076"/>
      <c r="FJ144" s="24077"/>
      <c r="FK144" s="24180"/>
      <c r="FL144" s="24180"/>
      <c r="FM144" s="24077"/>
      <c r="FN144" s="24180"/>
      <c r="FO144" s="24180"/>
      <c r="FP144" s="24077"/>
      <c r="FQ144" s="24077"/>
      <c r="FR144" s="24077"/>
      <c r="FS144" s="24181"/>
      <c r="FT144" s="24078"/>
      <c r="FU144" s="1233" t="s">
        <v>711</v>
      </c>
      <c r="FV144" s="1568"/>
      <c r="FW144" s="1550"/>
      <c r="FX144" s="1550" t="str">
        <f t="shared" si="2"/>
        <v>Группа потребителей</v>
      </c>
      <c r="FY144" s="1550"/>
      <c r="FZ144" s="1550"/>
      <c r="GA144" s="1561">
        <v>0</v>
      </c>
    </row>
    <row r="145" spans="1:183" s="1747" customFormat="1" ht="23.25" customHeight="1">
      <c r="A145" s="1289"/>
      <c r="B145" s="1289"/>
      <c r="C145" s="1289"/>
      <c r="D145" s="1289"/>
      <c r="E145" s="24089"/>
      <c r="F145" s="24089" t="s">
        <v>81</v>
      </c>
      <c r="G145" s="24089"/>
      <c r="H145" s="24089"/>
      <c r="I145" s="24091"/>
      <c r="J145" s="24091"/>
      <c r="K145" s="24090" t="str">
        <f>J144&amp;".1"</f>
        <v>1.4.1.1.1.1</v>
      </c>
      <c r="L145" s="1295"/>
      <c r="M145" s="1674"/>
      <c r="N145" s="1674"/>
      <c r="O145" s="1674"/>
      <c r="P145" s="24092"/>
      <c r="Q145" s="24092"/>
      <c r="R145" s="293">
        <v>1</v>
      </c>
      <c r="S145" s="1976" t="str">
        <f>$K145</f>
        <v>1.4.1.1.1.1</v>
      </c>
      <c r="T145" s="1363"/>
      <c r="U145" s="236"/>
      <c r="V145" s="1286"/>
      <c r="W145" s="1286"/>
      <c r="X145" s="1286"/>
      <c r="Y145" s="1286"/>
      <c r="Z145" s="1286"/>
      <c r="AA145" s="1286"/>
      <c r="AB145" s="1286"/>
      <c r="AC145" s="24086"/>
      <c r="AD145" s="24085" t="s">
        <v>59</v>
      </c>
      <c r="AE145" s="24086"/>
      <c r="AF145" s="24085" t="s">
        <v>59</v>
      </c>
      <c r="AG145" s="687">
        <v>253.19</v>
      </c>
      <c r="AH145" s="687">
        <v>40.24</v>
      </c>
      <c r="AI145" s="687"/>
      <c r="AJ145" s="687"/>
      <c r="AK145" s="687">
        <v>3133.44</v>
      </c>
      <c r="AL145" s="687"/>
      <c r="AM145" s="687"/>
      <c r="AN145" s="24093" t="s">
        <v>9</v>
      </c>
      <c r="AO145" s="23957" t="s">
        <v>59</v>
      </c>
      <c r="AP145" s="24095" t="s">
        <v>770</v>
      </c>
      <c r="AQ145" s="23957" t="s">
        <v>59</v>
      </c>
      <c r="AR145" s="687">
        <v>282.11</v>
      </c>
      <c r="AS145" s="687">
        <v>44.25</v>
      </c>
      <c r="AT145" s="687"/>
      <c r="AU145" s="687"/>
      <c r="AV145" s="687">
        <v>3500.05</v>
      </c>
      <c r="AW145" s="687"/>
      <c r="AX145" s="687"/>
      <c r="AY145" s="24093" t="s">
        <v>772</v>
      </c>
      <c r="AZ145" s="23957" t="s">
        <v>59</v>
      </c>
      <c r="BA145" s="24093" t="s">
        <v>773</v>
      </c>
      <c r="BB145" s="23957" t="s">
        <v>59</v>
      </c>
      <c r="BC145" s="687">
        <v>282.11</v>
      </c>
      <c r="BD145" s="687">
        <v>44.25</v>
      </c>
      <c r="BE145" s="687"/>
      <c r="BF145" s="687"/>
      <c r="BG145" s="687">
        <v>3500.05</v>
      </c>
      <c r="BH145" s="687"/>
      <c r="BI145" s="687"/>
      <c r="BJ145" s="24093" t="s">
        <v>774</v>
      </c>
      <c r="BK145" s="23957" t="s">
        <v>59</v>
      </c>
      <c r="BL145" s="24093" t="s">
        <v>775</v>
      </c>
      <c r="BM145" s="23957" t="s">
        <v>59</v>
      </c>
      <c r="BN145" s="687">
        <v>318.35000000000002</v>
      </c>
      <c r="BO145" s="687">
        <v>52.18</v>
      </c>
      <c r="BP145" s="687"/>
      <c r="BQ145" s="687"/>
      <c r="BR145" s="687">
        <v>3916.55</v>
      </c>
      <c r="BS145" s="687"/>
      <c r="BT145" s="687"/>
      <c r="BU145" s="24093" t="s">
        <v>776</v>
      </c>
      <c r="BV145" s="23957" t="s">
        <v>59</v>
      </c>
      <c r="BW145" s="24093">
        <v>45853</v>
      </c>
      <c r="BX145" s="23957" t="s">
        <v>59</v>
      </c>
      <c r="BY145" s="687">
        <v>319.87</v>
      </c>
      <c r="BZ145" s="687">
        <v>53.7</v>
      </c>
      <c r="CA145" s="687"/>
      <c r="CB145" s="687"/>
      <c r="CC145" s="687">
        <v>3916.55</v>
      </c>
      <c r="CD145" s="687"/>
      <c r="CE145" s="687"/>
      <c r="CF145" s="24093">
        <v>45854</v>
      </c>
      <c r="CG145" s="23957" t="s">
        <v>59</v>
      </c>
      <c r="CH145" s="24093">
        <v>46022</v>
      </c>
      <c r="CI145" s="23957" t="s">
        <v>59</v>
      </c>
      <c r="CJ145" s="687">
        <v>319.87</v>
      </c>
      <c r="CK145" s="687">
        <v>53.7</v>
      </c>
      <c r="CL145" s="687"/>
      <c r="CM145" s="687"/>
      <c r="CN145" s="687">
        <v>3916.55</v>
      </c>
      <c r="CO145" s="687"/>
      <c r="CP145" s="687"/>
      <c r="CQ145" s="24093">
        <v>46023</v>
      </c>
      <c r="CR145" s="23957" t="s">
        <v>59</v>
      </c>
      <c r="CS145" s="24185">
        <v>46295</v>
      </c>
      <c r="CT145" s="23957" t="s">
        <v>59</v>
      </c>
      <c r="CU145" s="687">
        <v>354.13</v>
      </c>
      <c r="CV145" s="687">
        <v>59.81</v>
      </c>
      <c r="CW145" s="687"/>
      <c r="CX145" s="687"/>
      <c r="CY145" s="687">
        <v>4330.76</v>
      </c>
      <c r="CZ145" s="687"/>
      <c r="DA145" s="687"/>
      <c r="DB145" s="24185">
        <v>46296</v>
      </c>
      <c r="DC145" s="23957" t="s">
        <v>59</v>
      </c>
      <c r="DD145" s="24093">
        <v>46387</v>
      </c>
      <c r="DE145" s="23957" t="s">
        <v>59</v>
      </c>
      <c r="DF145" s="687">
        <f>CU145</f>
        <v>354.13</v>
      </c>
      <c r="DG145" s="687">
        <f>CV145</f>
        <v>59.81</v>
      </c>
      <c r="DH145" s="687"/>
      <c r="DI145" s="687"/>
      <c r="DJ145" s="687">
        <f>CY145</f>
        <v>4330.76</v>
      </c>
      <c r="DK145" s="687"/>
      <c r="DL145" s="687"/>
      <c r="DM145" s="24093">
        <v>46388</v>
      </c>
      <c r="DN145" s="23957" t="s">
        <v>59</v>
      </c>
      <c r="DO145" s="24093">
        <v>46568</v>
      </c>
      <c r="DP145" s="23957" t="s">
        <v>59</v>
      </c>
      <c r="DQ145" s="687">
        <v>379.7</v>
      </c>
      <c r="DR145" s="687">
        <v>61.21</v>
      </c>
      <c r="DS145" s="687"/>
      <c r="DT145" s="687"/>
      <c r="DU145" s="687">
        <v>4686.3900000000003</v>
      </c>
      <c r="DV145" s="687"/>
      <c r="DW145" s="687"/>
      <c r="DX145" s="24093">
        <v>46569</v>
      </c>
      <c r="DY145" s="23957" t="s">
        <v>59</v>
      </c>
      <c r="DZ145" s="24093">
        <v>46752</v>
      </c>
      <c r="EA145" s="23957" t="s">
        <v>59</v>
      </c>
      <c r="EB145" s="687">
        <v>378.81</v>
      </c>
      <c r="EC145" s="687">
        <v>60.32</v>
      </c>
      <c r="ED145" s="687"/>
      <c r="EE145" s="687"/>
      <c r="EF145" s="687">
        <f>DU145</f>
        <v>4686.3900000000003</v>
      </c>
      <c r="EG145" s="687"/>
      <c r="EH145" s="687"/>
      <c r="EI145" s="24093">
        <v>46753</v>
      </c>
      <c r="EJ145" s="23957" t="s">
        <v>59</v>
      </c>
      <c r="EK145" s="24093">
        <v>46934</v>
      </c>
      <c r="EL145" s="23957" t="s">
        <v>59</v>
      </c>
      <c r="EM145" s="687">
        <v>400.76</v>
      </c>
      <c r="EN145" s="687">
        <v>60.32</v>
      </c>
      <c r="EO145" s="687"/>
      <c r="EP145" s="687"/>
      <c r="EQ145" s="687">
        <v>5009.37</v>
      </c>
      <c r="ER145" s="687"/>
      <c r="ES145" s="687"/>
      <c r="ET145" s="24093">
        <v>46935.623402777775</v>
      </c>
      <c r="EU145" s="23957" t="s">
        <v>59</v>
      </c>
      <c r="EV145" s="24095">
        <v>47118.623611111114</v>
      </c>
      <c r="EW145" s="23957" t="s">
        <v>6</v>
      </c>
      <c r="EX145" s="1286"/>
      <c r="EY145" s="1286"/>
      <c r="EZ145" s="1286"/>
      <c r="FA145" s="1286"/>
      <c r="FB145" s="1286"/>
      <c r="FC145" s="1286"/>
      <c r="FD145" s="1286"/>
      <c r="FE145" s="24086"/>
      <c r="FF145" s="24085" t="s">
        <v>59</v>
      </c>
      <c r="FG145" s="24086"/>
      <c r="FH145" s="24208" t="s">
        <v>59</v>
      </c>
      <c r="FI145" s="1286"/>
      <c r="FJ145" s="1286"/>
      <c r="FK145" s="1286"/>
      <c r="FL145" s="1286"/>
      <c r="FM145" s="1286"/>
      <c r="FN145" s="1286"/>
      <c r="FO145" s="1286"/>
      <c r="FP145" s="24086"/>
      <c r="FQ145" s="24085" t="s">
        <v>59</v>
      </c>
      <c r="FR145" s="24086"/>
      <c r="FS145" s="24085" t="s">
        <v>59</v>
      </c>
      <c r="FT145" s="1364"/>
      <c r="FU14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45" s="1568" t="e">
        <f ca="1">STRCHECKDATE(V146:FT146)</f>
        <v>#NAME?</v>
      </c>
      <c r="FW145" s="1550"/>
      <c r="FX145" s="1550" t="str">
        <f t="shared" si="2"/>
        <v/>
      </c>
      <c r="FY145" s="1550"/>
      <c r="FZ145" s="1550"/>
      <c r="GA145" s="1561">
        <v>0</v>
      </c>
    </row>
    <row r="146" spans="1:183" s="1747" customFormat="1" ht="14.25" customHeight="1">
      <c r="A146" s="1289"/>
      <c r="B146" s="1289"/>
      <c r="C146" s="1289"/>
      <c r="D146" s="1289"/>
      <c r="E146" s="24089"/>
      <c r="F146" s="24089" t="s">
        <v>81</v>
      </c>
      <c r="G146" s="24089"/>
      <c r="H146" s="24089"/>
      <c r="I146" s="24091"/>
      <c r="J146" s="24091"/>
      <c r="K146" s="24090"/>
      <c r="L146" s="1295"/>
      <c r="M146" s="1674"/>
      <c r="N146" s="1674"/>
      <c r="O146" s="1674"/>
      <c r="P146" s="24092"/>
      <c r="Q146" s="24092"/>
      <c r="R146" s="293"/>
      <c r="S146" s="1982"/>
      <c r="T146" s="236"/>
      <c r="U146" s="236"/>
      <c r="V146" s="1286"/>
      <c r="W146" s="1286"/>
      <c r="X146" s="1286"/>
      <c r="Y146" s="1286"/>
      <c r="Z146" s="1286"/>
      <c r="AA146" s="1286"/>
      <c r="AB146" s="1286"/>
      <c r="AC146" s="24085"/>
      <c r="AD146" s="24085"/>
      <c r="AE146" s="24085"/>
      <c r="AF146" s="24085"/>
      <c r="AG146" s="261"/>
      <c r="AH146" s="261"/>
      <c r="AI146" s="261"/>
      <c r="AJ146" s="261"/>
      <c r="AK146" s="261"/>
      <c r="AL146" s="261"/>
      <c r="AM146" s="261"/>
      <c r="AN146" s="24094"/>
      <c r="AO146" s="23957"/>
      <c r="AP146" s="24096"/>
      <c r="AQ146" s="23957"/>
      <c r="AR146" s="261"/>
      <c r="AS146" s="261"/>
      <c r="AT146" s="261"/>
      <c r="AU146" s="261"/>
      <c r="AV146" s="261"/>
      <c r="AW146" s="261"/>
      <c r="AX146" s="261"/>
      <c r="AY146" s="24094"/>
      <c r="AZ146" s="23957"/>
      <c r="BA146" s="24094"/>
      <c r="BB146" s="23957"/>
      <c r="BC146" s="261"/>
      <c r="BD146" s="261"/>
      <c r="BE146" s="261"/>
      <c r="BF146" s="261"/>
      <c r="BG146" s="261"/>
      <c r="BH146" s="261"/>
      <c r="BI146" s="261"/>
      <c r="BJ146" s="24094"/>
      <c r="BK146" s="23957"/>
      <c r="BL146" s="24094"/>
      <c r="BM146" s="23957"/>
      <c r="BN146" s="261"/>
      <c r="BO146" s="261"/>
      <c r="BP146" s="261"/>
      <c r="BQ146" s="261"/>
      <c r="BR146" s="261"/>
      <c r="BS146" s="261"/>
      <c r="BT146" s="261"/>
      <c r="BU146" s="24094"/>
      <c r="BV146" s="23957"/>
      <c r="BW146" s="24094"/>
      <c r="BX146" s="23957"/>
      <c r="BY146" s="261"/>
      <c r="BZ146" s="261"/>
      <c r="CA146" s="261"/>
      <c r="CB146" s="261"/>
      <c r="CC146" s="261"/>
      <c r="CD146" s="261"/>
      <c r="CE146" s="261"/>
      <c r="CF146" s="24094"/>
      <c r="CG146" s="23957"/>
      <c r="CH146" s="24094"/>
      <c r="CI146" s="23957"/>
      <c r="CJ146" s="261"/>
      <c r="CK146" s="261"/>
      <c r="CL146" s="261"/>
      <c r="CM146" s="261"/>
      <c r="CN146" s="261"/>
      <c r="CO146" s="261"/>
      <c r="CP146" s="261"/>
      <c r="CQ146" s="24094"/>
      <c r="CR146" s="23957"/>
      <c r="CS146" s="24094"/>
      <c r="CT146" s="23957"/>
      <c r="CU146" s="261"/>
      <c r="CV146" s="261"/>
      <c r="CW146" s="261"/>
      <c r="CX146" s="261"/>
      <c r="CY146" s="261"/>
      <c r="CZ146" s="261"/>
      <c r="DA146" s="261"/>
      <c r="DB146" s="24094"/>
      <c r="DC146" s="23957"/>
      <c r="DD146" s="24094"/>
      <c r="DE146" s="23957"/>
      <c r="DF146" s="261"/>
      <c r="DG146" s="261"/>
      <c r="DH146" s="261"/>
      <c r="DI146" s="261"/>
      <c r="DJ146" s="261"/>
      <c r="DK146" s="261"/>
      <c r="DL146" s="261"/>
      <c r="DM146" s="24094"/>
      <c r="DN146" s="23957"/>
      <c r="DO146" s="24094"/>
      <c r="DP146" s="23957"/>
      <c r="DQ146" s="261"/>
      <c r="DR146" s="261"/>
      <c r="DS146" s="261"/>
      <c r="DT146" s="261"/>
      <c r="DU146" s="261"/>
      <c r="DV146" s="261"/>
      <c r="DW146" s="261"/>
      <c r="DX146" s="24094"/>
      <c r="DY146" s="23957"/>
      <c r="DZ146" s="24094"/>
      <c r="EA146" s="23957"/>
      <c r="EB146" s="261"/>
      <c r="EC146" s="261"/>
      <c r="ED146" s="261"/>
      <c r="EE146" s="261"/>
      <c r="EF146" s="261"/>
      <c r="EG146" s="261"/>
      <c r="EH146" s="261"/>
      <c r="EI146" s="24094"/>
      <c r="EJ146" s="23957"/>
      <c r="EK146" s="24094"/>
      <c r="EL146" s="23957"/>
      <c r="EM146" s="261"/>
      <c r="EN146" s="261"/>
      <c r="EO146" s="261"/>
      <c r="EP146" s="261"/>
      <c r="EQ146" s="261"/>
      <c r="ER146" s="261"/>
      <c r="ES146" s="261"/>
      <c r="ET146" s="24094"/>
      <c r="EU146" s="23957"/>
      <c r="EV146" s="24096"/>
      <c r="EW146" s="23957"/>
      <c r="EX146" s="1286"/>
      <c r="EY146" s="1286"/>
      <c r="EZ146" s="1286"/>
      <c r="FA146" s="1286"/>
      <c r="FB146" s="1286"/>
      <c r="FC146" s="1286"/>
      <c r="FD146" s="1286"/>
      <c r="FE146" s="24085"/>
      <c r="FF146" s="24085"/>
      <c r="FG146" s="24085"/>
      <c r="FH146" s="24208"/>
      <c r="FI146" s="1286"/>
      <c r="FJ146" s="1286"/>
      <c r="FK146" s="1286"/>
      <c r="FL146" s="1286"/>
      <c r="FM146" s="1286"/>
      <c r="FN146" s="1286"/>
      <c r="FO146" s="1286"/>
      <c r="FP146" s="24085"/>
      <c r="FQ146" s="24085"/>
      <c r="FR146" s="24085"/>
      <c r="FS146" s="24085"/>
      <c r="FT146" s="1365"/>
      <c r="FU146" s="24162"/>
      <c r="FV146" s="1568"/>
      <c r="FW146" s="1550"/>
      <c r="FX146" s="1550" t="str">
        <f t="shared" si="2"/>
        <v/>
      </c>
      <c r="FY146" s="1550"/>
      <c r="FZ146" s="1550"/>
      <c r="GA146" s="1561">
        <v>0</v>
      </c>
    </row>
    <row r="147" spans="1:183" s="1747" customFormat="1" ht="21" customHeight="1">
      <c r="A147" s="1289"/>
      <c r="B147" s="1289"/>
      <c r="C147" s="1289"/>
      <c r="D147" s="1289"/>
      <c r="E147" s="24089"/>
      <c r="F147" s="24089" t="s">
        <v>81</v>
      </c>
      <c r="G147" s="24089"/>
      <c r="H147" s="24089"/>
      <c r="I147" s="24091"/>
      <c r="J147" s="24090"/>
      <c r="K147" s="1289"/>
      <c r="L147" s="1295"/>
      <c r="M147" s="1674"/>
      <c r="N147" s="1674"/>
      <c r="O147" s="1674"/>
      <c r="P147" s="24092"/>
      <c r="Q147" s="24092"/>
      <c r="R147" s="292"/>
      <c r="S147" s="2853"/>
      <c r="T147" s="2854" t="s">
        <v>712</v>
      </c>
      <c r="U147" s="2855"/>
      <c r="V147" s="2856"/>
      <c r="W147" s="2857"/>
      <c r="X147" s="2858"/>
      <c r="Y147" s="2859"/>
      <c r="Z147" s="2860"/>
      <c r="AA147" s="2861"/>
      <c r="AB147" s="2862"/>
      <c r="AC147" s="2863"/>
      <c r="AD147" s="2864"/>
      <c r="AE147" s="2865"/>
      <c r="AF147" s="2866"/>
      <c r="AG147" s="2867"/>
      <c r="AH147" s="2868"/>
      <c r="AI147" s="2869"/>
      <c r="AJ147" s="2870"/>
      <c r="AK147" s="2871"/>
      <c r="AL147" s="2872"/>
      <c r="AM147" s="2873"/>
      <c r="AN147" s="2874"/>
      <c r="AO147" s="2875"/>
      <c r="AP147" s="2876"/>
      <c r="AQ147" s="2877"/>
      <c r="AR147" s="6892"/>
      <c r="AS147" s="6893"/>
      <c r="AT147" s="6894"/>
      <c r="AU147" s="6895"/>
      <c r="AV147" s="6896"/>
      <c r="AW147" s="6897"/>
      <c r="AX147" s="6898"/>
      <c r="AY147" s="6899"/>
      <c r="AZ147" s="6900"/>
      <c r="BA147" s="6901"/>
      <c r="BB147" s="6902"/>
      <c r="BC147" s="6903"/>
      <c r="BD147" s="6904"/>
      <c r="BE147" s="11516"/>
      <c r="BF147" s="11517"/>
      <c r="BG147" s="21852"/>
      <c r="BH147" s="11518"/>
      <c r="BI147" s="11519"/>
      <c r="BJ147" s="11520"/>
      <c r="BK147" s="11521"/>
      <c r="BL147" s="11522"/>
      <c r="BM147" s="11523"/>
      <c r="BN147" s="2878"/>
      <c r="BO147" s="2879"/>
      <c r="BP147" s="11524"/>
      <c r="BQ147" s="11525"/>
      <c r="BR147" s="2880"/>
      <c r="BS147" s="11526"/>
      <c r="BT147" s="11527"/>
      <c r="BU147" s="11528"/>
      <c r="BV147" s="11529"/>
      <c r="BW147" s="11530"/>
      <c r="BX147" s="11531"/>
      <c r="BY147" s="11532"/>
      <c r="BZ147" s="11533"/>
      <c r="CA147" s="11534"/>
      <c r="CB147" s="11535"/>
      <c r="CC147" s="11536"/>
      <c r="CD147" s="11537"/>
      <c r="CE147" s="11538"/>
      <c r="CF147" s="11539"/>
      <c r="CG147" s="11540"/>
      <c r="CH147" s="11541"/>
      <c r="CI147" s="11542"/>
      <c r="CJ147" s="11543"/>
      <c r="CK147" s="11544"/>
      <c r="CL147" s="11545"/>
      <c r="CM147" s="11546"/>
      <c r="CN147" s="11547"/>
      <c r="CO147" s="11548"/>
      <c r="CP147" s="11549"/>
      <c r="CQ147" s="11550"/>
      <c r="CR147" s="11551"/>
      <c r="CS147" s="11552"/>
      <c r="CT147" s="11553"/>
      <c r="CU147" s="11554"/>
      <c r="CV147" s="11555"/>
      <c r="CW147" s="11556"/>
      <c r="CX147" s="11557"/>
      <c r="CY147" s="11558"/>
      <c r="CZ147" s="11559"/>
      <c r="DA147" s="11560"/>
      <c r="DB147" s="11561"/>
      <c r="DC147" s="11562"/>
      <c r="DD147" s="11563"/>
      <c r="DE147" s="11564"/>
      <c r="DF147" s="11565"/>
      <c r="DG147" s="11566"/>
      <c r="DH147" s="11567"/>
      <c r="DI147" s="11568"/>
      <c r="DJ147" s="11569"/>
      <c r="DK147" s="11570"/>
      <c r="DL147" s="11571"/>
      <c r="DM147" s="11572"/>
      <c r="DN147" s="11573"/>
      <c r="DO147" s="11574"/>
      <c r="DP147" s="11575"/>
      <c r="DQ147" s="11576"/>
      <c r="DR147" s="11577"/>
      <c r="DS147" s="11578"/>
      <c r="DT147" s="11579"/>
      <c r="DU147" s="11580"/>
      <c r="DV147" s="11581"/>
      <c r="DW147" s="11582"/>
      <c r="DX147" s="11583"/>
      <c r="DY147" s="11584"/>
      <c r="DZ147" s="11585"/>
      <c r="EA147" s="11586"/>
      <c r="EB147" s="11587"/>
      <c r="EC147" s="11588"/>
      <c r="ED147" s="11589"/>
      <c r="EE147" s="11590"/>
      <c r="EF147" s="11591"/>
      <c r="EG147" s="11592"/>
      <c r="EH147" s="11593"/>
      <c r="EI147" s="11594"/>
      <c r="EJ147" s="11595"/>
      <c r="EK147" s="11596"/>
      <c r="EL147" s="11597"/>
      <c r="EM147" s="21512"/>
      <c r="EN147" s="21513"/>
      <c r="EO147" s="11598"/>
      <c r="EP147" s="11599"/>
      <c r="EQ147" s="21514"/>
      <c r="ER147" s="11600"/>
      <c r="ES147" s="11601"/>
      <c r="ET147" s="11602"/>
      <c r="EU147" s="11603"/>
      <c r="EV147" s="11604"/>
      <c r="EW147" s="11605"/>
      <c r="EX147" s="2881"/>
      <c r="EY147" s="2882"/>
      <c r="EZ147" s="11606"/>
      <c r="FA147" s="11607"/>
      <c r="FB147" s="2883"/>
      <c r="FC147" s="11608"/>
      <c r="FD147" s="11609"/>
      <c r="FE147" s="11610"/>
      <c r="FF147" s="11611"/>
      <c r="FG147" s="11612"/>
      <c r="FH147" s="5688"/>
      <c r="FI147" s="22602"/>
      <c r="FJ147" s="22603"/>
      <c r="FK147" s="23402"/>
      <c r="FL147" s="23403"/>
      <c r="FM147" s="22604"/>
      <c r="FN147" s="23404"/>
      <c r="FO147" s="23405"/>
      <c r="FP147" s="22605"/>
      <c r="FQ147" s="22606"/>
      <c r="FR147" s="22607"/>
      <c r="FS147" s="23406"/>
      <c r="FT147" s="2884"/>
      <c r="FU147" s="1184" t="s">
        <v>713</v>
      </c>
      <c r="FV147" s="1568"/>
      <c r="FW147" s="1550"/>
      <c r="FX147" s="1550" t="str">
        <f t="shared" si="2"/>
        <v>Добавить значение признака дифференциации</v>
      </c>
      <c r="FY147" s="1550"/>
      <c r="FZ147" s="1550"/>
      <c r="GA147" s="1561">
        <v>0</v>
      </c>
    </row>
    <row r="148" spans="1:183" s="1747" customFormat="1" ht="23.25" customHeight="1">
      <c r="A148" s="1289"/>
      <c r="B148" s="1289"/>
      <c r="C148" s="1289"/>
      <c r="D148" s="1289"/>
      <c r="E148" s="24089"/>
      <c r="F148" s="24089"/>
      <c r="G148" s="24089"/>
      <c r="H148" s="24089"/>
      <c r="I148" s="24091"/>
      <c r="J148" s="24090" t="str">
        <f>I143&amp;".2"</f>
        <v>1.4.1.1.2</v>
      </c>
      <c r="K148" s="1289"/>
      <c r="L148" s="1295" t="s">
        <v>635</v>
      </c>
      <c r="M148" s="1674"/>
      <c r="N148" s="1674"/>
      <c r="O148" s="1674"/>
      <c r="P148" s="24092"/>
      <c r="Q148" s="24206" t="s">
        <v>96</v>
      </c>
      <c r="R148" s="293"/>
      <c r="S148" s="1976" t="str">
        <f>$J148</f>
        <v>1.4.1.1.2</v>
      </c>
      <c r="T148" s="222" t="s">
        <v>636</v>
      </c>
      <c r="U148" s="236"/>
      <c r="V148" s="24076"/>
      <c r="W148" s="24077"/>
      <c r="X148" s="24077"/>
      <c r="Y148" s="24077"/>
      <c r="Z148" s="24077"/>
      <c r="AA148" s="24077"/>
      <c r="AB148" s="24077"/>
      <c r="AC148" s="24077"/>
      <c r="AD148" s="24077"/>
      <c r="AE148" s="24077"/>
      <c r="AF148" s="24078"/>
      <c r="AG148" s="24076" t="s">
        <v>771</v>
      </c>
      <c r="AH148" s="24077"/>
      <c r="AI148" s="24077"/>
      <c r="AJ148" s="24077"/>
      <c r="AK148" s="24077"/>
      <c r="AL148" s="24077"/>
      <c r="AM148" s="24077"/>
      <c r="AN148" s="24077"/>
      <c r="AO148" s="24077"/>
      <c r="AP148" s="24077"/>
      <c r="AQ148" s="24077"/>
      <c r="AR148" s="24179"/>
      <c r="AS148" s="24180"/>
      <c r="AT148" s="24180"/>
      <c r="AU148" s="24180"/>
      <c r="AV148" s="24180"/>
      <c r="AW148" s="24180"/>
      <c r="AX148" s="24180"/>
      <c r="AY148" s="24180"/>
      <c r="AZ148" s="24180"/>
      <c r="BA148" s="24180"/>
      <c r="BB148" s="24181"/>
      <c r="BC148" s="24179"/>
      <c r="BD148" s="24180"/>
      <c r="BE148" s="24180"/>
      <c r="BF148" s="24180"/>
      <c r="BG148" s="24180"/>
      <c r="BH148" s="24180"/>
      <c r="BI148" s="24180"/>
      <c r="BJ148" s="24180"/>
      <c r="BK148" s="24180"/>
      <c r="BL148" s="24180"/>
      <c r="BM148" s="24181"/>
      <c r="BN148" s="24076"/>
      <c r="BO148" s="24077"/>
      <c r="BP148" s="24180"/>
      <c r="BQ148" s="24180"/>
      <c r="BR148" s="24077"/>
      <c r="BS148" s="24180"/>
      <c r="BT148" s="24180"/>
      <c r="BU148" s="24180"/>
      <c r="BV148" s="24180"/>
      <c r="BW148" s="24180"/>
      <c r="BX148" s="24181"/>
      <c r="BY148" s="24179"/>
      <c r="BZ148" s="24180"/>
      <c r="CA148" s="24180"/>
      <c r="CB148" s="24180"/>
      <c r="CC148" s="24180"/>
      <c r="CD148" s="24180"/>
      <c r="CE148" s="24180"/>
      <c r="CF148" s="24180"/>
      <c r="CG148" s="24180"/>
      <c r="CH148" s="24180"/>
      <c r="CI148" s="24181"/>
      <c r="CJ148" s="24179"/>
      <c r="CK148" s="24180"/>
      <c r="CL148" s="24180"/>
      <c r="CM148" s="24180"/>
      <c r="CN148" s="24180"/>
      <c r="CO148" s="24180"/>
      <c r="CP148" s="24180"/>
      <c r="CQ148" s="24180"/>
      <c r="CR148" s="24180"/>
      <c r="CS148" s="24180"/>
      <c r="CT148" s="24181"/>
      <c r="CU148" s="24179"/>
      <c r="CV148" s="24180"/>
      <c r="CW148" s="24180"/>
      <c r="CX148" s="24180"/>
      <c r="CY148" s="24180"/>
      <c r="CZ148" s="24180"/>
      <c r="DA148" s="24180"/>
      <c r="DB148" s="24180"/>
      <c r="DC148" s="24180"/>
      <c r="DD148" s="24180"/>
      <c r="DE148" s="24181"/>
      <c r="DF148" s="24179"/>
      <c r="DG148" s="24180"/>
      <c r="DH148" s="24180"/>
      <c r="DI148" s="24180"/>
      <c r="DJ148" s="24180"/>
      <c r="DK148" s="24180"/>
      <c r="DL148" s="24180"/>
      <c r="DM148" s="24180"/>
      <c r="DN148" s="24180"/>
      <c r="DO148" s="24180"/>
      <c r="DP148" s="24181"/>
      <c r="DQ148" s="24179"/>
      <c r="DR148" s="24180"/>
      <c r="DS148" s="24180"/>
      <c r="DT148" s="24180"/>
      <c r="DU148" s="24180"/>
      <c r="DV148" s="24180"/>
      <c r="DW148" s="24180"/>
      <c r="DX148" s="24180"/>
      <c r="DY148" s="24180"/>
      <c r="DZ148" s="24180"/>
      <c r="EA148" s="24181"/>
      <c r="EB148" s="24179"/>
      <c r="EC148" s="24180"/>
      <c r="ED148" s="24180"/>
      <c r="EE148" s="24180"/>
      <c r="EF148" s="24180"/>
      <c r="EG148" s="24180"/>
      <c r="EH148" s="24180"/>
      <c r="EI148" s="24180"/>
      <c r="EJ148" s="24180"/>
      <c r="EK148" s="24180"/>
      <c r="EL148" s="24181"/>
      <c r="EM148" s="24179"/>
      <c r="EN148" s="24180"/>
      <c r="EO148" s="24180"/>
      <c r="EP148" s="24180"/>
      <c r="EQ148" s="24180"/>
      <c r="ER148" s="24180"/>
      <c r="ES148" s="24180"/>
      <c r="ET148" s="24180"/>
      <c r="EU148" s="24180"/>
      <c r="EV148" s="24180"/>
      <c r="EW148" s="24181"/>
      <c r="EX148" s="24076"/>
      <c r="EY148" s="24077"/>
      <c r="EZ148" s="24180"/>
      <c r="FA148" s="24180"/>
      <c r="FB148" s="24077"/>
      <c r="FC148" s="24180"/>
      <c r="FD148" s="24180"/>
      <c r="FE148" s="24180"/>
      <c r="FF148" s="24180"/>
      <c r="FG148" s="24180"/>
      <c r="FH148" s="24181"/>
      <c r="FI148" s="24076"/>
      <c r="FJ148" s="24077"/>
      <c r="FK148" s="24180"/>
      <c r="FL148" s="24180"/>
      <c r="FM148" s="24077"/>
      <c r="FN148" s="24180"/>
      <c r="FO148" s="24180"/>
      <c r="FP148" s="24077"/>
      <c r="FQ148" s="24077"/>
      <c r="FR148" s="24077"/>
      <c r="FS148" s="24181"/>
      <c r="FT148" s="24078"/>
      <c r="FU148" s="1233" t="s">
        <v>711</v>
      </c>
      <c r="FV148" s="1568"/>
      <c r="FW148" s="1550"/>
      <c r="FX148" s="1550" t="str">
        <f t="shared" si="2"/>
        <v>Группа потребителей</v>
      </c>
      <c r="FY148" s="1550"/>
      <c r="FZ148" s="1550"/>
      <c r="GA148" s="1561">
        <v>0</v>
      </c>
    </row>
    <row r="149" spans="1:183" s="1747" customFormat="1" ht="23.25" customHeight="1">
      <c r="A149" s="1289"/>
      <c r="B149" s="1289"/>
      <c r="C149" s="1289"/>
      <c r="D149" s="1289"/>
      <c r="E149" s="24089"/>
      <c r="F149" s="24089"/>
      <c r="G149" s="24089"/>
      <c r="H149" s="24089"/>
      <c r="I149" s="24091"/>
      <c r="J149" s="24091" t="str">
        <f>I143&amp;".1"</f>
        <v>1.4.1.1.1</v>
      </c>
      <c r="K149" s="24090" t="str">
        <f>J148&amp;".1"</f>
        <v>1.4.1.1.2.1</v>
      </c>
      <c r="L149" s="1295"/>
      <c r="M149" s="1674"/>
      <c r="N149" s="1674"/>
      <c r="O149" s="1674"/>
      <c r="P149" s="24092"/>
      <c r="Q149" s="24092"/>
      <c r="R149" s="293">
        <v>1</v>
      </c>
      <c r="S149" s="1976" t="str">
        <f>$K149</f>
        <v>1.4.1.1.2.1</v>
      </c>
      <c r="T149" s="1363"/>
      <c r="U149" s="236"/>
      <c r="V149" s="1286"/>
      <c r="W149" s="1286"/>
      <c r="X149" s="1286"/>
      <c r="Y149" s="1286"/>
      <c r="Z149" s="1286"/>
      <c r="AA149" s="1286"/>
      <c r="AB149" s="1286"/>
      <c r="AC149" s="24086"/>
      <c r="AD149" s="24085" t="s">
        <v>59</v>
      </c>
      <c r="AE149" s="24086"/>
      <c r="AF149" s="24085" t="s">
        <v>59</v>
      </c>
      <c r="AG149" s="687">
        <v>211.48</v>
      </c>
      <c r="AH149" s="687">
        <v>48.29</v>
      </c>
      <c r="AI149" s="687"/>
      <c r="AJ149" s="687"/>
      <c r="AK149" s="687">
        <v>2401.2399999999998</v>
      </c>
      <c r="AL149" s="687"/>
      <c r="AM149" s="687"/>
      <c r="AN149" s="24093" t="s">
        <v>9</v>
      </c>
      <c r="AO149" s="23957" t="s">
        <v>59</v>
      </c>
      <c r="AP149" s="24095" t="s">
        <v>770</v>
      </c>
      <c r="AQ149" s="23957" t="s">
        <v>59</v>
      </c>
      <c r="AR149" s="687">
        <v>232.61</v>
      </c>
      <c r="AS149" s="687">
        <v>53.1</v>
      </c>
      <c r="AT149" s="687"/>
      <c r="AU149" s="687"/>
      <c r="AV149" s="687">
        <v>2641.36</v>
      </c>
      <c r="AW149" s="687"/>
      <c r="AX149" s="687"/>
      <c r="AY149" s="24093" t="s">
        <v>772</v>
      </c>
      <c r="AZ149" s="23957" t="s">
        <v>59</v>
      </c>
      <c r="BA149" s="24093" t="s">
        <v>773</v>
      </c>
      <c r="BB149" s="23957" t="s">
        <v>59</v>
      </c>
      <c r="BC149" s="687">
        <v>232.61</v>
      </c>
      <c r="BD149" s="687">
        <v>53.1</v>
      </c>
      <c r="BE149" s="687"/>
      <c r="BF149" s="687"/>
      <c r="BG149" s="687">
        <v>2641.36</v>
      </c>
      <c r="BH149" s="687"/>
      <c r="BI149" s="687"/>
      <c r="BJ149" s="24093" t="s">
        <v>774</v>
      </c>
      <c r="BK149" s="23957" t="s">
        <v>59</v>
      </c>
      <c r="BL149" s="24093" t="s">
        <v>775</v>
      </c>
      <c r="BM149" s="23957" t="s">
        <v>59</v>
      </c>
      <c r="BN149" s="687">
        <v>259.72000000000003</v>
      </c>
      <c r="BO149" s="687">
        <v>62.62</v>
      </c>
      <c r="BP149" s="687"/>
      <c r="BQ149" s="687"/>
      <c r="BR149" s="687">
        <v>2900.21</v>
      </c>
      <c r="BS149" s="687"/>
      <c r="BT149" s="687"/>
      <c r="BU149" s="24093" t="s">
        <v>776</v>
      </c>
      <c r="BV149" s="23957" t="s">
        <v>59</v>
      </c>
      <c r="BW149" s="24093">
        <v>45853</v>
      </c>
      <c r="BX149" s="23957" t="s">
        <v>59</v>
      </c>
      <c r="BY149" s="687">
        <v>260.82</v>
      </c>
      <c r="BZ149" s="687">
        <v>63.72</v>
      </c>
      <c r="CA149" s="687"/>
      <c r="CB149" s="687"/>
      <c r="CC149" s="687">
        <v>2900.21</v>
      </c>
      <c r="CD149" s="687"/>
      <c r="CE149" s="687"/>
      <c r="CF149" s="24093">
        <v>45854</v>
      </c>
      <c r="CG149" s="23957" t="s">
        <v>59</v>
      </c>
      <c r="CH149" s="24093">
        <v>46022</v>
      </c>
      <c r="CI149" s="23957" t="s">
        <v>59</v>
      </c>
      <c r="CJ149" s="687">
        <v>265.25</v>
      </c>
      <c r="CK149" s="687">
        <v>64.78</v>
      </c>
      <c r="CL149" s="687"/>
      <c r="CM149" s="687"/>
      <c r="CN149" s="687">
        <v>2949.91</v>
      </c>
      <c r="CO149" s="687"/>
      <c r="CP149" s="687"/>
      <c r="CQ149" s="24093">
        <v>46023</v>
      </c>
      <c r="CR149" s="23957" t="s">
        <v>59</v>
      </c>
      <c r="CS149" s="24185">
        <v>46295</v>
      </c>
      <c r="CT149" s="23957" t="s">
        <v>59</v>
      </c>
      <c r="CU149" s="687">
        <v>297.08</v>
      </c>
      <c r="CV149" s="687">
        <v>72.55</v>
      </c>
      <c r="CW149" s="687"/>
      <c r="CX149" s="687"/>
      <c r="CY149" s="687">
        <v>3303.91</v>
      </c>
      <c r="CZ149" s="687"/>
      <c r="DA149" s="687"/>
      <c r="DB149" s="24185">
        <v>46296</v>
      </c>
      <c r="DC149" s="23957" t="s">
        <v>59</v>
      </c>
      <c r="DD149" s="24093">
        <v>46387</v>
      </c>
      <c r="DE149" s="23957" t="s">
        <v>59</v>
      </c>
      <c r="DF149" s="687">
        <f>CU149</f>
        <v>297.08</v>
      </c>
      <c r="DG149" s="687">
        <f>CV149</f>
        <v>72.55</v>
      </c>
      <c r="DH149" s="687"/>
      <c r="DI149" s="687"/>
      <c r="DJ149" s="687">
        <f>CY149</f>
        <v>3303.91</v>
      </c>
      <c r="DK149" s="687"/>
      <c r="DL149" s="687"/>
      <c r="DM149" s="24093">
        <v>46388</v>
      </c>
      <c r="DN149" s="23957" t="s">
        <v>59</v>
      </c>
      <c r="DO149" s="24093">
        <v>46568</v>
      </c>
      <c r="DP149" s="23957" t="s">
        <v>59</v>
      </c>
      <c r="DQ149" s="687">
        <v>318.75</v>
      </c>
      <c r="DR149" s="687">
        <v>74.680000000000007</v>
      </c>
      <c r="DS149" s="687"/>
      <c r="DT149" s="687"/>
      <c r="DU149" s="687">
        <v>3591.35</v>
      </c>
      <c r="DV149" s="687"/>
      <c r="DW149" s="687"/>
      <c r="DX149" s="24185">
        <v>46569</v>
      </c>
      <c r="DY149" s="23957" t="s">
        <v>59</v>
      </c>
      <c r="DZ149" s="24093">
        <v>46752</v>
      </c>
      <c r="EA149" s="23957" t="s">
        <v>59</v>
      </c>
      <c r="EB149" s="687">
        <v>317.66000000000003</v>
      </c>
      <c r="EC149" s="687">
        <v>73.59</v>
      </c>
      <c r="ED149" s="687"/>
      <c r="EE149" s="687"/>
      <c r="EF149" s="687">
        <f>DU149</f>
        <v>3591.35</v>
      </c>
      <c r="EG149" s="687"/>
      <c r="EH149" s="687"/>
      <c r="EI149" s="24093">
        <v>46753</v>
      </c>
      <c r="EJ149" s="23957" t="s">
        <v>59</v>
      </c>
      <c r="EK149" s="24093">
        <v>46934</v>
      </c>
      <c r="EL149" s="23957" t="s">
        <v>59</v>
      </c>
      <c r="EM149" s="687">
        <v>334.99</v>
      </c>
      <c r="EN149" s="687">
        <v>73.59</v>
      </c>
      <c r="EO149" s="687"/>
      <c r="EP149" s="687"/>
      <c r="EQ149" s="687">
        <v>3846.33</v>
      </c>
      <c r="ER149" s="687"/>
      <c r="ES149" s="687"/>
      <c r="ET149" s="24093">
        <v>46935.629201388889</v>
      </c>
      <c r="EU149" s="23957" t="s">
        <v>59</v>
      </c>
      <c r="EV149" s="24095">
        <v>47118.629317129627</v>
      </c>
      <c r="EW149" s="23957" t="s">
        <v>6</v>
      </c>
      <c r="EX149" s="1286"/>
      <c r="EY149" s="1286"/>
      <c r="EZ149" s="1286"/>
      <c r="FA149" s="1286"/>
      <c r="FB149" s="1286"/>
      <c r="FC149" s="1286"/>
      <c r="FD149" s="1286"/>
      <c r="FE149" s="24086"/>
      <c r="FF149" s="24085" t="s">
        <v>59</v>
      </c>
      <c r="FG149" s="24086"/>
      <c r="FH149" s="24208" t="s">
        <v>59</v>
      </c>
      <c r="FI149" s="1286"/>
      <c r="FJ149" s="1286"/>
      <c r="FK149" s="1286"/>
      <c r="FL149" s="1286"/>
      <c r="FM149" s="1286"/>
      <c r="FN149" s="1286"/>
      <c r="FO149" s="1286"/>
      <c r="FP149" s="24086"/>
      <c r="FQ149" s="24085" t="s">
        <v>59</v>
      </c>
      <c r="FR149" s="24086"/>
      <c r="FS149" s="24085" t="s">
        <v>59</v>
      </c>
      <c r="FT149" s="1364"/>
      <c r="FU14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49" s="1568" t="e">
        <f ca="1">STRCHECKDATE(V150:FT150)</f>
        <v>#NAME?</v>
      </c>
      <c r="FW149" s="1550"/>
      <c r="FX149" s="1550" t="str">
        <f t="shared" si="2"/>
        <v/>
      </c>
      <c r="FY149" s="1550"/>
      <c r="FZ149" s="1550"/>
      <c r="GA149" s="1561">
        <v>0</v>
      </c>
    </row>
    <row r="150" spans="1:183" s="1747" customFormat="1" ht="14.25" customHeight="1">
      <c r="A150" s="1289"/>
      <c r="B150" s="1289"/>
      <c r="C150" s="1289"/>
      <c r="D150" s="1289"/>
      <c r="E150" s="24089"/>
      <c r="F150" s="24089"/>
      <c r="G150" s="24089"/>
      <c r="H150" s="24089"/>
      <c r="I150" s="24091"/>
      <c r="J150" s="24091" t="str">
        <f>I143&amp;".1"</f>
        <v>1.4.1.1.1</v>
      </c>
      <c r="K150" s="24090"/>
      <c r="L150" s="1295"/>
      <c r="M150" s="1674"/>
      <c r="N150" s="1674"/>
      <c r="O150" s="1674"/>
      <c r="P150" s="24092"/>
      <c r="Q150" s="24092"/>
      <c r="R150" s="293"/>
      <c r="S150" s="1982"/>
      <c r="T150" s="236"/>
      <c r="U150" s="236"/>
      <c r="V150" s="1286"/>
      <c r="W150" s="1286"/>
      <c r="X150" s="1286"/>
      <c r="Y150" s="1286"/>
      <c r="Z150" s="1286"/>
      <c r="AA150" s="1286"/>
      <c r="AB150" s="1286"/>
      <c r="AC150" s="24085"/>
      <c r="AD150" s="24085"/>
      <c r="AE150" s="24085"/>
      <c r="AF150" s="24085"/>
      <c r="AG150" s="261"/>
      <c r="AH150" s="261"/>
      <c r="AI150" s="261"/>
      <c r="AJ150" s="261"/>
      <c r="AK150" s="261"/>
      <c r="AL150" s="261"/>
      <c r="AM150" s="261"/>
      <c r="AN150" s="24094"/>
      <c r="AO150" s="23957"/>
      <c r="AP150" s="24096"/>
      <c r="AQ150" s="23957"/>
      <c r="AR150" s="261"/>
      <c r="AS150" s="261"/>
      <c r="AT150" s="261"/>
      <c r="AU150" s="261"/>
      <c r="AV150" s="261"/>
      <c r="AW150" s="261"/>
      <c r="AX150" s="261"/>
      <c r="AY150" s="24094"/>
      <c r="AZ150" s="23957"/>
      <c r="BA150" s="24094"/>
      <c r="BB150" s="23957"/>
      <c r="BC150" s="261"/>
      <c r="BD150" s="261"/>
      <c r="BE150" s="261"/>
      <c r="BF150" s="261"/>
      <c r="BG150" s="261"/>
      <c r="BH150" s="261"/>
      <c r="BI150" s="261"/>
      <c r="BJ150" s="24094"/>
      <c r="BK150" s="23957"/>
      <c r="BL150" s="24094"/>
      <c r="BM150" s="23957"/>
      <c r="BN150" s="261"/>
      <c r="BO150" s="261"/>
      <c r="BP150" s="261"/>
      <c r="BQ150" s="261"/>
      <c r="BR150" s="261"/>
      <c r="BS150" s="261"/>
      <c r="BT150" s="261"/>
      <c r="BU150" s="24094"/>
      <c r="BV150" s="23957"/>
      <c r="BW150" s="24094"/>
      <c r="BX150" s="23957"/>
      <c r="BY150" s="261"/>
      <c r="BZ150" s="261"/>
      <c r="CA150" s="261"/>
      <c r="CB150" s="261"/>
      <c r="CC150" s="261"/>
      <c r="CD150" s="261"/>
      <c r="CE150" s="261"/>
      <c r="CF150" s="24094"/>
      <c r="CG150" s="23957"/>
      <c r="CH150" s="24094"/>
      <c r="CI150" s="23957"/>
      <c r="CJ150" s="261"/>
      <c r="CK150" s="261"/>
      <c r="CL150" s="261"/>
      <c r="CM150" s="261"/>
      <c r="CN150" s="261"/>
      <c r="CO150" s="261"/>
      <c r="CP150" s="261"/>
      <c r="CQ150" s="24094"/>
      <c r="CR150" s="23957"/>
      <c r="CS150" s="24094"/>
      <c r="CT150" s="23957"/>
      <c r="CU150" s="261"/>
      <c r="CV150" s="261"/>
      <c r="CW150" s="261"/>
      <c r="CX150" s="261"/>
      <c r="CY150" s="261"/>
      <c r="CZ150" s="261"/>
      <c r="DA150" s="261"/>
      <c r="DB150" s="24094"/>
      <c r="DC150" s="23957"/>
      <c r="DD150" s="24094"/>
      <c r="DE150" s="23957"/>
      <c r="DF150" s="261"/>
      <c r="DG150" s="261"/>
      <c r="DH150" s="261"/>
      <c r="DI150" s="261"/>
      <c r="DJ150" s="261"/>
      <c r="DK150" s="261"/>
      <c r="DL150" s="261"/>
      <c r="DM150" s="24094"/>
      <c r="DN150" s="23957"/>
      <c r="DO150" s="24094"/>
      <c r="DP150" s="23957"/>
      <c r="DQ150" s="261"/>
      <c r="DR150" s="261"/>
      <c r="DS150" s="261"/>
      <c r="DT150" s="261"/>
      <c r="DU150" s="261"/>
      <c r="DV150" s="261"/>
      <c r="DW150" s="261"/>
      <c r="DX150" s="24094"/>
      <c r="DY150" s="23957"/>
      <c r="DZ150" s="24094"/>
      <c r="EA150" s="23957"/>
      <c r="EB150" s="261"/>
      <c r="EC150" s="261"/>
      <c r="ED150" s="261"/>
      <c r="EE150" s="261"/>
      <c r="EF150" s="261"/>
      <c r="EG150" s="261"/>
      <c r="EH150" s="261"/>
      <c r="EI150" s="24094"/>
      <c r="EJ150" s="23957"/>
      <c r="EK150" s="24094"/>
      <c r="EL150" s="23957"/>
      <c r="EM150" s="261"/>
      <c r="EN150" s="261"/>
      <c r="EO150" s="261"/>
      <c r="EP150" s="261"/>
      <c r="EQ150" s="261"/>
      <c r="ER150" s="261"/>
      <c r="ES150" s="261"/>
      <c r="ET150" s="24094"/>
      <c r="EU150" s="23957"/>
      <c r="EV150" s="24096"/>
      <c r="EW150" s="23957"/>
      <c r="EX150" s="1286"/>
      <c r="EY150" s="1286"/>
      <c r="EZ150" s="1286"/>
      <c r="FA150" s="1286"/>
      <c r="FB150" s="1286"/>
      <c r="FC150" s="1286"/>
      <c r="FD150" s="1286"/>
      <c r="FE150" s="24085"/>
      <c r="FF150" s="24085"/>
      <c r="FG150" s="24085"/>
      <c r="FH150" s="24208"/>
      <c r="FI150" s="1286"/>
      <c r="FJ150" s="1286"/>
      <c r="FK150" s="1286"/>
      <c r="FL150" s="1286"/>
      <c r="FM150" s="1286"/>
      <c r="FN150" s="1286"/>
      <c r="FO150" s="1286"/>
      <c r="FP150" s="24085"/>
      <c r="FQ150" s="24085"/>
      <c r="FR150" s="24085"/>
      <c r="FS150" s="24085"/>
      <c r="FT150" s="1365"/>
      <c r="FU150" s="24162"/>
      <c r="FV150" s="1568"/>
      <c r="FW150" s="1550"/>
      <c r="FX150" s="1550" t="str">
        <f t="shared" si="2"/>
        <v/>
      </c>
      <c r="FY150" s="1550"/>
      <c r="FZ150" s="1550"/>
      <c r="GA150" s="1561">
        <v>0</v>
      </c>
    </row>
    <row r="151" spans="1:183" s="1747" customFormat="1" ht="21" customHeight="1">
      <c r="A151" s="1289"/>
      <c r="B151" s="1289"/>
      <c r="C151" s="1289"/>
      <c r="D151" s="1289"/>
      <c r="E151" s="24089"/>
      <c r="F151" s="24089"/>
      <c r="G151" s="24089"/>
      <c r="H151" s="24089"/>
      <c r="I151" s="24091"/>
      <c r="J151" s="24090" t="str">
        <f>I143&amp;".1"</f>
        <v>1.4.1.1.1</v>
      </c>
      <c r="K151" s="1289"/>
      <c r="L151" s="1295"/>
      <c r="M151" s="1674"/>
      <c r="N151" s="1674"/>
      <c r="O151" s="1674"/>
      <c r="P151" s="24092"/>
      <c r="Q151" s="24092"/>
      <c r="R151" s="292"/>
      <c r="S151" s="2885"/>
      <c r="T151" s="2886" t="s">
        <v>712</v>
      </c>
      <c r="U151" s="2887"/>
      <c r="V151" s="2888"/>
      <c r="W151" s="2889"/>
      <c r="X151" s="2890"/>
      <c r="Y151" s="2891"/>
      <c r="Z151" s="2892"/>
      <c r="AA151" s="2893"/>
      <c r="AB151" s="2894"/>
      <c r="AC151" s="2895"/>
      <c r="AD151" s="2896"/>
      <c r="AE151" s="2897"/>
      <c r="AF151" s="2898"/>
      <c r="AG151" s="2899"/>
      <c r="AH151" s="2900"/>
      <c r="AI151" s="2901"/>
      <c r="AJ151" s="2902"/>
      <c r="AK151" s="2903"/>
      <c r="AL151" s="2904"/>
      <c r="AM151" s="2905"/>
      <c r="AN151" s="2906"/>
      <c r="AO151" s="2907"/>
      <c r="AP151" s="2908"/>
      <c r="AQ151" s="2909"/>
      <c r="AR151" s="6905"/>
      <c r="AS151" s="6906"/>
      <c r="AT151" s="6907"/>
      <c r="AU151" s="6908"/>
      <c r="AV151" s="6909"/>
      <c r="AW151" s="6910"/>
      <c r="AX151" s="6911"/>
      <c r="AY151" s="6912"/>
      <c r="AZ151" s="6913"/>
      <c r="BA151" s="6914"/>
      <c r="BB151" s="6915"/>
      <c r="BC151" s="6916"/>
      <c r="BD151" s="6917"/>
      <c r="BE151" s="11613"/>
      <c r="BF151" s="11614"/>
      <c r="BG151" s="21853"/>
      <c r="BH151" s="11615"/>
      <c r="BI151" s="11616"/>
      <c r="BJ151" s="11617"/>
      <c r="BK151" s="11618"/>
      <c r="BL151" s="11619"/>
      <c r="BM151" s="11620"/>
      <c r="BN151" s="2910"/>
      <c r="BO151" s="2911"/>
      <c r="BP151" s="11621"/>
      <c r="BQ151" s="11622"/>
      <c r="BR151" s="2912"/>
      <c r="BS151" s="11623"/>
      <c r="BT151" s="11624"/>
      <c r="BU151" s="11625"/>
      <c r="BV151" s="11626"/>
      <c r="BW151" s="11627"/>
      <c r="BX151" s="11628"/>
      <c r="BY151" s="11629"/>
      <c r="BZ151" s="11630"/>
      <c r="CA151" s="11631"/>
      <c r="CB151" s="11632"/>
      <c r="CC151" s="11633"/>
      <c r="CD151" s="11634"/>
      <c r="CE151" s="11635"/>
      <c r="CF151" s="11636"/>
      <c r="CG151" s="11637"/>
      <c r="CH151" s="11638"/>
      <c r="CI151" s="11639"/>
      <c r="CJ151" s="11640"/>
      <c r="CK151" s="11641"/>
      <c r="CL151" s="11642"/>
      <c r="CM151" s="11643"/>
      <c r="CN151" s="11644"/>
      <c r="CO151" s="11645"/>
      <c r="CP151" s="11646"/>
      <c r="CQ151" s="11647"/>
      <c r="CR151" s="11648"/>
      <c r="CS151" s="11649"/>
      <c r="CT151" s="11650"/>
      <c r="CU151" s="11651"/>
      <c r="CV151" s="11652"/>
      <c r="CW151" s="11653"/>
      <c r="CX151" s="11654"/>
      <c r="CY151" s="11655"/>
      <c r="CZ151" s="11656"/>
      <c r="DA151" s="11657"/>
      <c r="DB151" s="11658"/>
      <c r="DC151" s="11659"/>
      <c r="DD151" s="11660"/>
      <c r="DE151" s="11661"/>
      <c r="DF151" s="11662"/>
      <c r="DG151" s="11663"/>
      <c r="DH151" s="11664"/>
      <c r="DI151" s="11665"/>
      <c r="DJ151" s="11666"/>
      <c r="DK151" s="11667"/>
      <c r="DL151" s="11668"/>
      <c r="DM151" s="11669"/>
      <c r="DN151" s="11670"/>
      <c r="DO151" s="11671"/>
      <c r="DP151" s="11672"/>
      <c r="DQ151" s="11673"/>
      <c r="DR151" s="11674"/>
      <c r="DS151" s="11675"/>
      <c r="DT151" s="11676"/>
      <c r="DU151" s="11677"/>
      <c r="DV151" s="11678"/>
      <c r="DW151" s="11679"/>
      <c r="DX151" s="11680"/>
      <c r="DY151" s="11681"/>
      <c r="DZ151" s="11682"/>
      <c r="EA151" s="11683"/>
      <c r="EB151" s="11684"/>
      <c r="EC151" s="11685"/>
      <c r="ED151" s="11686"/>
      <c r="EE151" s="11687"/>
      <c r="EF151" s="11688"/>
      <c r="EG151" s="11689"/>
      <c r="EH151" s="11690"/>
      <c r="EI151" s="11691"/>
      <c r="EJ151" s="11692"/>
      <c r="EK151" s="11693"/>
      <c r="EL151" s="11694"/>
      <c r="EM151" s="21515"/>
      <c r="EN151" s="21516"/>
      <c r="EO151" s="11695"/>
      <c r="EP151" s="11696"/>
      <c r="EQ151" s="21517"/>
      <c r="ER151" s="11697"/>
      <c r="ES151" s="11698"/>
      <c r="ET151" s="11699"/>
      <c r="EU151" s="11700"/>
      <c r="EV151" s="11701"/>
      <c r="EW151" s="11702"/>
      <c r="EX151" s="2913"/>
      <c r="EY151" s="2914"/>
      <c r="EZ151" s="11703"/>
      <c r="FA151" s="11704"/>
      <c r="FB151" s="2915"/>
      <c r="FC151" s="11705"/>
      <c r="FD151" s="11706"/>
      <c r="FE151" s="11707"/>
      <c r="FF151" s="11708"/>
      <c r="FG151" s="11709"/>
      <c r="FH151" s="5689"/>
      <c r="FI151" s="22608"/>
      <c r="FJ151" s="22609"/>
      <c r="FK151" s="23407"/>
      <c r="FL151" s="23408"/>
      <c r="FM151" s="22610"/>
      <c r="FN151" s="23409"/>
      <c r="FO151" s="23410"/>
      <c r="FP151" s="22611"/>
      <c r="FQ151" s="22612"/>
      <c r="FR151" s="22613"/>
      <c r="FS151" s="23411"/>
      <c r="FT151" s="2916"/>
      <c r="FU151" s="1184" t="s">
        <v>713</v>
      </c>
      <c r="FV151" s="1568"/>
      <c r="FW151" s="1550"/>
      <c r="FX151" s="1550" t="str">
        <f t="shared" si="2"/>
        <v>Добавить значение признака дифференциации</v>
      </c>
      <c r="FY151" s="1550"/>
      <c r="FZ151" s="1550"/>
      <c r="GA151" s="1561">
        <v>0</v>
      </c>
    </row>
    <row r="152" spans="1:183" s="1747" customFormat="1" ht="21" customHeight="1">
      <c r="A152" s="1289"/>
      <c r="B152" s="1289"/>
      <c r="C152" s="1289"/>
      <c r="D152" s="1289"/>
      <c r="E152" s="24089"/>
      <c r="F152" s="24089" t="s">
        <v>81</v>
      </c>
      <c r="G152" s="24089"/>
      <c r="H152" s="24089"/>
      <c r="I152" s="24090"/>
      <c r="J152" s="1289"/>
      <c r="K152" s="1289"/>
      <c r="L152" s="1295"/>
      <c r="M152" s="1674"/>
      <c r="N152" s="1674"/>
      <c r="O152" s="1674"/>
      <c r="P152" s="24092"/>
      <c r="Q152" s="1978"/>
      <c r="R152" s="292"/>
      <c r="S152" s="2917"/>
      <c r="T152" s="2918" t="s">
        <v>641</v>
      </c>
      <c r="U152" s="2919"/>
      <c r="V152" s="2920"/>
      <c r="W152" s="2921"/>
      <c r="X152" s="2922"/>
      <c r="Y152" s="2923"/>
      <c r="Z152" s="2924"/>
      <c r="AA152" s="2925"/>
      <c r="AB152" s="2926"/>
      <c r="AC152" s="2927"/>
      <c r="AD152" s="2928"/>
      <c r="AE152" s="2929"/>
      <c r="AF152" s="2930"/>
      <c r="AG152" s="2931"/>
      <c r="AH152" s="2932"/>
      <c r="AI152" s="2933"/>
      <c r="AJ152" s="2934"/>
      <c r="AK152" s="2935"/>
      <c r="AL152" s="2936"/>
      <c r="AM152" s="2937"/>
      <c r="AN152" s="2938"/>
      <c r="AO152" s="2939"/>
      <c r="AP152" s="2940"/>
      <c r="AQ152" s="2941"/>
      <c r="AR152" s="6918"/>
      <c r="AS152" s="6919"/>
      <c r="AT152" s="6920"/>
      <c r="AU152" s="6921"/>
      <c r="AV152" s="6922"/>
      <c r="AW152" s="6923"/>
      <c r="AX152" s="6924"/>
      <c r="AY152" s="6925"/>
      <c r="AZ152" s="6926"/>
      <c r="BA152" s="6927"/>
      <c r="BB152" s="6928"/>
      <c r="BC152" s="6929"/>
      <c r="BD152" s="6930"/>
      <c r="BE152" s="11710"/>
      <c r="BF152" s="11711"/>
      <c r="BG152" s="21854"/>
      <c r="BH152" s="11712"/>
      <c r="BI152" s="11713"/>
      <c r="BJ152" s="11714"/>
      <c r="BK152" s="11715"/>
      <c r="BL152" s="11716"/>
      <c r="BM152" s="11717"/>
      <c r="BN152" s="2942"/>
      <c r="BO152" s="2943"/>
      <c r="BP152" s="11718"/>
      <c r="BQ152" s="11719"/>
      <c r="BR152" s="2944"/>
      <c r="BS152" s="11720"/>
      <c r="BT152" s="11721"/>
      <c r="BU152" s="11722"/>
      <c r="BV152" s="11723"/>
      <c r="BW152" s="11724"/>
      <c r="BX152" s="11725"/>
      <c r="BY152" s="11726"/>
      <c r="BZ152" s="11727"/>
      <c r="CA152" s="11728"/>
      <c r="CB152" s="11729"/>
      <c r="CC152" s="11730"/>
      <c r="CD152" s="11731"/>
      <c r="CE152" s="11732"/>
      <c r="CF152" s="11733"/>
      <c r="CG152" s="11734"/>
      <c r="CH152" s="11735"/>
      <c r="CI152" s="11736"/>
      <c r="CJ152" s="11737"/>
      <c r="CK152" s="11738"/>
      <c r="CL152" s="11739"/>
      <c r="CM152" s="11740"/>
      <c r="CN152" s="11741"/>
      <c r="CO152" s="11742"/>
      <c r="CP152" s="11743"/>
      <c r="CQ152" s="11744"/>
      <c r="CR152" s="11745"/>
      <c r="CS152" s="11746"/>
      <c r="CT152" s="11747"/>
      <c r="CU152" s="11748"/>
      <c r="CV152" s="11749"/>
      <c r="CW152" s="11750"/>
      <c r="CX152" s="11751"/>
      <c r="CY152" s="11752"/>
      <c r="CZ152" s="11753"/>
      <c r="DA152" s="11754"/>
      <c r="DB152" s="11755"/>
      <c r="DC152" s="11756"/>
      <c r="DD152" s="11757"/>
      <c r="DE152" s="11758"/>
      <c r="DF152" s="11759"/>
      <c r="DG152" s="11760"/>
      <c r="DH152" s="11761"/>
      <c r="DI152" s="11762"/>
      <c r="DJ152" s="11763"/>
      <c r="DK152" s="11764"/>
      <c r="DL152" s="11765"/>
      <c r="DM152" s="11766"/>
      <c r="DN152" s="11767"/>
      <c r="DO152" s="11768"/>
      <c r="DP152" s="11769"/>
      <c r="DQ152" s="11770"/>
      <c r="DR152" s="11771"/>
      <c r="DS152" s="11772"/>
      <c r="DT152" s="11773"/>
      <c r="DU152" s="11774"/>
      <c r="DV152" s="11775"/>
      <c r="DW152" s="11776"/>
      <c r="DX152" s="11777"/>
      <c r="DY152" s="11778"/>
      <c r="DZ152" s="11779"/>
      <c r="EA152" s="11780"/>
      <c r="EB152" s="11781"/>
      <c r="EC152" s="11782"/>
      <c r="ED152" s="11783"/>
      <c r="EE152" s="11784"/>
      <c r="EF152" s="11785"/>
      <c r="EG152" s="11786"/>
      <c r="EH152" s="11787"/>
      <c r="EI152" s="11788"/>
      <c r="EJ152" s="11789"/>
      <c r="EK152" s="11790"/>
      <c r="EL152" s="11791"/>
      <c r="EM152" s="21518"/>
      <c r="EN152" s="21519"/>
      <c r="EO152" s="11792"/>
      <c r="EP152" s="11793"/>
      <c r="EQ152" s="21520"/>
      <c r="ER152" s="11794"/>
      <c r="ES152" s="11795"/>
      <c r="ET152" s="11796"/>
      <c r="EU152" s="11797"/>
      <c r="EV152" s="11798"/>
      <c r="EW152" s="11799"/>
      <c r="EX152" s="2945"/>
      <c r="EY152" s="2946"/>
      <c r="EZ152" s="11800"/>
      <c r="FA152" s="11801"/>
      <c r="FB152" s="2947"/>
      <c r="FC152" s="11802"/>
      <c r="FD152" s="11803"/>
      <c r="FE152" s="11804"/>
      <c r="FF152" s="11805"/>
      <c r="FG152" s="11806"/>
      <c r="FH152" s="5690"/>
      <c r="FI152" s="22614"/>
      <c r="FJ152" s="22615"/>
      <c r="FK152" s="23412"/>
      <c r="FL152" s="23413"/>
      <c r="FM152" s="22616"/>
      <c r="FN152" s="23414"/>
      <c r="FO152" s="23415"/>
      <c r="FP152" s="22617"/>
      <c r="FQ152" s="22618"/>
      <c r="FR152" s="22619"/>
      <c r="FS152" s="23416"/>
      <c r="FT152" s="2948"/>
      <c r="FU152" s="2949"/>
      <c r="FV152" s="1568"/>
      <c r="FW152" s="1550"/>
      <c r="FX152" s="1550" t="str">
        <f t="shared" si="2"/>
        <v>Добавить группу потребителей</v>
      </c>
      <c r="FY152" s="1550"/>
      <c r="FZ152" s="1550"/>
      <c r="GA152" s="1561">
        <v>0</v>
      </c>
    </row>
    <row r="153" spans="1:183" s="1747" customFormat="1" ht="21" customHeight="1">
      <c r="A153" s="1289"/>
      <c r="B153" s="1289"/>
      <c r="C153" s="1289"/>
      <c r="D153" s="1289"/>
      <c r="E153" s="24089"/>
      <c r="F153" s="24089" t="s">
        <v>81</v>
      </c>
      <c r="G153" s="24089"/>
      <c r="H153" s="24088"/>
      <c r="I153" s="1289"/>
      <c r="J153" s="1289"/>
      <c r="K153" s="1289"/>
      <c r="L153" s="1295"/>
      <c r="M153" s="1291"/>
      <c r="N153" s="1291"/>
      <c r="O153" s="1292"/>
      <c r="P153" s="1720"/>
      <c r="Q153" s="311"/>
      <c r="R153" s="291"/>
      <c r="S153" s="2950"/>
      <c r="T153" s="2951" t="s">
        <v>714</v>
      </c>
      <c r="U153" s="2952"/>
      <c r="V153" s="2953"/>
      <c r="W153" s="2954"/>
      <c r="X153" s="2955"/>
      <c r="Y153" s="2956"/>
      <c r="Z153" s="2957"/>
      <c r="AA153" s="2958"/>
      <c r="AB153" s="2959"/>
      <c r="AC153" s="2960"/>
      <c r="AD153" s="2961"/>
      <c r="AE153" s="2962"/>
      <c r="AF153" s="2963"/>
      <c r="AG153" s="2964"/>
      <c r="AH153" s="2965"/>
      <c r="AI153" s="2966"/>
      <c r="AJ153" s="2967"/>
      <c r="AK153" s="2968"/>
      <c r="AL153" s="2969"/>
      <c r="AM153" s="2970"/>
      <c r="AN153" s="2971"/>
      <c r="AO153" s="2972"/>
      <c r="AP153" s="2973"/>
      <c r="AQ153" s="2974"/>
      <c r="AR153" s="6931"/>
      <c r="AS153" s="6932"/>
      <c r="AT153" s="6933"/>
      <c r="AU153" s="6934"/>
      <c r="AV153" s="6935"/>
      <c r="AW153" s="6936"/>
      <c r="AX153" s="6937"/>
      <c r="AY153" s="6938"/>
      <c r="AZ153" s="6939"/>
      <c r="BA153" s="6940"/>
      <c r="BB153" s="6941"/>
      <c r="BC153" s="6942"/>
      <c r="BD153" s="6943"/>
      <c r="BE153" s="11807"/>
      <c r="BF153" s="11808"/>
      <c r="BG153" s="21855"/>
      <c r="BH153" s="11809"/>
      <c r="BI153" s="11810"/>
      <c r="BJ153" s="11811"/>
      <c r="BK153" s="11812"/>
      <c r="BL153" s="11813"/>
      <c r="BM153" s="11814"/>
      <c r="BN153" s="2975"/>
      <c r="BO153" s="2976"/>
      <c r="BP153" s="11815"/>
      <c r="BQ153" s="11816"/>
      <c r="BR153" s="2977"/>
      <c r="BS153" s="11817"/>
      <c r="BT153" s="11818"/>
      <c r="BU153" s="11819"/>
      <c r="BV153" s="11820"/>
      <c r="BW153" s="11821"/>
      <c r="BX153" s="11822"/>
      <c r="BY153" s="11823"/>
      <c r="BZ153" s="11824"/>
      <c r="CA153" s="11825"/>
      <c r="CB153" s="11826"/>
      <c r="CC153" s="11827"/>
      <c r="CD153" s="11828"/>
      <c r="CE153" s="11829"/>
      <c r="CF153" s="11830"/>
      <c r="CG153" s="11831"/>
      <c r="CH153" s="11832"/>
      <c r="CI153" s="11833"/>
      <c r="CJ153" s="11834"/>
      <c r="CK153" s="11835"/>
      <c r="CL153" s="11836"/>
      <c r="CM153" s="11837"/>
      <c r="CN153" s="11838"/>
      <c r="CO153" s="11839"/>
      <c r="CP153" s="11840"/>
      <c r="CQ153" s="11841"/>
      <c r="CR153" s="11842"/>
      <c r="CS153" s="11843"/>
      <c r="CT153" s="11844"/>
      <c r="CU153" s="11845"/>
      <c r="CV153" s="11846"/>
      <c r="CW153" s="11847"/>
      <c r="CX153" s="11848"/>
      <c r="CY153" s="11849"/>
      <c r="CZ153" s="11850"/>
      <c r="DA153" s="11851"/>
      <c r="DB153" s="11852"/>
      <c r="DC153" s="11853"/>
      <c r="DD153" s="11854"/>
      <c r="DE153" s="11855"/>
      <c r="DF153" s="11856"/>
      <c r="DG153" s="11857"/>
      <c r="DH153" s="11858"/>
      <c r="DI153" s="11859"/>
      <c r="DJ153" s="11860"/>
      <c r="DK153" s="11861"/>
      <c r="DL153" s="11862"/>
      <c r="DM153" s="11863"/>
      <c r="DN153" s="11864"/>
      <c r="DO153" s="11865"/>
      <c r="DP153" s="11866"/>
      <c r="DQ153" s="11867"/>
      <c r="DR153" s="11868"/>
      <c r="DS153" s="11869"/>
      <c r="DT153" s="11870"/>
      <c r="DU153" s="11871"/>
      <c r="DV153" s="11872"/>
      <c r="DW153" s="11873"/>
      <c r="DX153" s="11874"/>
      <c r="DY153" s="11875"/>
      <c r="DZ153" s="11876"/>
      <c r="EA153" s="11877"/>
      <c r="EB153" s="11878"/>
      <c r="EC153" s="11879"/>
      <c r="ED153" s="11880"/>
      <c r="EE153" s="11881"/>
      <c r="EF153" s="11882"/>
      <c r="EG153" s="11883"/>
      <c r="EH153" s="11884"/>
      <c r="EI153" s="11885"/>
      <c r="EJ153" s="11886"/>
      <c r="EK153" s="11887"/>
      <c r="EL153" s="11888"/>
      <c r="EM153" s="21521"/>
      <c r="EN153" s="21522"/>
      <c r="EO153" s="11889"/>
      <c r="EP153" s="11890"/>
      <c r="EQ153" s="21523"/>
      <c r="ER153" s="11891"/>
      <c r="ES153" s="11892"/>
      <c r="ET153" s="11893"/>
      <c r="EU153" s="11894"/>
      <c r="EV153" s="11895"/>
      <c r="EW153" s="11896"/>
      <c r="EX153" s="2978"/>
      <c r="EY153" s="2979"/>
      <c r="EZ153" s="11897"/>
      <c r="FA153" s="11898"/>
      <c r="FB153" s="2980"/>
      <c r="FC153" s="11899"/>
      <c r="FD153" s="11900"/>
      <c r="FE153" s="11901"/>
      <c r="FF153" s="11902"/>
      <c r="FG153" s="11903"/>
      <c r="FH153" s="5691"/>
      <c r="FI153" s="22620"/>
      <c r="FJ153" s="22621"/>
      <c r="FK153" s="23417"/>
      <c r="FL153" s="23418"/>
      <c r="FM153" s="22622"/>
      <c r="FN153" s="23419"/>
      <c r="FO153" s="23420"/>
      <c r="FP153" s="22623"/>
      <c r="FQ153" s="22624"/>
      <c r="FR153" s="22625"/>
      <c r="FS153" s="23421"/>
      <c r="FT153" s="2981"/>
      <c r="FU153" s="2982"/>
      <c r="FV153" s="1568"/>
      <c r="FW153" s="1550"/>
      <c r="FX153" s="1550" t="str">
        <f t="shared" si="2"/>
        <v>Добавить наименование признака дифференциации</v>
      </c>
      <c r="FY153" s="1550"/>
      <c r="FZ153" s="1550"/>
      <c r="GA153" s="1561">
        <v>0</v>
      </c>
    </row>
    <row r="154" spans="1:183" s="1747" customFormat="1" ht="23.25" customHeight="1">
      <c r="A154" s="1289"/>
      <c r="B154" s="1289"/>
      <c r="C154" s="1289" t="s">
        <v>384</v>
      </c>
      <c r="D154" s="1289"/>
      <c r="E154" s="24089"/>
      <c r="F154" s="24089"/>
      <c r="G154" s="24088" t="s">
        <v>95</v>
      </c>
      <c r="H154" s="1289"/>
      <c r="I154" s="1289"/>
      <c r="J154" s="1289"/>
      <c r="K154" s="1289"/>
      <c r="L154" s="1295"/>
      <c r="M154" s="1291"/>
      <c r="N154" s="1291"/>
      <c r="O154" s="1291"/>
      <c r="P154" s="290"/>
      <c r="Q154" s="288"/>
      <c r="R154" s="289"/>
      <c r="S154" s="1976" t="str">
        <f>INDEX(PT_DIFFERENTIATION_NUM_CS,MATCH(C154,PT_DIFFERENTIATION_CS_ID,0))</f>
        <v>1.4.2</v>
      </c>
      <c r="T154" s="245" t="s">
        <v>756</v>
      </c>
      <c r="U154" s="236"/>
      <c r="V154" s="24082"/>
      <c r="W154" s="24083"/>
      <c r="X154" s="24083"/>
      <c r="Y154" s="24083"/>
      <c r="Z154" s="24083"/>
      <c r="AA154" s="24083"/>
      <c r="AB154" s="24083"/>
      <c r="AC154" s="24083"/>
      <c r="AD154" s="24083"/>
      <c r="AE154" s="24083"/>
      <c r="AF154" s="24084"/>
      <c r="AG154" s="24082" t="str">
        <f>INDEX(PT_DIFFERENTIATION_CS,MATCH(C154,PT_DIFFERENTIATION_CS_ID,0))</f>
        <v>г. Гагарин (для потребителей, нагрузки которых переведены с котельной ЗАО «Гагаринконсервмолоко»)</v>
      </c>
      <c r="AH154" s="24083"/>
      <c r="AI154" s="24083"/>
      <c r="AJ154" s="24083"/>
      <c r="AK154" s="24083"/>
      <c r="AL154" s="24083"/>
      <c r="AM154" s="24083"/>
      <c r="AN154" s="24083"/>
      <c r="AO154" s="24083"/>
      <c r="AP154" s="24083"/>
      <c r="AQ154" s="24083"/>
      <c r="AR154" s="24173"/>
      <c r="AS154" s="24174"/>
      <c r="AT154" s="24174"/>
      <c r="AU154" s="24174"/>
      <c r="AV154" s="24174"/>
      <c r="AW154" s="24174"/>
      <c r="AX154" s="24174"/>
      <c r="AY154" s="24174"/>
      <c r="AZ154" s="24174"/>
      <c r="BA154" s="24174"/>
      <c r="BB154" s="24175"/>
      <c r="BC154" s="24173"/>
      <c r="BD154" s="24174"/>
      <c r="BE154" s="24174"/>
      <c r="BF154" s="24174"/>
      <c r="BG154" s="24174"/>
      <c r="BH154" s="24174"/>
      <c r="BI154" s="24174"/>
      <c r="BJ154" s="24174"/>
      <c r="BK154" s="24174"/>
      <c r="BL154" s="24174"/>
      <c r="BM154" s="24175"/>
      <c r="BN154" s="24082"/>
      <c r="BO154" s="24083"/>
      <c r="BP154" s="24174"/>
      <c r="BQ154" s="24174"/>
      <c r="BR154" s="24083"/>
      <c r="BS154" s="24174"/>
      <c r="BT154" s="24174"/>
      <c r="BU154" s="24174"/>
      <c r="BV154" s="24174"/>
      <c r="BW154" s="24174"/>
      <c r="BX154" s="24175"/>
      <c r="BY154" s="24173"/>
      <c r="BZ154" s="24174"/>
      <c r="CA154" s="24174"/>
      <c r="CB154" s="24174"/>
      <c r="CC154" s="24174"/>
      <c r="CD154" s="24174"/>
      <c r="CE154" s="24174"/>
      <c r="CF154" s="24174"/>
      <c r="CG154" s="24174"/>
      <c r="CH154" s="24174"/>
      <c r="CI154" s="24175"/>
      <c r="CJ154" s="24173"/>
      <c r="CK154" s="24174"/>
      <c r="CL154" s="24174"/>
      <c r="CM154" s="24174"/>
      <c r="CN154" s="24174"/>
      <c r="CO154" s="24174"/>
      <c r="CP154" s="24174"/>
      <c r="CQ154" s="24174"/>
      <c r="CR154" s="24174"/>
      <c r="CS154" s="24174"/>
      <c r="CT154" s="24175"/>
      <c r="CU154" s="24173"/>
      <c r="CV154" s="24174"/>
      <c r="CW154" s="24174"/>
      <c r="CX154" s="24174"/>
      <c r="CY154" s="24174"/>
      <c r="CZ154" s="24174"/>
      <c r="DA154" s="24174"/>
      <c r="DB154" s="24174"/>
      <c r="DC154" s="24174"/>
      <c r="DD154" s="24174"/>
      <c r="DE154" s="24175"/>
      <c r="DF154" s="24173"/>
      <c r="DG154" s="24174"/>
      <c r="DH154" s="24174"/>
      <c r="DI154" s="24174"/>
      <c r="DJ154" s="24174"/>
      <c r="DK154" s="24174"/>
      <c r="DL154" s="24174"/>
      <c r="DM154" s="24174"/>
      <c r="DN154" s="24174"/>
      <c r="DO154" s="24174"/>
      <c r="DP154" s="24175"/>
      <c r="DQ154" s="24173"/>
      <c r="DR154" s="24174"/>
      <c r="DS154" s="24174"/>
      <c r="DT154" s="24174"/>
      <c r="DU154" s="24174"/>
      <c r="DV154" s="24174"/>
      <c r="DW154" s="24174"/>
      <c r="DX154" s="24174"/>
      <c r="DY154" s="24174"/>
      <c r="DZ154" s="24174"/>
      <c r="EA154" s="24175"/>
      <c r="EB154" s="24173"/>
      <c r="EC154" s="24174"/>
      <c r="ED154" s="24174"/>
      <c r="EE154" s="24174"/>
      <c r="EF154" s="24174"/>
      <c r="EG154" s="24174"/>
      <c r="EH154" s="24174"/>
      <c r="EI154" s="24174"/>
      <c r="EJ154" s="24174"/>
      <c r="EK154" s="24174"/>
      <c r="EL154" s="24175"/>
      <c r="EM154" s="24173"/>
      <c r="EN154" s="24174"/>
      <c r="EO154" s="24174"/>
      <c r="EP154" s="24174"/>
      <c r="EQ154" s="24174"/>
      <c r="ER154" s="24174"/>
      <c r="ES154" s="24174"/>
      <c r="ET154" s="24174"/>
      <c r="EU154" s="24174"/>
      <c r="EV154" s="24174"/>
      <c r="EW154" s="24175"/>
      <c r="EX154" s="24082"/>
      <c r="EY154" s="24083"/>
      <c r="EZ154" s="24174"/>
      <c r="FA154" s="24174"/>
      <c r="FB154" s="24083"/>
      <c r="FC154" s="24174"/>
      <c r="FD154" s="24174"/>
      <c r="FE154" s="24174"/>
      <c r="FF154" s="24174"/>
      <c r="FG154" s="24174"/>
      <c r="FH154" s="24175"/>
      <c r="FI154" s="24082"/>
      <c r="FJ154" s="24083"/>
      <c r="FK154" s="24174"/>
      <c r="FL154" s="24174"/>
      <c r="FM154" s="24083"/>
      <c r="FN154" s="24174"/>
      <c r="FO154" s="24174"/>
      <c r="FP154" s="24083"/>
      <c r="FQ154" s="24083"/>
      <c r="FR154" s="24083"/>
      <c r="FS154" s="24175"/>
      <c r="FT154" s="24084"/>
      <c r="FU154" s="1184" t="s">
        <v>757</v>
      </c>
      <c r="FV154" s="1568"/>
      <c r="FW154" s="1550"/>
      <c r="FX154" s="1550" t="str">
        <f t="shared" si="2"/>
        <v>Наименование централизованной системы горячего водоснабжения</v>
      </c>
      <c r="FY154" s="1550"/>
      <c r="FZ154" s="1550"/>
      <c r="GA154" s="1561">
        <v>0</v>
      </c>
    </row>
    <row r="155" spans="1:183" s="1747" customFormat="1" ht="23.25" customHeight="1">
      <c r="A155" s="1289"/>
      <c r="B155" s="1289"/>
      <c r="C155" s="1289"/>
      <c r="D155" s="1289"/>
      <c r="E155" s="24089"/>
      <c r="F155" s="24089"/>
      <c r="G155" s="24089">
        <v>1</v>
      </c>
      <c r="H155" s="24089"/>
      <c r="I155" s="24090" t="str">
        <f>S154&amp;".1"</f>
        <v>1.4.2.1</v>
      </c>
      <c r="J155" s="1289"/>
      <c r="K155" s="1289"/>
      <c r="L155" s="1295"/>
      <c r="M155" s="1674"/>
      <c r="N155" s="1674"/>
      <c r="O155" s="1674"/>
      <c r="P155" s="24092">
        <v>1</v>
      </c>
      <c r="Q155" s="1978"/>
      <c r="R155" s="292"/>
      <c r="S155" s="1976" t="str">
        <f>$I155</f>
        <v>1.4.2.1</v>
      </c>
      <c r="T155" s="221" t="s">
        <v>709</v>
      </c>
      <c r="U155" s="236"/>
      <c r="V155" s="24156"/>
      <c r="W155" s="24157"/>
      <c r="X155" s="24157"/>
      <c r="Y155" s="24157"/>
      <c r="Z155" s="24157"/>
      <c r="AA155" s="24157"/>
      <c r="AB155" s="24157"/>
      <c r="AC155" s="24157"/>
      <c r="AD155" s="24157"/>
      <c r="AE155" s="24157"/>
      <c r="AF155" s="24158"/>
      <c r="AG155" s="24159"/>
      <c r="AH155" s="24160"/>
      <c r="AI155" s="24160"/>
      <c r="AJ155" s="24160"/>
      <c r="AK155" s="24160"/>
      <c r="AL155" s="24160"/>
      <c r="AM155" s="24160"/>
      <c r="AN155" s="24160"/>
      <c r="AO155" s="24160"/>
      <c r="AP155" s="24160"/>
      <c r="AQ155" s="24160"/>
      <c r="AR155" s="24176"/>
      <c r="AS155" s="24177"/>
      <c r="AT155" s="24177"/>
      <c r="AU155" s="24177"/>
      <c r="AV155" s="24177"/>
      <c r="AW155" s="24177"/>
      <c r="AX155" s="24177"/>
      <c r="AY155" s="24177"/>
      <c r="AZ155" s="24177"/>
      <c r="BA155" s="24177"/>
      <c r="BB155" s="24178"/>
      <c r="BC155" s="24176"/>
      <c r="BD155" s="24177"/>
      <c r="BE155" s="24177"/>
      <c r="BF155" s="24177"/>
      <c r="BG155" s="24177"/>
      <c r="BH155" s="24177"/>
      <c r="BI155" s="24177"/>
      <c r="BJ155" s="24177"/>
      <c r="BK155" s="24177"/>
      <c r="BL155" s="24177"/>
      <c r="BM155" s="24178"/>
      <c r="BN155" s="24156"/>
      <c r="BO155" s="24157"/>
      <c r="BP155" s="24177"/>
      <c r="BQ155" s="24177"/>
      <c r="BR155" s="24157"/>
      <c r="BS155" s="24177"/>
      <c r="BT155" s="24177"/>
      <c r="BU155" s="24177"/>
      <c r="BV155" s="24177"/>
      <c r="BW155" s="24177"/>
      <c r="BX155" s="24178"/>
      <c r="BY155" s="24176"/>
      <c r="BZ155" s="24177"/>
      <c r="CA155" s="24177"/>
      <c r="CB155" s="24177"/>
      <c r="CC155" s="24177"/>
      <c r="CD155" s="24177"/>
      <c r="CE155" s="24177"/>
      <c r="CF155" s="24177"/>
      <c r="CG155" s="24177"/>
      <c r="CH155" s="24177"/>
      <c r="CI155" s="24178"/>
      <c r="CJ155" s="24176"/>
      <c r="CK155" s="24177"/>
      <c r="CL155" s="24177"/>
      <c r="CM155" s="24177"/>
      <c r="CN155" s="24177"/>
      <c r="CO155" s="24177"/>
      <c r="CP155" s="24177"/>
      <c r="CQ155" s="24177"/>
      <c r="CR155" s="24177"/>
      <c r="CS155" s="24177"/>
      <c r="CT155" s="24178"/>
      <c r="CU155" s="24176"/>
      <c r="CV155" s="24177"/>
      <c r="CW155" s="24177"/>
      <c r="CX155" s="24177"/>
      <c r="CY155" s="24177"/>
      <c r="CZ155" s="24177"/>
      <c r="DA155" s="24177"/>
      <c r="DB155" s="24177"/>
      <c r="DC155" s="24177"/>
      <c r="DD155" s="24177"/>
      <c r="DE155" s="24178"/>
      <c r="DF155" s="24176"/>
      <c r="DG155" s="24177"/>
      <c r="DH155" s="24177"/>
      <c r="DI155" s="24177"/>
      <c r="DJ155" s="24177"/>
      <c r="DK155" s="24177"/>
      <c r="DL155" s="24177"/>
      <c r="DM155" s="24177"/>
      <c r="DN155" s="24177"/>
      <c r="DO155" s="24177"/>
      <c r="DP155" s="24178"/>
      <c r="DQ155" s="24176"/>
      <c r="DR155" s="24177"/>
      <c r="DS155" s="24177"/>
      <c r="DT155" s="24177"/>
      <c r="DU155" s="24177"/>
      <c r="DV155" s="24177"/>
      <c r="DW155" s="24177"/>
      <c r="DX155" s="24177"/>
      <c r="DY155" s="24177"/>
      <c r="DZ155" s="24177"/>
      <c r="EA155" s="24178"/>
      <c r="EB155" s="24176"/>
      <c r="EC155" s="24177"/>
      <c r="ED155" s="24177"/>
      <c r="EE155" s="24177"/>
      <c r="EF155" s="24177"/>
      <c r="EG155" s="24177"/>
      <c r="EH155" s="24177"/>
      <c r="EI155" s="24177"/>
      <c r="EJ155" s="24177"/>
      <c r="EK155" s="24177"/>
      <c r="EL155" s="24178"/>
      <c r="EM155" s="24176"/>
      <c r="EN155" s="24177"/>
      <c r="EO155" s="24177"/>
      <c r="EP155" s="24177"/>
      <c r="EQ155" s="24177"/>
      <c r="ER155" s="24177"/>
      <c r="ES155" s="24177"/>
      <c r="ET155" s="24177"/>
      <c r="EU155" s="24177"/>
      <c r="EV155" s="24177"/>
      <c r="EW155" s="24178"/>
      <c r="EX155" s="24156"/>
      <c r="EY155" s="24157"/>
      <c r="EZ155" s="24177"/>
      <c r="FA155" s="24177"/>
      <c r="FB155" s="24157"/>
      <c r="FC155" s="24177"/>
      <c r="FD155" s="24177"/>
      <c r="FE155" s="24177"/>
      <c r="FF155" s="24177"/>
      <c r="FG155" s="24177"/>
      <c r="FH155" s="24178"/>
      <c r="FI155" s="24156"/>
      <c r="FJ155" s="24157"/>
      <c r="FK155" s="24177"/>
      <c r="FL155" s="24177"/>
      <c r="FM155" s="24157"/>
      <c r="FN155" s="24177"/>
      <c r="FO155" s="24177"/>
      <c r="FP155" s="24157"/>
      <c r="FQ155" s="24157"/>
      <c r="FR155" s="24157"/>
      <c r="FS155" s="24178"/>
      <c r="FT155" s="24161"/>
      <c r="FU155" s="1184" t="s">
        <v>710</v>
      </c>
      <c r="FV155" s="1568"/>
      <c r="FW155" s="1550"/>
      <c r="FX155" s="1550" t="str">
        <f t="shared" si="2"/>
        <v>Наименование признака дифференциации</v>
      </c>
      <c r="FY155" s="1550"/>
      <c r="FZ155" s="1550"/>
      <c r="GA155" s="1561">
        <v>0</v>
      </c>
    </row>
    <row r="156" spans="1:183" s="1747" customFormat="1" ht="23.25" customHeight="1">
      <c r="A156" s="1289"/>
      <c r="B156" s="1289"/>
      <c r="C156" s="1289"/>
      <c r="D156" s="1289"/>
      <c r="E156" s="24089"/>
      <c r="F156" s="24089"/>
      <c r="G156" s="24089">
        <v>1</v>
      </c>
      <c r="H156" s="24089"/>
      <c r="I156" s="24091"/>
      <c r="J156" s="24090" t="str">
        <f>I155&amp;".1"</f>
        <v>1.4.2.1.1</v>
      </c>
      <c r="K156" s="1289"/>
      <c r="L156" s="1295" t="s">
        <v>635</v>
      </c>
      <c r="M156" s="1674"/>
      <c r="N156" s="1674"/>
      <c r="O156" s="1674"/>
      <c r="P156" s="24092"/>
      <c r="Q156" s="24092">
        <v>1</v>
      </c>
      <c r="R156" s="293"/>
      <c r="S156" s="1976" t="str">
        <f>$J156</f>
        <v>1.4.2.1.1</v>
      </c>
      <c r="T156" s="222" t="s">
        <v>636</v>
      </c>
      <c r="U156" s="236"/>
      <c r="V156" s="24076"/>
      <c r="W156" s="24077"/>
      <c r="X156" s="24077"/>
      <c r="Y156" s="24077"/>
      <c r="Z156" s="24077"/>
      <c r="AA156" s="24077"/>
      <c r="AB156" s="24077"/>
      <c r="AC156" s="24077"/>
      <c r="AD156" s="24077"/>
      <c r="AE156" s="24077"/>
      <c r="AF156" s="24078"/>
      <c r="AG156" s="24076" t="s">
        <v>771</v>
      </c>
      <c r="AH156" s="24077"/>
      <c r="AI156" s="24077"/>
      <c r="AJ156" s="24077"/>
      <c r="AK156" s="24077"/>
      <c r="AL156" s="24077"/>
      <c r="AM156" s="24077"/>
      <c r="AN156" s="24077"/>
      <c r="AO156" s="24077"/>
      <c r="AP156" s="24077"/>
      <c r="AQ156" s="24077"/>
      <c r="AR156" s="24179"/>
      <c r="AS156" s="24180"/>
      <c r="AT156" s="24180"/>
      <c r="AU156" s="24180"/>
      <c r="AV156" s="24180"/>
      <c r="AW156" s="24180"/>
      <c r="AX156" s="24180"/>
      <c r="AY156" s="24180"/>
      <c r="AZ156" s="24180"/>
      <c r="BA156" s="24180"/>
      <c r="BB156" s="24181"/>
      <c r="BC156" s="24179"/>
      <c r="BD156" s="24180"/>
      <c r="BE156" s="24180"/>
      <c r="BF156" s="24180"/>
      <c r="BG156" s="24180"/>
      <c r="BH156" s="24180"/>
      <c r="BI156" s="24180"/>
      <c r="BJ156" s="24180"/>
      <c r="BK156" s="24180"/>
      <c r="BL156" s="24180"/>
      <c r="BM156" s="24181"/>
      <c r="BN156" s="24076"/>
      <c r="BO156" s="24077"/>
      <c r="BP156" s="24180"/>
      <c r="BQ156" s="24180"/>
      <c r="BR156" s="24077"/>
      <c r="BS156" s="24180"/>
      <c r="BT156" s="24180"/>
      <c r="BU156" s="24180"/>
      <c r="BV156" s="24180"/>
      <c r="BW156" s="24180"/>
      <c r="BX156" s="24181"/>
      <c r="BY156" s="24179"/>
      <c r="BZ156" s="24180"/>
      <c r="CA156" s="24180"/>
      <c r="CB156" s="24180"/>
      <c r="CC156" s="24180"/>
      <c r="CD156" s="24180"/>
      <c r="CE156" s="24180"/>
      <c r="CF156" s="24180"/>
      <c r="CG156" s="24180"/>
      <c r="CH156" s="24180"/>
      <c r="CI156" s="24181"/>
      <c r="CJ156" s="24179"/>
      <c r="CK156" s="24180"/>
      <c r="CL156" s="24180"/>
      <c r="CM156" s="24180"/>
      <c r="CN156" s="24180"/>
      <c r="CO156" s="24180"/>
      <c r="CP156" s="24180"/>
      <c r="CQ156" s="24180"/>
      <c r="CR156" s="24180"/>
      <c r="CS156" s="24180"/>
      <c r="CT156" s="24181"/>
      <c r="CU156" s="24179"/>
      <c r="CV156" s="24180"/>
      <c r="CW156" s="24180"/>
      <c r="CX156" s="24180"/>
      <c r="CY156" s="24180"/>
      <c r="CZ156" s="24180"/>
      <c r="DA156" s="24180"/>
      <c r="DB156" s="24180"/>
      <c r="DC156" s="24180"/>
      <c r="DD156" s="24180"/>
      <c r="DE156" s="24181"/>
      <c r="DF156" s="24179"/>
      <c r="DG156" s="24180"/>
      <c r="DH156" s="24180"/>
      <c r="DI156" s="24180"/>
      <c r="DJ156" s="24180"/>
      <c r="DK156" s="24180"/>
      <c r="DL156" s="24180"/>
      <c r="DM156" s="24180"/>
      <c r="DN156" s="24180"/>
      <c r="DO156" s="24180"/>
      <c r="DP156" s="24181"/>
      <c r="DQ156" s="24179"/>
      <c r="DR156" s="24180"/>
      <c r="DS156" s="24180"/>
      <c r="DT156" s="24180"/>
      <c r="DU156" s="24180"/>
      <c r="DV156" s="24180"/>
      <c r="DW156" s="24180"/>
      <c r="DX156" s="24180"/>
      <c r="DY156" s="24180"/>
      <c r="DZ156" s="24180"/>
      <c r="EA156" s="24181"/>
      <c r="EB156" s="24179"/>
      <c r="EC156" s="24180"/>
      <c r="ED156" s="24180"/>
      <c r="EE156" s="24180"/>
      <c r="EF156" s="24180"/>
      <c r="EG156" s="24180"/>
      <c r="EH156" s="24180"/>
      <c r="EI156" s="24180"/>
      <c r="EJ156" s="24180"/>
      <c r="EK156" s="24180"/>
      <c r="EL156" s="24181"/>
      <c r="EM156" s="24179"/>
      <c r="EN156" s="24180"/>
      <c r="EO156" s="24180"/>
      <c r="EP156" s="24180"/>
      <c r="EQ156" s="24180"/>
      <c r="ER156" s="24180"/>
      <c r="ES156" s="24180"/>
      <c r="ET156" s="24180"/>
      <c r="EU156" s="24180"/>
      <c r="EV156" s="24180"/>
      <c r="EW156" s="24181"/>
      <c r="EX156" s="24076"/>
      <c r="EY156" s="24077"/>
      <c r="EZ156" s="24180"/>
      <c r="FA156" s="24180"/>
      <c r="FB156" s="24077"/>
      <c r="FC156" s="24180"/>
      <c r="FD156" s="24180"/>
      <c r="FE156" s="24180"/>
      <c r="FF156" s="24180"/>
      <c r="FG156" s="24180"/>
      <c r="FH156" s="24181"/>
      <c r="FI156" s="24076"/>
      <c r="FJ156" s="24077"/>
      <c r="FK156" s="24180"/>
      <c r="FL156" s="24180"/>
      <c r="FM156" s="24077"/>
      <c r="FN156" s="24180"/>
      <c r="FO156" s="24180"/>
      <c r="FP156" s="24077"/>
      <c r="FQ156" s="24077"/>
      <c r="FR156" s="24077"/>
      <c r="FS156" s="24181"/>
      <c r="FT156" s="24078"/>
      <c r="FU156" s="1233" t="s">
        <v>711</v>
      </c>
      <c r="FV156" s="1568"/>
      <c r="FW156" s="1550"/>
      <c r="FX156" s="1550" t="str">
        <f t="shared" si="2"/>
        <v>Группа потребителей</v>
      </c>
      <c r="FY156" s="1550"/>
      <c r="FZ156" s="1550"/>
      <c r="GA156" s="1561">
        <v>0</v>
      </c>
    </row>
    <row r="157" spans="1:183" s="1747" customFormat="1" ht="23.25" customHeight="1">
      <c r="A157" s="1289"/>
      <c r="B157" s="1289"/>
      <c r="C157" s="1289"/>
      <c r="D157" s="1289"/>
      <c r="E157" s="24089"/>
      <c r="F157" s="24089"/>
      <c r="G157" s="24089">
        <v>1</v>
      </c>
      <c r="H157" s="24089"/>
      <c r="I157" s="24091"/>
      <c r="J157" s="24091"/>
      <c r="K157" s="24090" t="str">
        <f>J156&amp;".1"</f>
        <v>1.4.2.1.1.1</v>
      </c>
      <c r="L157" s="1295"/>
      <c r="M157" s="1674"/>
      <c r="N157" s="1674"/>
      <c r="O157" s="1674"/>
      <c r="P157" s="24092"/>
      <c r="Q157" s="24092"/>
      <c r="R157" s="293">
        <v>1</v>
      </c>
      <c r="S157" s="1976" t="str">
        <f>$K157</f>
        <v>1.4.2.1.1.1</v>
      </c>
      <c r="T157" s="1363"/>
      <c r="U157" s="236"/>
      <c r="V157" s="1286"/>
      <c r="W157" s="1286"/>
      <c r="X157" s="1286"/>
      <c r="Y157" s="1286"/>
      <c r="Z157" s="1286"/>
      <c r="AA157" s="1286"/>
      <c r="AB157" s="1286"/>
      <c r="AC157" s="24086"/>
      <c r="AD157" s="24085" t="s">
        <v>59</v>
      </c>
      <c r="AE157" s="24086"/>
      <c r="AF157" s="24085" t="s">
        <v>59</v>
      </c>
      <c r="AG157" s="687">
        <v>150.80000000000001</v>
      </c>
      <c r="AH157" s="687">
        <v>48.29</v>
      </c>
      <c r="AI157" s="687"/>
      <c r="AJ157" s="687"/>
      <c r="AK157" s="687">
        <v>1508.47</v>
      </c>
      <c r="AL157" s="687"/>
      <c r="AM157" s="687"/>
      <c r="AN157" s="24093" t="s">
        <v>9</v>
      </c>
      <c r="AO157" s="23957" t="s">
        <v>59</v>
      </c>
      <c r="AP157" s="24095" t="s">
        <v>770</v>
      </c>
      <c r="AQ157" s="23957" t="s">
        <v>59</v>
      </c>
      <c r="AR157" s="687">
        <v>165.86</v>
      </c>
      <c r="AS157" s="687">
        <v>53.1</v>
      </c>
      <c r="AT157" s="687"/>
      <c r="AU157" s="687"/>
      <c r="AV157" s="687">
        <v>1659.32</v>
      </c>
      <c r="AW157" s="687"/>
      <c r="AX157" s="687"/>
      <c r="AY157" s="24093" t="s">
        <v>772</v>
      </c>
      <c r="AZ157" s="23957" t="s">
        <v>59</v>
      </c>
      <c r="BA157" s="24093" t="s">
        <v>773</v>
      </c>
      <c r="BB157" s="23957" t="s">
        <v>59</v>
      </c>
      <c r="BC157" s="687">
        <v>165.86</v>
      </c>
      <c r="BD157" s="687">
        <v>53.1</v>
      </c>
      <c r="BE157" s="687"/>
      <c r="BF157" s="687"/>
      <c r="BG157" s="687">
        <v>1659.32</v>
      </c>
      <c r="BH157" s="687"/>
      <c r="BI157" s="687"/>
      <c r="BJ157" s="24093" t="s">
        <v>774</v>
      </c>
      <c r="BK157" s="23957" t="s">
        <v>59</v>
      </c>
      <c r="BL157" s="24093" t="s">
        <v>775</v>
      </c>
      <c r="BM157" s="23957" t="s">
        <v>59</v>
      </c>
      <c r="BN157" s="687">
        <v>188.81</v>
      </c>
      <c r="BO157" s="687">
        <v>62.62</v>
      </c>
      <c r="BP157" s="687"/>
      <c r="BQ157" s="687"/>
      <c r="BR157" s="687">
        <v>1856.78</v>
      </c>
      <c r="BS157" s="687"/>
      <c r="BT157" s="687"/>
      <c r="BU157" s="24093" t="s">
        <v>776</v>
      </c>
      <c r="BV157" s="23957" t="s">
        <v>59</v>
      </c>
      <c r="BW157" s="24093">
        <v>45853</v>
      </c>
      <c r="BX157" s="23957" t="s">
        <v>59</v>
      </c>
      <c r="BY157" s="687">
        <v>189.91</v>
      </c>
      <c r="BZ157" s="687">
        <v>63.72</v>
      </c>
      <c r="CA157" s="687"/>
      <c r="CB157" s="687"/>
      <c r="CC157" s="687">
        <v>1856.78</v>
      </c>
      <c r="CD157" s="687"/>
      <c r="CE157" s="687"/>
      <c r="CF157" s="24093">
        <v>45854</v>
      </c>
      <c r="CG157" s="23957" t="s">
        <v>59</v>
      </c>
      <c r="CH157" s="24093">
        <v>46022</v>
      </c>
      <c r="CI157" s="23957" t="s">
        <v>59</v>
      </c>
      <c r="CJ157" s="687">
        <v>193.14</v>
      </c>
      <c r="CK157" s="687">
        <v>64.78</v>
      </c>
      <c r="CL157" s="687"/>
      <c r="CM157" s="687"/>
      <c r="CN157" s="687">
        <v>1888.68</v>
      </c>
      <c r="CO157" s="687"/>
      <c r="CP157" s="687"/>
      <c r="CQ157" s="24093">
        <v>46023</v>
      </c>
      <c r="CR157" s="23957" t="s">
        <v>59</v>
      </c>
      <c r="CS157" s="24185">
        <v>46295</v>
      </c>
      <c r="CT157" s="23957" t="s">
        <v>59</v>
      </c>
      <c r="CU157" s="687">
        <v>216.31</v>
      </c>
      <c r="CV157" s="687">
        <v>72.55</v>
      </c>
      <c r="CW157" s="687"/>
      <c r="CX157" s="687"/>
      <c r="CY157" s="687">
        <v>2115.3200000000002</v>
      </c>
      <c r="CZ157" s="687"/>
      <c r="DA157" s="687"/>
      <c r="DB157" s="24185">
        <v>46296</v>
      </c>
      <c r="DC157" s="23957" t="s">
        <v>59</v>
      </c>
      <c r="DD157" s="24093">
        <v>46387</v>
      </c>
      <c r="DE157" s="23957" t="s">
        <v>59</v>
      </c>
      <c r="DF157" s="687">
        <f>CU157</f>
        <v>216.31</v>
      </c>
      <c r="DG157" s="687">
        <f>CV157</f>
        <v>72.55</v>
      </c>
      <c r="DH157" s="687"/>
      <c r="DI157" s="687"/>
      <c r="DJ157" s="687">
        <f>CY157</f>
        <v>2115.3200000000002</v>
      </c>
      <c r="DK157" s="687"/>
      <c r="DL157" s="687"/>
      <c r="DM157" s="24093">
        <v>46388</v>
      </c>
      <c r="DN157" s="23957" t="s">
        <v>59</v>
      </c>
      <c r="DO157" s="24093">
        <v>46568</v>
      </c>
      <c r="DP157" s="23957" t="s">
        <v>59</v>
      </c>
      <c r="DQ157" s="687">
        <v>230.95</v>
      </c>
      <c r="DR157" s="687">
        <v>74.680000000000007</v>
      </c>
      <c r="DS157" s="687"/>
      <c r="DT157" s="687"/>
      <c r="DU157" s="687">
        <v>2299.36</v>
      </c>
      <c r="DV157" s="687"/>
      <c r="DW157" s="687"/>
      <c r="DX157" s="24185">
        <v>46569</v>
      </c>
      <c r="DY157" s="23957" t="s">
        <v>59</v>
      </c>
      <c r="DZ157" s="24093">
        <v>46752</v>
      </c>
      <c r="EA157" s="23957" t="s">
        <v>59</v>
      </c>
      <c r="EB157" s="687">
        <v>229.86</v>
      </c>
      <c r="EC157" s="687">
        <v>73.59</v>
      </c>
      <c r="ED157" s="687"/>
      <c r="EE157" s="687"/>
      <c r="EF157" s="687">
        <f>DU157</f>
        <v>2299.36</v>
      </c>
      <c r="EG157" s="687"/>
      <c r="EH157" s="687"/>
      <c r="EI157" s="24093">
        <v>46753</v>
      </c>
      <c r="EJ157" s="23957" t="s">
        <v>59</v>
      </c>
      <c r="EK157" s="24093">
        <v>46934</v>
      </c>
      <c r="EL157" s="23957" t="s">
        <v>59</v>
      </c>
      <c r="EM157" s="687">
        <v>240.95</v>
      </c>
      <c r="EN157" s="687">
        <v>73.59</v>
      </c>
      <c r="EO157" s="687"/>
      <c r="EP157" s="687"/>
      <c r="EQ157" s="687">
        <v>2462.62</v>
      </c>
      <c r="ER157" s="687"/>
      <c r="ES157" s="687"/>
      <c r="ET157" s="24093">
        <v>46935.638240740744</v>
      </c>
      <c r="EU157" s="23957" t="s">
        <v>59</v>
      </c>
      <c r="EV157" s="24095">
        <v>47118.638368055559</v>
      </c>
      <c r="EW157" s="23957" t="s">
        <v>6</v>
      </c>
      <c r="EX157" s="1286"/>
      <c r="EY157" s="1286"/>
      <c r="EZ157" s="1286"/>
      <c r="FA157" s="1286"/>
      <c r="FB157" s="1286"/>
      <c r="FC157" s="1286"/>
      <c r="FD157" s="1286"/>
      <c r="FE157" s="24086"/>
      <c r="FF157" s="24085" t="s">
        <v>59</v>
      </c>
      <c r="FG157" s="24086"/>
      <c r="FH157" s="24208" t="s">
        <v>59</v>
      </c>
      <c r="FI157" s="1286"/>
      <c r="FJ157" s="1286"/>
      <c r="FK157" s="1286"/>
      <c r="FL157" s="1286"/>
      <c r="FM157" s="1286"/>
      <c r="FN157" s="1286"/>
      <c r="FO157" s="1286"/>
      <c r="FP157" s="24086"/>
      <c r="FQ157" s="24085" t="s">
        <v>59</v>
      </c>
      <c r="FR157" s="24086"/>
      <c r="FS157" s="24085" t="s">
        <v>59</v>
      </c>
      <c r="FT157" s="1364"/>
      <c r="FU15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57" s="1568" t="e">
        <f ca="1">STRCHECKDATE(V158:FT158)</f>
        <v>#NAME?</v>
      </c>
      <c r="FW157" s="1550"/>
      <c r="FX157" s="1550" t="str">
        <f t="shared" si="2"/>
        <v/>
      </c>
      <c r="FY157" s="1550"/>
      <c r="FZ157" s="1550"/>
      <c r="GA157" s="1561">
        <v>0</v>
      </c>
    </row>
    <row r="158" spans="1:183" s="1747" customFormat="1" ht="14.25" customHeight="1">
      <c r="A158" s="1289"/>
      <c r="B158" s="1289"/>
      <c r="C158" s="1289"/>
      <c r="D158" s="1289"/>
      <c r="E158" s="24089"/>
      <c r="F158" s="24089"/>
      <c r="G158" s="24089">
        <v>1</v>
      </c>
      <c r="H158" s="24089"/>
      <c r="I158" s="24091"/>
      <c r="J158" s="24091"/>
      <c r="K158" s="24090"/>
      <c r="L158" s="1295"/>
      <c r="M158" s="1674"/>
      <c r="N158" s="1674"/>
      <c r="O158" s="1674"/>
      <c r="P158" s="24092"/>
      <c r="Q158" s="24092"/>
      <c r="R158" s="293"/>
      <c r="S158" s="1982"/>
      <c r="T158" s="236"/>
      <c r="U158" s="236"/>
      <c r="V158" s="1286"/>
      <c r="W158" s="1286"/>
      <c r="X158" s="1286"/>
      <c r="Y158" s="1286"/>
      <c r="Z158" s="1286"/>
      <c r="AA158" s="1286"/>
      <c r="AB158" s="1286"/>
      <c r="AC158" s="24085"/>
      <c r="AD158" s="24085"/>
      <c r="AE158" s="24085"/>
      <c r="AF158" s="24085"/>
      <c r="AG158" s="261"/>
      <c r="AH158" s="261"/>
      <c r="AI158" s="261"/>
      <c r="AJ158" s="261"/>
      <c r="AK158" s="261"/>
      <c r="AL158" s="261"/>
      <c r="AM158" s="261"/>
      <c r="AN158" s="24094"/>
      <c r="AO158" s="23957"/>
      <c r="AP158" s="24096"/>
      <c r="AQ158" s="23957"/>
      <c r="AR158" s="261"/>
      <c r="AS158" s="261"/>
      <c r="AT158" s="261"/>
      <c r="AU158" s="261"/>
      <c r="AV158" s="261"/>
      <c r="AW158" s="261"/>
      <c r="AX158" s="261"/>
      <c r="AY158" s="24094"/>
      <c r="AZ158" s="23957"/>
      <c r="BA158" s="24094"/>
      <c r="BB158" s="23957"/>
      <c r="BC158" s="261"/>
      <c r="BD158" s="261"/>
      <c r="BE158" s="261"/>
      <c r="BF158" s="261"/>
      <c r="BG158" s="261"/>
      <c r="BH158" s="261"/>
      <c r="BI158" s="261"/>
      <c r="BJ158" s="24094"/>
      <c r="BK158" s="23957"/>
      <c r="BL158" s="24094"/>
      <c r="BM158" s="23957"/>
      <c r="BN158" s="261"/>
      <c r="BO158" s="261"/>
      <c r="BP158" s="261"/>
      <c r="BQ158" s="261"/>
      <c r="BR158" s="261"/>
      <c r="BS158" s="261"/>
      <c r="BT158" s="261"/>
      <c r="BU158" s="24094"/>
      <c r="BV158" s="23957"/>
      <c r="BW158" s="24094"/>
      <c r="BX158" s="23957"/>
      <c r="BY158" s="261"/>
      <c r="BZ158" s="261"/>
      <c r="CA158" s="261"/>
      <c r="CB158" s="261"/>
      <c r="CC158" s="261"/>
      <c r="CD158" s="261"/>
      <c r="CE158" s="261"/>
      <c r="CF158" s="24094"/>
      <c r="CG158" s="23957"/>
      <c r="CH158" s="24094"/>
      <c r="CI158" s="23957"/>
      <c r="CJ158" s="261"/>
      <c r="CK158" s="261"/>
      <c r="CL158" s="261"/>
      <c r="CM158" s="261"/>
      <c r="CN158" s="261"/>
      <c r="CO158" s="261"/>
      <c r="CP158" s="261"/>
      <c r="CQ158" s="24094"/>
      <c r="CR158" s="23957"/>
      <c r="CS158" s="24094"/>
      <c r="CT158" s="23957"/>
      <c r="CU158" s="261"/>
      <c r="CV158" s="261"/>
      <c r="CW158" s="261"/>
      <c r="CX158" s="261"/>
      <c r="CY158" s="261"/>
      <c r="CZ158" s="261"/>
      <c r="DA158" s="261"/>
      <c r="DB158" s="24094"/>
      <c r="DC158" s="23957"/>
      <c r="DD158" s="24094"/>
      <c r="DE158" s="23957"/>
      <c r="DF158" s="261"/>
      <c r="DG158" s="261"/>
      <c r="DH158" s="261"/>
      <c r="DI158" s="261"/>
      <c r="DJ158" s="261"/>
      <c r="DK158" s="261"/>
      <c r="DL158" s="261"/>
      <c r="DM158" s="24094"/>
      <c r="DN158" s="23957"/>
      <c r="DO158" s="24094"/>
      <c r="DP158" s="23957"/>
      <c r="DQ158" s="261"/>
      <c r="DR158" s="261"/>
      <c r="DS158" s="261"/>
      <c r="DT158" s="261"/>
      <c r="DU158" s="261"/>
      <c r="DV158" s="261"/>
      <c r="DW158" s="261"/>
      <c r="DX158" s="24094"/>
      <c r="DY158" s="23957"/>
      <c r="DZ158" s="24094"/>
      <c r="EA158" s="23957"/>
      <c r="EB158" s="261"/>
      <c r="EC158" s="261"/>
      <c r="ED158" s="261"/>
      <c r="EE158" s="261"/>
      <c r="EF158" s="261"/>
      <c r="EG158" s="261"/>
      <c r="EH158" s="261"/>
      <c r="EI158" s="24094"/>
      <c r="EJ158" s="23957"/>
      <c r="EK158" s="24094"/>
      <c r="EL158" s="23957"/>
      <c r="EM158" s="261"/>
      <c r="EN158" s="261"/>
      <c r="EO158" s="261"/>
      <c r="EP158" s="261"/>
      <c r="EQ158" s="261"/>
      <c r="ER158" s="261"/>
      <c r="ES158" s="261"/>
      <c r="ET158" s="24094"/>
      <c r="EU158" s="23957"/>
      <c r="EV158" s="24096"/>
      <c r="EW158" s="23957"/>
      <c r="EX158" s="1286"/>
      <c r="EY158" s="1286"/>
      <c r="EZ158" s="1286"/>
      <c r="FA158" s="1286"/>
      <c r="FB158" s="1286"/>
      <c r="FC158" s="1286"/>
      <c r="FD158" s="1286"/>
      <c r="FE158" s="24085"/>
      <c r="FF158" s="24085"/>
      <c r="FG158" s="24085"/>
      <c r="FH158" s="24208"/>
      <c r="FI158" s="1286"/>
      <c r="FJ158" s="1286"/>
      <c r="FK158" s="1286"/>
      <c r="FL158" s="1286"/>
      <c r="FM158" s="1286"/>
      <c r="FN158" s="1286"/>
      <c r="FO158" s="1286"/>
      <c r="FP158" s="24085"/>
      <c r="FQ158" s="24085"/>
      <c r="FR158" s="24085"/>
      <c r="FS158" s="24085"/>
      <c r="FT158" s="1365"/>
      <c r="FU158" s="24162"/>
      <c r="FV158" s="1568"/>
      <c r="FW158" s="1550"/>
      <c r="FX158" s="1550" t="str">
        <f t="shared" si="2"/>
        <v/>
      </c>
      <c r="FY158" s="1550"/>
      <c r="FZ158" s="1550"/>
      <c r="GA158" s="1561">
        <v>0</v>
      </c>
    </row>
    <row r="159" spans="1:183" s="1747" customFormat="1" ht="21" customHeight="1">
      <c r="A159" s="1289"/>
      <c r="B159" s="1289"/>
      <c r="C159" s="1289"/>
      <c r="D159" s="1289"/>
      <c r="E159" s="24089"/>
      <c r="F159" s="24089"/>
      <c r="G159" s="24089">
        <v>1</v>
      </c>
      <c r="H159" s="24089"/>
      <c r="I159" s="24091"/>
      <c r="J159" s="24090"/>
      <c r="K159" s="1289"/>
      <c r="L159" s="1295"/>
      <c r="M159" s="1674"/>
      <c r="N159" s="1674"/>
      <c r="O159" s="1674"/>
      <c r="P159" s="24092"/>
      <c r="Q159" s="24092"/>
      <c r="R159" s="292"/>
      <c r="S159" s="2983"/>
      <c r="T159" s="2984" t="s">
        <v>712</v>
      </c>
      <c r="U159" s="2985"/>
      <c r="V159" s="2986"/>
      <c r="W159" s="2987"/>
      <c r="X159" s="2988"/>
      <c r="Y159" s="2989"/>
      <c r="Z159" s="2990"/>
      <c r="AA159" s="2991"/>
      <c r="AB159" s="2992"/>
      <c r="AC159" s="2993"/>
      <c r="AD159" s="2994"/>
      <c r="AE159" s="2995"/>
      <c r="AF159" s="2996"/>
      <c r="AG159" s="2997"/>
      <c r="AH159" s="2998"/>
      <c r="AI159" s="2999"/>
      <c r="AJ159" s="3000"/>
      <c r="AK159" s="3001"/>
      <c r="AL159" s="3002"/>
      <c r="AM159" s="3003"/>
      <c r="AN159" s="3004"/>
      <c r="AO159" s="3005"/>
      <c r="AP159" s="3006"/>
      <c r="AQ159" s="3007"/>
      <c r="AR159" s="6944"/>
      <c r="AS159" s="6945"/>
      <c r="AT159" s="6946"/>
      <c r="AU159" s="6947"/>
      <c r="AV159" s="6948"/>
      <c r="AW159" s="6949"/>
      <c r="AX159" s="6950"/>
      <c r="AY159" s="6951"/>
      <c r="AZ159" s="6952"/>
      <c r="BA159" s="6953"/>
      <c r="BB159" s="6954"/>
      <c r="BC159" s="6955"/>
      <c r="BD159" s="6956"/>
      <c r="BE159" s="11904"/>
      <c r="BF159" s="11905"/>
      <c r="BG159" s="21856"/>
      <c r="BH159" s="11906"/>
      <c r="BI159" s="11907"/>
      <c r="BJ159" s="11908"/>
      <c r="BK159" s="11909"/>
      <c r="BL159" s="11910"/>
      <c r="BM159" s="11911"/>
      <c r="BN159" s="3008"/>
      <c r="BO159" s="3009"/>
      <c r="BP159" s="11912"/>
      <c r="BQ159" s="11913"/>
      <c r="BR159" s="3010"/>
      <c r="BS159" s="11914"/>
      <c r="BT159" s="11915"/>
      <c r="BU159" s="11916"/>
      <c r="BV159" s="11917"/>
      <c r="BW159" s="11918"/>
      <c r="BX159" s="11919"/>
      <c r="BY159" s="11920"/>
      <c r="BZ159" s="11921"/>
      <c r="CA159" s="11922"/>
      <c r="CB159" s="11923"/>
      <c r="CC159" s="11924"/>
      <c r="CD159" s="11925"/>
      <c r="CE159" s="11926"/>
      <c r="CF159" s="11927"/>
      <c r="CG159" s="11928"/>
      <c r="CH159" s="11929"/>
      <c r="CI159" s="11930"/>
      <c r="CJ159" s="11931"/>
      <c r="CK159" s="11932"/>
      <c r="CL159" s="11933"/>
      <c r="CM159" s="11934"/>
      <c r="CN159" s="11935"/>
      <c r="CO159" s="11936"/>
      <c r="CP159" s="11937"/>
      <c r="CQ159" s="11938"/>
      <c r="CR159" s="11939"/>
      <c r="CS159" s="11940"/>
      <c r="CT159" s="11941"/>
      <c r="CU159" s="11942"/>
      <c r="CV159" s="11943"/>
      <c r="CW159" s="11944"/>
      <c r="CX159" s="11945"/>
      <c r="CY159" s="11946"/>
      <c r="CZ159" s="11947"/>
      <c r="DA159" s="11948"/>
      <c r="DB159" s="11949"/>
      <c r="DC159" s="11950"/>
      <c r="DD159" s="11951"/>
      <c r="DE159" s="11952"/>
      <c r="DF159" s="11953"/>
      <c r="DG159" s="11954"/>
      <c r="DH159" s="11955"/>
      <c r="DI159" s="11956"/>
      <c r="DJ159" s="11957"/>
      <c r="DK159" s="11958"/>
      <c r="DL159" s="11959"/>
      <c r="DM159" s="11960"/>
      <c r="DN159" s="11961"/>
      <c r="DO159" s="11962"/>
      <c r="DP159" s="11963"/>
      <c r="DQ159" s="11964"/>
      <c r="DR159" s="11965"/>
      <c r="DS159" s="11966"/>
      <c r="DT159" s="11967"/>
      <c r="DU159" s="11968"/>
      <c r="DV159" s="11969"/>
      <c r="DW159" s="11970"/>
      <c r="DX159" s="11971"/>
      <c r="DY159" s="11972"/>
      <c r="DZ159" s="11973"/>
      <c r="EA159" s="11974"/>
      <c r="EB159" s="11975"/>
      <c r="EC159" s="11976"/>
      <c r="ED159" s="11977"/>
      <c r="EE159" s="11978"/>
      <c r="EF159" s="11979"/>
      <c r="EG159" s="11980"/>
      <c r="EH159" s="11981"/>
      <c r="EI159" s="11982"/>
      <c r="EJ159" s="11983"/>
      <c r="EK159" s="11984"/>
      <c r="EL159" s="11985"/>
      <c r="EM159" s="21524"/>
      <c r="EN159" s="21525"/>
      <c r="EO159" s="11986"/>
      <c r="EP159" s="11987"/>
      <c r="EQ159" s="21526"/>
      <c r="ER159" s="11988"/>
      <c r="ES159" s="11989"/>
      <c r="ET159" s="11990"/>
      <c r="EU159" s="11991"/>
      <c r="EV159" s="11992"/>
      <c r="EW159" s="11993"/>
      <c r="EX159" s="3011"/>
      <c r="EY159" s="3012"/>
      <c r="EZ159" s="11994"/>
      <c r="FA159" s="11995"/>
      <c r="FB159" s="3013"/>
      <c r="FC159" s="11996"/>
      <c r="FD159" s="11997"/>
      <c r="FE159" s="11998"/>
      <c r="FF159" s="11999"/>
      <c r="FG159" s="12000"/>
      <c r="FH159" s="5692"/>
      <c r="FI159" s="22626"/>
      <c r="FJ159" s="22627"/>
      <c r="FK159" s="23422"/>
      <c r="FL159" s="23423"/>
      <c r="FM159" s="22628"/>
      <c r="FN159" s="23424"/>
      <c r="FO159" s="23425"/>
      <c r="FP159" s="22629"/>
      <c r="FQ159" s="22630"/>
      <c r="FR159" s="22631"/>
      <c r="FS159" s="23426"/>
      <c r="FT159" s="3014"/>
      <c r="FU159" s="1184" t="s">
        <v>713</v>
      </c>
      <c r="FV159" s="1568"/>
      <c r="FW159" s="1550"/>
      <c r="FX159" s="1550" t="str">
        <f t="shared" si="2"/>
        <v>Добавить значение признака дифференциации</v>
      </c>
      <c r="FY159" s="1550"/>
      <c r="FZ159" s="1550"/>
      <c r="GA159" s="1561">
        <v>0</v>
      </c>
    </row>
    <row r="160" spans="1:183" s="1747" customFormat="1" ht="21" customHeight="1">
      <c r="A160" s="1289"/>
      <c r="B160" s="1289"/>
      <c r="C160" s="1289"/>
      <c r="D160" s="1289"/>
      <c r="E160" s="24089"/>
      <c r="F160" s="24089"/>
      <c r="G160" s="24089">
        <v>1</v>
      </c>
      <c r="H160" s="24089"/>
      <c r="I160" s="24090"/>
      <c r="J160" s="1289"/>
      <c r="K160" s="1289"/>
      <c r="L160" s="1295"/>
      <c r="M160" s="1674"/>
      <c r="N160" s="1674"/>
      <c r="O160" s="1674"/>
      <c r="P160" s="24092"/>
      <c r="Q160" s="1978"/>
      <c r="R160" s="292"/>
      <c r="S160" s="3015"/>
      <c r="T160" s="3016" t="s">
        <v>641</v>
      </c>
      <c r="U160" s="3017"/>
      <c r="V160" s="3018"/>
      <c r="W160" s="3019"/>
      <c r="X160" s="3020"/>
      <c r="Y160" s="3021"/>
      <c r="Z160" s="3022"/>
      <c r="AA160" s="3023"/>
      <c r="AB160" s="3024"/>
      <c r="AC160" s="3025"/>
      <c r="AD160" s="3026"/>
      <c r="AE160" s="3027"/>
      <c r="AF160" s="3028"/>
      <c r="AG160" s="3029"/>
      <c r="AH160" s="3030"/>
      <c r="AI160" s="3031"/>
      <c r="AJ160" s="3032"/>
      <c r="AK160" s="3033"/>
      <c r="AL160" s="3034"/>
      <c r="AM160" s="3035"/>
      <c r="AN160" s="3036"/>
      <c r="AO160" s="3037"/>
      <c r="AP160" s="3038"/>
      <c r="AQ160" s="3039"/>
      <c r="AR160" s="6957"/>
      <c r="AS160" s="6958"/>
      <c r="AT160" s="6959"/>
      <c r="AU160" s="6960"/>
      <c r="AV160" s="6961"/>
      <c r="AW160" s="6962"/>
      <c r="AX160" s="6963"/>
      <c r="AY160" s="6964"/>
      <c r="AZ160" s="6965"/>
      <c r="BA160" s="6966"/>
      <c r="BB160" s="6967"/>
      <c r="BC160" s="6968"/>
      <c r="BD160" s="6969"/>
      <c r="BE160" s="12001"/>
      <c r="BF160" s="12002"/>
      <c r="BG160" s="21857"/>
      <c r="BH160" s="12003"/>
      <c r="BI160" s="12004"/>
      <c r="BJ160" s="12005"/>
      <c r="BK160" s="12006"/>
      <c r="BL160" s="12007"/>
      <c r="BM160" s="12008"/>
      <c r="BN160" s="3040"/>
      <c r="BO160" s="3041"/>
      <c r="BP160" s="12009"/>
      <c r="BQ160" s="12010"/>
      <c r="BR160" s="3042"/>
      <c r="BS160" s="12011"/>
      <c r="BT160" s="12012"/>
      <c r="BU160" s="12013"/>
      <c r="BV160" s="12014"/>
      <c r="BW160" s="12015"/>
      <c r="BX160" s="12016"/>
      <c r="BY160" s="12017"/>
      <c r="BZ160" s="12018"/>
      <c r="CA160" s="12019"/>
      <c r="CB160" s="12020"/>
      <c r="CC160" s="12021"/>
      <c r="CD160" s="12022"/>
      <c r="CE160" s="12023"/>
      <c r="CF160" s="12024"/>
      <c r="CG160" s="12025"/>
      <c r="CH160" s="12026"/>
      <c r="CI160" s="12027"/>
      <c r="CJ160" s="12028"/>
      <c r="CK160" s="12029"/>
      <c r="CL160" s="12030"/>
      <c r="CM160" s="12031"/>
      <c r="CN160" s="12032"/>
      <c r="CO160" s="12033"/>
      <c r="CP160" s="12034"/>
      <c r="CQ160" s="12035"/>
      <c r="CR160" s="12036"/>
      <c r="CS160" s="12037"/>
      <c r="CT160" s="12038"/>
      <c r="CU160" s="12039"/>
      <c r="CV160" s="12040"/>
      <c r="CW160" s="12041"/>
      <c r="CX160" s="12042"/>
      <c r="CY160" s="12043"/>
      <c r="CZ160" s="12044"/>
      <c r="DA160" s="12045"/>
      <c r="DB160" s="12046"/>
      <c r="DC160" s="12047"/>
      <c r="DD160" s="12048"/>
      <c r="DE160" s="12049"/>
      <c r="DF160" s="12050"/>
      <c r="DG160" s="12051"/>
      <c r="DH160" s="12052"/>
      <c r="DI160" s="12053"/>
      <c r="DJ160" s="12054"/>
      <c r="DK160" s="12055"/>
      <c r="DL160" s="12056"/>
      <c r="DM160" s="12057"/>
      <c r="DN160" s="12058"/>
      <c r="DO160" s="12059"/>
      <c r="DP160" s="12060"/>
      <c r="DQ160" s="12061"/>
      <c r="DR160" s="12062"/>
      <c r="DS160" s="12063"/>
      <c r="DT160" s="12064"/>
      <c r="DU160" s="12065"/>
      <c r="DV160" s="12066"/>
      <c r="DW160" s="12067"/>
      <c r="DX160" s="12068"/>
      <c r="DY160" s="12069"/>
      <c r="DZ160" s="12070"/>
      <c r="EA160" s="12071"/>
      <c r="EB160" s="12072"/>
      <c r="EC160" s="12073"/>
      <c r="ED160" s="12074"/>
      <c r="EE160" s="12075"/>
      <c r="EF160" s="12076"/>
      <c r="EG160" s="12077"/>
      <c r="EH160" s="12078"/>
      <c r="EI160" s="12079"/>
      <c r="EJ160" s="12080"/>
      <c r="EK160" s="12081"/>
      <c r="EL160" s="12082"/>
      <c r="EM160" s="21527"/>
      <c r="EN160" s="21528"/>
      <c r="EO160" s="12083"/>
      <c r="EP160" s="12084"/>
      <c r="EQ160" s="21529"/>
      <c r="ER160" s="12085"/>
      <c r="ES160" s="12086"/>
      <c r="ET160" s="12087"/>
      <c r="EU160" s="12088"/>
      <c r="EV160" s="12089"/>
      <c r="EW160" s="12090"/>
      <c r="EX160" s="3043"/>
      <c r="EY160" s="3044"/>
      <c r="EZ160" s="12091"/>
      <c r="FA160" s="12092"/>
      <c r="FB160" s="3045"/>
      <c r="FC160" s="12093"/>
      <c r="FD160" s="12094"/>
      <c r="FE160" s="12095"/>
      <c r="FF160" s="12096"/>
      <c r="FG160" s="12097"/>
      <c r="FH160" s="5693"/>
      <c r="FI160" s="22632"/>
      <c r="FJ160" s="22633"/>
      <c r="FK160" s="23427"/>
      <c r="FL160" s="23428"/>
      <c r="FM160" s="22634"/>
      <c r="FN160" s="23429"/>
      <c r="FO160" s="23430"/>
      <c r="FP160" s="22635"/>
      <c r="FQ160" s="22636"/>
      <c r="FR160" s="22637"/>
      <c r="FS160" s="23431"/>
      <c r="FT160" s="3046"/>
      <c r="FU160" s="3047"/>
      <c r="FV160" s="1568"/>
      <c r="FW160" s="1550"/>
      <c r="FX160" s="1550" t="str">
        <f t="shared" si="2"/>
        <v>Добавить группу потребителей</v>
      </c>
      <c r="FY160" s="1550"/>
      <c r="FZ160" s="1550"/>
      <c r="GA160" s="1561">
        <v>0</v>
      </c>
    </row>
    <row r="161" spans="1:183" s="1747" customFormat="1" ht="21" customHeight="1">
      <c r="A161" s="1289"/>
      <c r="B161" s="1289"/>
      <c r="C161" s="1289"/>
      <c r="D161" s="1289"/>
      <c r="E161" s="24089"/>
      <c r="F161" s="24089"/>
      <c r="G161" s="24089">
        <v>1</v>
      </c>
      <c r="H161" s="24088"/>
      <c r="I161" s="1289"/>
      <c r="J161" s="1289"/>
      <c r="K161" s="1289"/>
      <c r="L161" s="1295"/>
      <c r="M161" s="1291"/>
      <c r="N161" s="1291"/>
      <c r="O161" s="1292"/>
      <c r="P161" s="1720"/>
      <c r="Q161" s="311"/>
      <c r="R161" s="291"/>
      <c r="S161" s="3048"/>
      <c r="T161" s="3049" t="s">
        <v>714</v>
      </c>
      <c r="U161" s="3050"/>
      <c r="V161" s="3051"/>
      <c r="W161" s="3052"/>
      <c r="X161" s="3053"/>
      <c r="Y161" s="3054"/>
      <c r="Z161" s="3055"/>
      <c r="AA161" s="3056"/>
      <c r="AB161" s="3057"/>
      <c r="AC161" s="3058"/>
      <c r="AD161" s="3059"/>
      <c r="AE161" s="3060"/>
      <c r="AF161" s="3061"/>
      <c r="AG161" s="3062"/>
      <c r="AH161" s="3063"/>
      <c r="AI161" s="3064"/>
      <c r="AJ161" s="3065"/>
      <c r="AK161" s="3066"/>
      <c r="AL161" s="3067"/>
      <c r="AM161" s="3068"/>
      <c r="AN161" s="3069"/>
      <c r="AO161" s="3070"/>
      <c r="AP161" s="3071"/>
      <c r="AQ161" s="3072"/>
      <c r="AR161" s="6970"/>
      <c r="AS161" s="6971"/>
      <c r="AT161" s="6972"/>
      <c r="AU161" s="6973"/>
      <c r="AV161" s="6974"/>
      <c r="AW161" s="6975"/>
      <c r="AX161" s="6976"/>
      <c r="AY161" s="6977"/>
      <c r="AZ161" s="6978"/>
      <c r="BA161" s="6979"/>
      <c r="BB161" s="6980"/>
      <c r="BC161" s="6981"/>
      <c r="BD161" s="6982"/>
      <c r="BE161" s="12098"/>
      <c r="BF161" s="12099"/>
      <c r="BG161" s="21858"/>
      <c r="BH161" s="12100"/>
      <c r="BI161" s="12101"/>
      <c r="BJ161" s="12102"/>
      <c r="BK161" s="12103"/>
      <c r="BL161" s="12104"/>
      <c r="BM161" s="12105"/>
      <c r="BN161" s="3073"/>
      <c r="BO161" s="3074"/>
      <c r="BP161" s="12106"/>
      <c r="BQ161" s="12107"/>
      <c r="BR161" s="3075"/>
      <c r="BS161" s="12108"/>
      <c r="BT161" s="12109"/>
      <c r="BU161" s="12110"/>
      <c r="BV161" s="12111"/>
      <c r="BW161" s="12112"/>
      <c r="BX161" s="12113"/>
      <c r="BY161" s="12114"/>
      <c r="BZ161" s="12115"/>
      <c r="CA161" s="12116"/>
      <c r="CB161" s="12117"/>
      <c r="CC161" s="12118"/>
      <c r="CD161" s="12119"/>
      <c r="CE161" s="12120"/>
      <c r="CF161" s="12121"/>
      <c r="CG161" s="12122"/>
      <c r="CH161" s="12123"/>
      <c r="CI161" s="12124"/>
      <c r="CJ161" s="12125"/>
      <c r="CK161" s="12126"/>
      <c r="CL161" s="12127"/>
      <c r="CM161" s="12128"/>
      <c r="CN161" s="12129"/>
      <c r="CO161" s="12130"/>
      <c r="CP161" s="12131"/>
      <c r="CQ161" s="12132"/>
      <c r="CR161" s="12133"/>
      <c r="CS161" s="12134"/>
      <c r="CT161" s="12135"/>
      <c r="CU161" s="12136"/>
      <c r="CV161" s="12137"/>
      <c r="CW161" s="12138"/>
      <c r="CX161" s="12139"/>
      <c r="CY161" s="12140"/>
      <c r="CZ161" s="12141"/>
      <c r="DA161" s="12142"/>
      <c r="DB161" s="12143"/>
      <c r="DC161" s="12144"/>
      <c r="DD161" s="12145"/>
      <c r="DE161" s="12146"/>
      <c r="DF161" s="12147"/>
      <c r="DG161" s="12148"/>
      <c r="DH161" s="12149"/>
      <c r="DI161" s="12150"/>
      <c r="DJ161" s="12151"/>
      <c r="DK161" s="12152"/>
      <c r="DL161" s="12153"/>
      <c r="DM161" s="12154"/>
      <c r="DN161" s="12155"/>
      <c r="DO161" s="12156"/>
      <c r="DP161" s="12157"/>
      <c r="DQ161" s="12158"/>
      <c r="DR161" s="12159"/>
      <c r="DS161" s="12160"/>
      <c r="DT161" s="12161"/>
      <c r="DU161" s="12162"/>
      <c r="DV161" s="12163"/>
      <c r="DW161" s="12164"/>
      <c r="DX161" s="12165"/>
      <c r="DY161" s="12166"/>
      <c r="DZ161" s="12167"/>
      <c r="EA161" s="12168"/>
      <c r="EB161" s="12169"/>
      <c r="EC161" s="12170"/>
      <c r="ED161" s="12171"/>
      <c r="EE161" s="12172"/>
      <c r="EF161" s="12173"/>
      <c r="EG161" s="12174"/>
      <c r="EH161" s="12175"/>
      <c r="EI161" s="12176"/>
      <c r="EJ161" s="12177"/>
      <c r="EK161" s="12178"/>
      <c r="EL161" s="12179"/>
      <c r="EM161" s="21530"/>
      <c r="EN161" s="21531"/>
      <c r="EO161" s="12180"/>
      <c r="EP161" s="12181"/>
      <c r="EQ161" s="21532"/>
      <c r="ER161" s="12182"/>
      <c r="ES161" s="12183"/>
      <c r="ET161" s="12184"/>
      <c r="EU161" s="12185"/>
      <c r="EV161" s="12186"/>
      <c r="EW161" s="12187"/>
      <c r="EX161" s="3076"/>
      <c r="EY161" s="3077"/>
      <c r="EZ161" s="12188"/>
      <c r="FA161" s="12189"/>
      <c r="FB161" s="3078"/>
      <c r="FC161" s="12190"/>
      <c r="FD161" s="12191"/>
      <c r="FE161" s="12192"/>
      <c r="FF161" s="12193"/>
      <c r="FG161" s="12194"/>
      <c r="FH161" s="5694"/>
      <c r="FI161" s="22638"/>
      <c r="FJ161" s="22639"/>
      <c r="FK161" s="23432"/>
      <c r="FL161" s="23433"/>
      <c r="FM161" s="22640"/>
      <c r="FN161" s="23434"/>
      <c r="FO161" s="23435"/>
      <c r="FP161" s="22641"/>
      <c r="FQ161" s="22642"/>
      <c r="FR161" s="22643"/>
      <c r="FS161" s="23436"/>
      <c r="FT161" s="3079"/>
      <c r="FU161" s="3080"/>
      <c r="FV161" s="1568"/>
      <c r="FW161" s="1550"/>
      <c r="FX161" s="1550" t="str">
        <f t="shared" si="2"/>
        <v>Добавить наименование признака дифференциации</v>
      </c>
      <c r="FY161" s="1550"/>
      <c r="FZ161" s="1550"/>
      <c r="GA161" s="1561">
        <v>0</v>
      </c>
    </row>
    <row r="162" spans="1:183" s="1747" customFormat="1" ht="23.25" customHeight="1">
      <c r="A162" s="1289"/>
      <c r="B162" s="1289"/>
      <c r="C162" s="1289" t="s">
        <v>387</v>
      </c>
      <c r="D162" s="1289"/>
      <c r="E162" s="24089"/>
      <c r="F162" s="24089"/>
      <c r="G162" s="24088" t="s">
        <v>81</v>
      </c>
      <c r="H162" s="1289"/>
      <c r="I162" s="1289"/>
      <c r="J162" s="1289"/>
      <c r="K162" s="1289"/>
      <c r="L162" s="1295"/>
      <c r="M162" s="1291"/>
      <c r="N162" s="1291"/>
      <c r="O162" s="1291"/>
      <c r="P162" s="290"/>
      <c r="Q162" s="288"/>
      <c r="R162" s="289"/>
      <c r="S162" s="1976" t="str">
        <f>INDEX(PT_DIFFERENTIATION_NUM_CS,MATCH(C162,PT_DIFFERENTIATION_CS_ID,0))</f>
        <v>1.4.3</v>
      </c>
      <c r="T162" s="245" t="s">
        <v>756</v>
      </c>
      <c r="U162" s="236"/>
      <c r="V162" s="24082"/>
      <c r="W162" s="24083"/>
      <c r="X162" s="24083"/>
      <c r="Y162" s="24083"/>
      <c r="Z162" s="24083"/>
      <c r="AA162" s="24083"/>
      <c r="AB162" s="24083"/>
      <c r="AC162" s="24083"/>
      <c r="AD162" s="24083"/>
      <c r="AE162" s="24083"/>
      <c r="AF162" s="24084"/>
      <c r="AG162" s="24082" t="str">
        <f>INDEX(PT_DIFFERENTIATION_CS,MATCH(C162,PT_DIFFERENTIATION_CS_ID,0))</f>
        <v>г. Гагарин, ул. Пушная</v>
      </c>
      <c r="AH162" s="24083"/>
      <c r="AI162" s="24083"/>
      <c r="AJ162" s="24083"/>
      <c r="AK162" s="24083"/>
      <c r="AL162" s="24083"/>
      <c r="AM162" s="24083"/>
      <c r="AN162" s="24083"/>
      <c r="AO162" s="24083"/>
      <c r="AP162" s="24083"/>
      <c r="AQ162" s="24083"/>
      <c r="AR162" s="24173"/>
      <c r="AS162" s="24174"/>
      <c r="AT162" s="24174"/>
      <c r="AU162" s="24174"/>
      <c r="AV162" s="24174"/>
      <c r="AW162" s="24174"/>
      <c r="AX162" s="24174"/>
      <c r="AY162" s="24174"/>
      <c r="AZ162" s="24174"/>
      <c r="BA162" s="24174"/>
      <c r="BB162" s="24175"/>
      <c r="BC162" s="24173"/>
      <c r="BD162" s="24174"/>
      <c r="BE162" s="24174"/>
      <c r="BF162" s="24174"/>
      <c r="BG162" s="24174"/>
      <c r="BH162" s="24174"/>
      <c r="BI162" s="24174"/>
      <c r="BJ162" s="24174"/>
      <c r="BK162" s="24174"/>
      <c r="BL162" s="24174"/>
      <c r="BM162" s="24175"/>
      <c r="BN162" s="24082"/>
      <c r="BO162" s="24083"/>
      <c r="BP162" s="24174"/>
      <c r="BQ162" s="24174"/>
      <c r="BR162" s="24083"/>
      <c r="BS162" s="24174"/>
      <c r="BT162" s="24174"/>
      <c r="BU162" s="24174"/>
      <c r="BV162" s="24174"/>
      <c r="BW162" s="24174"/>
      <c r="BX162" s="24175"/>
      <c r="BY162" s="24173"/>
      <c r="BZ162" s="24174"/>
      <c r="CA162" s="24174"/>
      <c r="CB162" s="24174"/>
      <c r="CC162" s="24174"/>
      <c r="CD162" s="24174"/>
      <c r="CE162" s="24174"/>
      <c r="CF162" s="24174"/>
      <c r="CG162" s="24174"/>
      <c r="CH162" s="24174"/>
      <c r="CI162" s="24175"/>
      <c r="CJ162" s="24173"/>
      <c r="CK162" s="24174"/>
      <c r="CL162" s="24174"/>
      <c r="CM162" s="24174"/>
      <c r="CN162" s="24174"/>
      <c r="CO162" s="24174"/>
      <c r="CP162" s="24174"/>
      <c r="CQ162" s="24174"/>
      <c r="CR162" s="24174"/>
      <c r="CS162" s="24174"/>
      <c r="CT162" s="24175"/>
      <c r="CU162" s="24173"/>
      <c r="CV162" s="24174"/>
      <c r="CW162" s="24174"/>
      <c r="CX162" s="24174"/>
      <c r="CY162" s="24174"/>
      <c r="CZ162" s="24174"/>
      <c r="DA162" s="24174"/>
      <c r="DB162" s="24174"/>
      <c r="DC162" s="24174"/>
      <c r="DD162" s="24174"/>
      <c r="DE162" s="24175"/>
      <c r="DF162" s="24173"/>
      <c r="DG162" s="24174"/>
      <c r="DH162" s="24174"/>
      <c r="DI162" s="24174"/>
      <c r="DJ162" s="24174"/>
      <c r="DK162" s="24174"/>
      <c r="DL162" s="24174"/>
      <c r="DM162" s="24174"/>
      <c r="DN162" s="24174"/>
      <c r="DO162" s="24174"/>
      <c r="DP162" s="24175"/>
      <c r="DQ162" s="24173"/>
      <c r="DR162" s="24174"/>
      <c r="DS162" s="24174"/>
      <c r="DT162" s="24174"/>
      <c r="DU162" s="24174"/>
      <c r="DV162" s="24174"/>
      <c r="DW162" s="24174"/>
      <c r="DX162" s="24174"/>
      <c r="DY162" s="24174"/>
      <c r="DZ162" s="24174"/>
      <c r="EA162" s="24175"/>
      <c r="EB162" s="24173"/>
      <c r="EC162" s="24174"/>
      <c r="ED162" s="24174"/>
      <c r="EE162" s="24174"/>
      <c r="EF162" s="24174"/>
      <c r="EG162" s="24174"/>
      <c r="EH162" s="24174"/>
      <c r="EI162" s="24174"/>
      <c r="EJ162" s="24174"/>
      <c r="EK162" s="24174"/>
      <c r="EL162" s="24175"/>
      <c r="EM162" s="24173"/>
      <c r="EN162" s="24174"/>
      <c r="EO162" s="24174"/>
      <c r="EP162" s="24174"/>
      <c r="EQ162" s="24174"/>
      <c r="ER162" s="24174"/>
      <c r="ES162" s="24174"/>
      <c r="ET162" s="24174"/>
      <c r="EU162" s="24174"/>
      <c r="EV162" s="24174"/>
      <c r="EW162" s="24175"/>
      <c r="EX162" s="24082"/>
      <c r="EY162" s="24083"/>
      <c r="EZ162" s="24174"/>
      <c r="FA162" s="24174"/>
      <c r="FB162" s="24083"/>
      <c r="FC162" s="24174"/>
      <c r="FD162" s="24174"/>
      <c r="FE162" s="24174"/>
      <c r="FF162" s="24174"/>
      <c r="FG162" s="24174"/>
      <c r="FH162" s="24175"/>
      <c r="FI162" s="24082"/>
      <c r="FJ162" s="24083"/>
      <c r="FK162" s="24174"/>
      <c r="FL162" s="24174"/>
      <c r="FM162" s="24083"/>
      <c r="FN162" s="24174"/>
      <c r="FO162" s="24174"/>
      <c r="FP162" s="24083"/>
      <c r="FQ162" s="24083"/>
      <c r="FR162" s="24083"/>
      <c r="FS162" s="24175"/>
      <c r="FT162" s="24084"/>
      <c r="FU162" s="1184" t="s">
        <v>757</v>
      </c>
      <c r="FV162" s="1568"/>
      <c r="FW162" s="1550"/>
      <c r="FX162" s="1550" t="str">
        <f t="shared" si="2"/>
        <v>Наименование централизованной системы горячего водоснабжения</v>
      </c>
      <c r="FY162" s="1550"/>
      <c r="FZ162" s="1550"/>
      <c r="GA162" s="1561">
        <v>0</v>
      </c>
    </row>
    <row r="163" spans="1:183" s="1747" customFormat="1" ht="23.25" customHeight="1">
      <c r="A163" s="1289"/>
      <c r="B163" s="1289"/>
      <c r="C163" s="1289"/>
      <c r="D163" s="1289"/>
      <c r="E163" s="24089"/>
      <c r="F163" s="24089"/>
      <c r="G163" s="24089" t="s">
        <v>95</v>
      </c>
      <c r="H163" s="24089"/>
      <c r="I163" s="24090" t="str">
        <f>S162&amp;".1"</f>
        <v>1.4.3.1</v>
      </c>
      <c r="J163" s="1289"/>
      <c r="K163" s="1289"/>
      <c r="L163" s="1295"/>
      <c r="M163" s="1674"/>
      <c r="N163" s="1674"/>
      <c r="O163" s="1674"/>
      <c r="P163" s="24092">
        <v>1</v>
      </c>
      <c r="Q163" s="1978"/>
      <c r="R163" s="292"/>
      <c r="S163" s="1976" t="str">
        <f>$I163</f>
        <v>1.4.3.1</v>
      </c>
      <c r="T163" s="221" t="s">
        <v>709</v>
      </c>
      <c r="U163" s="236"/>
      <c r="V163" s="24156"/>
      <c r="W163" s="24157"/>
      <c r="X163" s="24157"/>
      <c r="Y163" s="24157"/>
      <c r="Z163" s="24157"/>
      <c r="AA163" s="24157"/>
      <c r="AB163" s="24157"/>
      <c r="AC163" s="24157"/>
      <c r="AD163" s="24157"/>
      <c r="AE163" s="24157"/>
      <c r="AF163" s="24158"/>
      <c r="AG163" s="24159"/>
      <c r="AH163" s="24160"/>
      <c r="AI163" s="24160"/>
      <c r="AJ163" s="24160"/>
      <c r="AK163" s="24160"/>
      <c r="AL163" s="24160"/>
      <c r="AM163" s="24160"/>
      <c r="AN163" s="24160"/>
      <c r="AO163" s="24160"/>
      <c r="AP163" s="24160"/>
      <c r="AQ163" s="24160"/>
      <c r="AR163" s="24176"/>
      <c r="AS163" s="24177"/>
      <c r="AT163" s="24177"/>
      <c r="AU163" s="24177"/>
      <c r="AV163" s="24177"/>
      <c r="AW163" s="24177"/>
      <c r="AX163" s="24177"/>
      <c r="AY163" s="24177"/>
      <c r="AZ163" s="24177"/>
      <c r="BA163" s="24177"/>
      <c r="BB163" s="24178"/>
      <c r="BC163" s="24176"/>
      <c r="BD163" s="24177"/>
      <c r="BE163" s="24177"/>
      <c r="BF163" s="24177"/>
      <c r="BG163" s="24177"/>
      <c r="BH163" s="24177"/>
      <c r="BI163" s="24177"/>
      <c r="BJ163" s="24177"/>
      <c r="BK163" s="24177"/>
      <c r="BL163" s="24177"/>
      <c r="BM163" s="24178"/>
      <c r="BN163" s="24156"/>
      <c r="BO163" s="24157"/>
      <c r="BP163" s="24177"/>
      <c r="BQ163" s="24177"/>
      <c r="BR163" s="24157"/>
      <c r="BS163" s="24177"/>
      <c r="BT163" s="24177"/>
      <c r="BU163" s="24177"/>
      <c r="BV163" s="24177"/>
      <c r="BW163" s="24177"/>
      <c r="BX163" s="24178"/>
      <c r="BY163" s="24176"/>
      <c r="BZ163" s="24177"/>
      <c r="CA163" s="24177"/>
      <c r="CB163" s="24177"/>
      <c r="CC163" s="24177"/>
      <c r="CD163" s="24177"/>
      <c r="CE163" s="24177"/>
      <c r="CF163" s="24177"/>
      <c r="CG163" s="24177"/>
      <c r="CH163" s="24177"/>
      <c r="CI163" s="24178"/>
      <c r="CJ163" s="24176"/>
      <c r="CK163" s="24177"/>
      <c r="CL163" s="24177"/>
      <c r="CM163" s="24177"/>
      <c r="CN163" s="24177"/>
      <c r="CO163" s="24177"/>
      <c r="CP163" s="24177"/>
      <c r="CQ163" s="24177"/>
      <c r="CR163" s="24177"/>
      <c r="CS163" s="24177"/>
      <c r="CT163" s="24178"/>
      <c r="CU163" s="24176"/>
      <c r="CV163" s="24177"/>
      <c r="CW163" s="24177"/>
      <c r="CX163" s="24177"/>
      <c r="CY163" s="24177"/>
      <c r="CZ163" s="24177"/>
      <c r="DA163" s="24177"/>
      <c r="DB163" s="24177"/>
      <c r="DC163" s="24177"/>
      <c r="DD163" s="24177"/>
      <c r="DE163" s="24178"/>
      <c r="DF163" s="24176"/>
      <c r="DG163" s="24177"/>
      <c r="DH163" s="24177"/>
      <c r="DI163" s="24177"/>
      <c r="DJ163" s="24177"/>
      <c r="DK163" s="24177"/>
      <c r="DL163" s="24177"/>
      <c r="DM163" s="24177"/>
      <c r="DN163" s="24177"/>
      <c r="DO163" s="24177"/>
      <c r="DP163" s="24178"/>
      <c r="DQ163" s="24176"/>
      <c r="DR163" s="24177"/>
      <c r="DS163" s="24177"/>
      <c r="DT163" s="24177"/>
      <c r="DU163" s="24177"/>
      <c r="DV163" s="24177"/>
      <c r="DW163" s="24177"/>
      <c r="DX163" s="24177"/>
      <c r="DY163" s="24177"/>
      <c r="DZ163" s="24177"/>
      <c r="EA163" s="24178"/>
      <c r="EB163" s="24176"/>
      <c r="EC163" s="24177"/>
      <c r="ED163" s="24177"/>
      <c r="EE163" s="24177"/>
      <c r="EF163" s="24177"/>
      <c r="EG163" s="24177"/>
      <c r="EH163" s="24177"/>
      <c r="EI163" s="24177"/>
      <c r="EJ163" s="24177"/>
      <c r="EK163" s="24177"/>
      <c r="EL163" s="24178"/>
      <c r="EM163" s="24176"/>
      <c r="EN163" s="24177"/>
      <c r="EO163" s="24177"/>
      <c r="EP163" s="24177"/>
      <c r="EQ163" s="24177"/>
      <c r="ER163" s="24177"/>
      <c r="ES163" s="24177"/>
      <c r="ET163" s="24177"/>
      <c r="EU163" s="24177"/>
      <c r="EV163" s="24177"/>
      <c r="EW163" s="24178"/>
      <c r="EX163" s="24156"/>
      <c r="EY163" s="24157"/>
      <c r="EZ163" s="24177"/>
      <c r="FA163" s="24177"/>
      <c r="FB163" s="24157"/>
      <c r="FC163" s="24177"/>
      <c r="FD163" s="24177"/>
      <c r="FE163" s="24177"/>
      <c r="FF163" s="24177"/>
      <c r="FG163" s="24177"/>
      <c r="FH163" s="24178"/>
      <c r="FI163" s="24156"/>
      <c r="FJ163" s="24157"/>
      <c r="FK163" s="24177"/>
      <c r="FL163" s="24177"/>
      <c r="FM163" s="24157"/>
      <c r="FN163" s="24177"/>
      <c r="FO163" s="24177"/>
      <c r="FP163" s="24157"/>
      <c r="FQ163" s="24157"/>
      <c r="FR163" s="24157"/>
      <c r="FS163" s="24178"/>
      <c r="FT163" s="24161"/>
      <c r="FU163" s="1184" t="s">
        <v>710</v>
      </c>
      <c r="FV163" s="1568"/>
      <c r="FW163" s="1550"/>
      <c r="FX163" s="1550" t="str">
        <f t="shared" si="2"/>
        <v>Наименование признака дифференциации</v>
      </c>
      <c r="FY163" s="1550"/>
      <c r="FZ163" s="1550"/>
      <c r="GA163" s="1561">
        <v>0</v>
      </c>
    </row>
    <row r="164" spans="1:183" s="1747" customFormat="1" ht="23.25" customHeight="1">
      <c r="A164" s="1289"/>
      <c r="B164" s="1289"/>
      <c r="C164" s="1289"/>
      <c r="D164" s="1289"/>
      <c r="E164" s="24089"/>
      <c r="F164" s="24089"/>
      <c r="G164" s="24089" t="s">
        <v>95</v>
      </c>
      <c r="H164" s="24089"/>
      <c r="I164" s="24091"/>
      <c r="J164" s="24090" t="str">
        <f>I163&amp;".1"</f>
        <v>1.4.3.1.1</v>
      </c>
      <c r="K164" s="1289"/>
      <c r="L164" s="1295" t="s">
        <v>635</v>
      </c>
      <c r="M164" s="1674"/>
      <c r="N164" s="1674"/>
      <c r="O164" s="1674"/>
      <c r="P164" s="24092"/>
      <c r="Q164" s="24092">
        <v>1</v>
      </c>
      <c r="R164" s="293"/>
      <c r="S164" s="1976" t="str">
        <f>$J164</f>
        <v>1.4.3.1.1</v>
      </c>
      <c r="T164" s="222" t="s">
        <v>636</v>
      </c>
      <c r="U164" s="236"/>
      <c r="V164" s="24076"/>
      <c r="W164" s="24077"/>
      <c r="X164" s="24077"/>
      <c r="Y164" s="24077"/>
      <c r="Z164" s="24077"/>
      <c r="AA164" s="24077"/>
      <c r="AB164" s="24077"/>
      <c r="AC164" s="24077"/>
      <c r="AD164" s="24077"/>
      <c r="AE164" s="24077"/>
      <c r="AF164" s="24078"/>
      <c r="AG164" s="24076" t="s">
        <v>769</v>
      </c>
      <c r="AH164" s="24077"/>
      <c r="AI164" s="24077"/>
      <c r="AJ164" s="24077"/>
      <c r="AK164" s="24077"/>
      <c r="AL164" s="24077"/>
      <c r="AM164" s="24077"/>
      <c r="AN164" s="24077"/>
      <c r="AO164" s="24077"/>
      <c r="AP164" s="24077"/>
      <c r="AQ164" s="24077"/>
      <c r="AR164" s="24179"/>
      <c r="AS164" s="24180"/>
      <c r="AT164" s="24180"/>
      <c r="AU164" s="24180"/>
      <c r="AV164" s="24180"/>
      <c r="AW164" s="24180"/>
      <c r="AX164" s="24180"/>
      <c r="AY164" s="24180"/>
      <c r="AZ164" s="24180"/>
      <c r="BA164" s="24180"/>
      <c r="BB164" s="24181"/>
      <c r="BC164" s="24179"/>
      <c r="BD164" s="24180"/>
      <c r="BE164" s="24180"/>
      <c r="BF164" s="24180"/>
      <c r="BG164" s="24180"/>
      <c r="BH164" s="24180"/>
      <c r="BI164" s="24180"/>
      <c r="BJ164" s="24180"/>
      <c r="BK164" s="24180"/>
      <c r="BL164" s="24180"/>
      <c r="BM164" s="24181"/>
      <c r="BN164" s="24076"/>
      <c r="BO164" s="24077"/>
      <c r="BP164" s="24180"/>
      <c r="BQ164" s="24180"/>
      <c r="BR164" s="24077"/>
      <c r="BS164" s="24180"/>
      <c r="BT164" s="24180"/>
      <c r="BU164" s="24180"/>
      <c r="BV164" s="24180"/>
      <c r="BW164" s="24180"/>
      <c r="BX164" s="24181"/>
      <c r="BY164" s="24179"/>
      <c r="BZ164" s="24180"/>
      <c r="CA164" s="24180"/>
      <c r="CB164" s="24180"/>
      <c r="CC164" s="24180"/>
      <c r="CD164" s="24180"/>
      <c r="CE164" s="24180"/>
      <c r="CF164" s="24180"/>
      <c r="CG164" s="24180"/>
      <c r="CH164" s="24180"/>
      <c r="CI164" s="24181"/>
      <c r="CJ164" s="24179"/>
      <c r="CK164" s="24180"/>
      <c r="CL164" s="24180"/>
      <c r="CM164" s="24180"/>
      <c r="CN164" s="24180"/>
      <c r="CO164" s="24180"/>
      <c r="CP164" s="24180"/>
      <c r="CQ164" s="24180"/>
      <c r="CR164" s="24180"/>
      <c r="CS164" s="24180"/>
      <c r="CT164" s="24181"/>
      <c r="CU164" s="24179"/>
      <c r="CV164" s="24180"/>
      <c r="CW164" s="24180"/>
      <c r="CX164" s="24180"/>
      <c r="CY164" s="24180"/>
      <c r="CZ164" s="24180"/>
      <c r="DA164" s="24180"/>
      <c r="DB164" s="24180"/>
      <c r="DC164" s="24180"/>
      <c r="DD164" s="24180"/>
      <c r="DE164" s="24181"/>
      <c r="DF164" s="24179"/>
      <c r="DG164" s="24180"/>
      <c r="DH164" s="24180"/>
      <c r="DI164" s="24180"/>
      <c r="DJ164" s="24180"/>
      <c r="DK164" s="24180"/>
      <c r="DL164" s="24180"/>
      <c r="DM164" s="24180"/>
      <c r="DN164" s="24180"/>
      <c r="DO164" s="24180"/>
      <c r="DP164" s="24181"/>
      <c r="DQ164" s="24179"/>
      <c r="DR164" s="24180"/>
      <c r="DS164" s="24180"/>
      <c r="DT164" s="24180"/>
      <c r="DU164" s="24180"/>
      <c r="DV164" s="24180"/>
      <c r="DW164" s="24180"/>
      <c r="DX164" s="24180"/>
      <c r="DY164" s="24180"/>
      <c r="DZ164" s="24180"/>
      <c r="EA164" s="24181"/>
      <c r="EB164" s="24179"/>
      <c r="EC164" s="24180"/>
      <c r="ED164" s="24180"/>
      <c r="EE164" s="24180"/>
      <c r="EF164" s="24180"/>
      <c r="EG164" s="24180"/>
      <c r="EH164" s="24180"/>
      <c r="EI164" s="24180"/>
      <c r="EJ164" s="24180"/>
      <c r="EK164" s="24180"/>
      <c r="EL164" s="24181"/>
      <c r="EM164" s="24179"/>
      <c r="EN164" s="24180"/>
      <c r="EO164" s="24180"/>
      <c r="EP164" s="24180"/>
      <c r="EQ164" s="24180"/>
      <c r="ER164" s="24180"/>
      <c r="ES164" s="24180"/>
      <c r="ET164" s="24180"/>
      <c r="EU164" s="24180"/>
      <c r="EV164" s="24180"/>
      <c r="EW164" s="24181"/>
      <c r="EX164" s="24076"/>
      <c r="EY164" s="24077"/>
      <c r="EZ164" s="24180"/>
      <c r="FA164" s="24180"/>
      <c r="FB164" s="24077"/>
      <c r="FC164" s="24180"/>
      <c r="FD164" s="24180"/>
      <c r="FE164" s="24180"/>
      <c r="FF164" s="24180"/>
      <c r="FG164" s="24180"/>
      <c r="FH164" s="24181"/>
      <c r="FI164" s="24076"/>
      <c r="FJ164" s="24077"/>
      <c r="FK164" s="24180"/>
      <c r="FL164" s="24180"/>
      <c r="FM164" s="24077"/>
      <c r="FN164" s="24180"/>
      <c r="FO164" s="24180"/>
      <c r="FP164" s="24077"/>
      <c r="FQ164" s="24077"/>
      <c r="FR164" s="24077"/>
      <c r="FS164" s="24181"/>
      <c r="FT164" s="24078"/>
      <c r="FU164" s="1233" t="s">
        <v>711</v>
      </c>
      <c r="FV164" s="1568"/>
      <c r="FW164" s="1550"/>
      <c r="FX164" s="1550" t="str">
        <f t="shared" si="2"/>
        <v>Группа потребителей</v>
      </c>
      <c r="FY164" s="1550"/>
      <c r="FZ164" s="1550"/>
      <c r="GA164" s="1561">
        <v>0</v>
      </c>
    </row>
    <row r="165" spans="1:183" s="1747" customFormat="1" ht="23.25" customHeight="1">
      <c r="A165" s="1289"/>
      <c r="B165" s="1289"/>
      <c r="C165" s="1289"/>
      <c r="D165" s="1289"/>
      <c r="E165" s="24089"/>
      <c r="F165" s="24089"/>
      <c r="G165" s="24089" t="s">
        <v>95</v>
      </c>
      <c r="H165" s="24089"/>
      <c r="I165" s="24091"/>
      <c r="J165" s="24091"/>
      <c r="K165" s="24090" t="str">
        <f>J164&amp;".1"</f>
        <v>1.4.3.1.1.1</v>
      </c>
      <c r="L165" s="1295"/>
      <c r="M165" s="1674"/>
      <c r="N165" s="1674"/>
      <c r="O165" s="1674"/>
      <c r="P165" s="24092"/>
      <c r="Q165" s="24092"/>
      <c r="R165" s="293">
        <v>1</v>
      </c>
      <c r="S165" s="1976" t="str">
        <f>$K165</f>
        <v>1.4.3.1.1.1</v>
      </c>
      <c r="T165" s="1363"/>
      <c r="U165" s="236"/>
      <c r="V165" s="1286"/>
      <c r="W165" s="1286"/>
      <c r="X165" s="1286"/>
      <c r="Y165" s="1286"/>
      <c r="Z165" s="1286"/>
      <c r="AA165" s="1286"/>
      <c r="AB165" s="1286"/>
      <c r="AC165" s="24086"/>
      <c r="AD165" s="24085" t="s">
        <v>59</v>
      </c>
      <c r="AE165" s="24086"/>
      <c r="AF165" s="24085" t="s">
        <v>59</v>
      </c>
      <c r="AG165" s="687">
        <v>237.43</v>
      </c>
      <c r="AH165" s="687">
        <v>40.24</v>
      </c>
      <c r="AI165" s="687"/>
      <c r="AJ165" s="687"/>
      <c r="AK165" s="687">
        <v>3133.44</v>
      </c>
      <c r="AL165" s="687"/>
      <c r="AM165" s="687"/>
      <c r="AN165" s="24093" t="s">
        <v>9</v>
      </c>
      <c r="AO165" s="23957" t="s">
        <v>59</v>
      </c>
      <c r="AP165" s="24095" t="s">
        <v>770</v>
      </c>
      <c r="AQ165" s="23957" t="s">
        <v>59</v>
      </c>
      <c r="AR165" s="687">
        <v>264.51</v>
      </c>
      <c r="AS165" s="687">
        <v>44.25</v>
      </c>
      <c r="AT165" s="687"/>
      <c r="AU165" s="687"/>
      <c r="AV165" s="687">
        <v>3500.05</v>
      </c>
      <c r="AW165" s="687"/>
      <c r="AX165" s="687"/>
      <c r="AY165" s="24093" t="s">
        <v>772</v>
      </c>
      <c r="AZ165" s="23957" t="s">
        <v>59</v>
      </c>
      <c r="BA165" s="24093" t="s">
        <v>773</v>
      </c>
      <c r="BB165" s="23957" t="s">
        <v>59</v>
      </c>
      <c r="BC165" s="687">
        <v>264.18</v>
      </c>
      <c r="BD165" s="687">
        <v>44.25</v>
      </c>
      <c r="BE165" s="687"/>
      <c r="BF165" s="687"/>
      <c r="BG165" s="687">
        <v>3500.05</v>
      </c>
      <c r="BH165" s="687"/>
      <c r="BI165" s="687"/>
      <c r="BJ165" s="24093" t="s">
        <v>774</v>
      </c>
      <c r="BK165" s="23957" t="s">
        <v>59</v>
      </c>
      <c r="BL165" s="24093" t="s">
        <v>775</v>
      </c>
      <c r="BM165" s="23957" t="s">
        <v>59</v>
      </c>
      <c r="BN165" s="687">
        <v>298.64999999999998</v>
      </c>
      <c r="BO165" s="687">
        <v>52.18</v>
      </c>
      <c r="BP165" s="687"/>
      <c r="BQ165" s="687"/>
      <c r="BR165" s="687">
        <v>3916.55</v>
      </c>
      <c r="BS165" s="687"/>
      <c r="BT165" s="687"/>
      <c r="BU165" s="24093" t="s">
        <v>776</v>
      </c>
      <c r="BV165" s="23957" t="s">
        <v>59</v>
      </c>
      <c r="BW165" s="24093">
        <v>45853</v>
      </c>
      <c r="BX165" s="23957" t="s">
        <v>59</v>
      </c>
      <c r="BY165" s="687">
        <v>300.17</v>
      </c>
      <c r="BZ165" s="687">
        <v>53.7</v>
      </c>
      <c r="CA165" s="687"/>
      <c r="CB165" s="687"/>
      <c r="CC165" s="687">
        <v>3916.55</v>
      </c>
      <c r="CD165" s="687"/>
      <c r="CE165" s="687"/>
      <c r="CF165" s="24093">
        <v>45854</v>
      </c>
      <c r="CG165" s="23957" t="s">
        <v>59</v>
      </c>
      <c r="CH165" s="24093">
        <v>46022</v>
      </c>
      <c r="CI165" s="23957" t="s">
        <v>59</v>
      </c>
      <c r="CJ165" s="687">
        <v>300.17</v>
      </c>
      <c r="CK165" s="687">
        <v>53.7</v>
      </c>
      <c r="CL165" s="687"/>
      <c r="CM165" s="687"/>
      <c r="CN165" s="687">
        <v>3916.55</v>
      </c>
      <c r="CO165" s="687"/>
      <c r="CP165" s="687"/>
      <c r="CQ165" s="24093">
        <v>46023</v>
      </c>
      <c r="CR165" s="23957" t="s">
        <v>59</v>
      </c>
      <c r="CS165" s="24185">
        <v>46295</v>
      </c>
      <c r="CT165" s="23957" t="s">
        <v>59</v>
      </c>
      <c r="CU165" s="687">
        <v>332.34</v>
      </c>
      <c r="CV165" s="687">
        <v>59.81</v>
      </c>
      <c r="CW165" s="687"/>
      <c r="CX165" s="687"/>
      <c r="CY165" s="687">
        <v>4330.76</v>
      </c>
      <c r="CZ165" s="687"/>
      <c r="DA165" s="687"/>
      <c r="DB165" s="24185">
        <v>46296</v>
      </c>
      <c r="DC165" s="23957" t="s">
        <v>59</v>
      </c>
      <c r="DD165" s="24093">
        <v>46387</v>
      </c>
      <c r="DE165" s="23957" t="s">
        <v>59</v>
      </c>
      <c r="DF165" s="687">
        <f>CU165</f>
        <v>332.34</v>
      </c>
      <c r="DG165" s="687">
        <f>CV165</f>
        <v>59.81</v>
      </c>
      <c r="DH165" s="687"/>
      <c r="DI165" s="687"/>
      <c r="DJ165" s="687">
        <f>CY165</f>
        <v>4330.76</v>
      </c>
      <c r="DK165" s="687"/>
      <c r="DL165" s="687"/>
      <c r="DM165" s="24093">
        <v>46388</v>
      </c>
      <c r="DN165" s="23957" t="s">
        <v>59</v>
      </c>
      <c r="DO165" s="24093">
        <v>46568</v>
      </c>
      <c r="DP165" s="23957" t="s">
        <v>59</v>
      </c>
      <c r="DQ165" s="687">
        <v>356.12</v>
      </c>
      <c r="DR165" s="687">
        <v>61.21</v>
      </c>
      <c r="DS165" s="687"/>
      <c r="DT165" s="687"/>
      <c r="DU165" s="687">
        <v>4686.3900000000003</v>
      </c>
      <c r="DV165" s="687"/>
      <c r="DW165" s="687"/>
      <c r="DX165" s="24093">
        <v>46569</v>
      </c>
      <c r="DY165" s="23957" t="s">
        <v>59</v>
      </c>
      <c r="DZ165" s="24093">
        <v>46752</v>
      </c>
      <c r="EA165" s="23957" t="s">
        <v>59</v>
      </c>
      <c r="EB165" s="687">
        <v>355.23</v>
      </c>
      <c r="EC165" s="687">
        <v>60.32</v>
      </c>
      <c r="ED165" s="687"/>
      <c r="EE165" s="687"/>
      <c r="EF165" s="687">
        <f>DU165</f>
        <v>4686.3900000000003</v>
      </c>
      <c r="EG165" s="687"/>
      <c r="EH165" s="687"/>
      <c r="EI165" s="24093">
        <v>46753</v>
      </c>
      <c r="EJ165" s="23957" t="s">
        <v>59</v>
      </c>
      <c r="EK165" s="24093">
        <v>46934</v>
      </c>
      <c r="EL165" s="23957" t="s">
        <v>59</v>
      </c>
      <c r="EM165" s="687">
        <v>375.56</v>
      </c>
      <c r="EN165" s="687">
        <v>60.32</v>
      </c>
      <c r="EO165" s="687"/>
      <c r="EP165" s="687">
        <v>4422.4799999999996</v>
      </c>
      <c r="EQ165" s="687">
        <v>5009.37</v>
      </c>
      <c r="ER165" s="687"/>
      <c r="ES165" s="687"/>
      <c r="ET165" s="24093">
        <v>46935.656030092592</v>
      </c>
      <c r="EU165" s="23957" t="s">
        <v>59</v>
      </c>
      <c r="EV165" s="24095">
        <v>47118.656134259261</v>
      </c>
      <c r="EW165" s="23957" t="s">
        <v>6</v>
      </c>
      <c r="EX165" s="1286"/>
      <c r="EY165" s="1286"/>
      <c r="EZ165" s="1286"/>
      <c r="FA165" s="1286"/>
      <c r="FB165" s="1286"/>
      <c r="FC165" s="1286"/>
      <c r="FD165" s="1286"/>
      <c r="FE165" s="24086"/>
      <c r="FF165" s="24085" t="s">
        <v>59</v>
      </c>
      <c r="FG165" s="24086"/>
      <c r="FH165" s="24208" t="s">
        <v>59</v>
      </c>
      <c r="FI165" s="1286"/>
      <c r="FJ165" s="1286"/>
      <c r="FK165" s="1286"/>
      <c r="FL165" s="1286"/>
      <c r="FM165" s="1286"/>
      <c r="FN165" s="1286"/>
      <c r="FO165" s="1286"/>
      <c r="FP165" s="24086"/>
      <c r="FQ165" s="24085" t="s">
        <v>59</v>
      </c>
      <c r="FR165" s="24086"/>
      <c r="FS165" s="24085" t="s">
        <v>59</v>
      </c>
      <c r="FT165" s="1364"/>
      <c r="FU16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65" s="1568" t="e">
        <f ca="1">STRCHECKDATE(V166:FT166)</f>
        <v>#NAME?</v>
      </c>
      <c r="FW165" s="1550"/>
      <c r="FX165" s="1550" t="str">
        <f t="shared" si="2"/>
        <v/>
      </c>
      <c r="FY165" s="1550"/>
      <c r="FZ165" s="1550"/>
      <c r="GA165" s="1561">
        <v>0</v>
      </c>
    </row>
    <row r="166" spans="1:183" s="1747" customFormat="1" ht="14.25" customHeight="1">
      <c r="A166" s="1289"/>
      <c r="B166" s="1289"/>
      <c r="C166" s="1289"/>
      <c r="D166" s="1289"/>
      <c r="E166" s="24089"/>
      <c r="F166" s="24089"/>
      <c r="G166" s="24089" t="s">
        <v>95</v>
      </c>
      <c r="H166" s="24089"/>
      <c r="I166" s="24091"/>
      <c r="J166" s="24091"/>
      <c r="K166" s="24090"/>
      <c r="L166" s="1295"/>
      <c r="M166" s="1674"/>
      <c r="N166" s="1674"/>
      <c r="O166" s="1674"/>
      <c r="P166" s="24092"/>
      <c r="Q166" s="24092"/>
      <c r="R166" s="293"/>
      <c r="S166" s="1982"/>
      <c r="T166" s="236"/>
      <c r="U166" s="236"/>
      <c r="V166" s="1286"/>
      <c r="W166" s="1286"/>
      <c r="X166" s="1286"/>
      <c r="Y166" s="1286"/>
      <c r="Z166" s="1286"/>
      <c r="AA166" s="1286"/>
      <c r="AB166" s="1286"/>
      <c r="AC166" s="24085"/>
      <c r="AD166" s="24085"/>
      <c r="AE166" s="24085"/>
      <c r="AF166" s="24085"/>
      <c r="AG166" s="261"/>
      <c r="AH166" s="261"/>
      <c r="AI166" s="261"/>
      <c r="AJ166" s="261"/>
      <c r="AK166" s="261"/>
      <c r="AL166" s="261"/>
      <c r="AM166" s="261"/>
      <c r="AN166" s="24094"/>
      <c r="AO166" s="23957"/>
      <c r="AP166" s="24096"/>
      <c r="AQ166" s="23957"/>
      <c r="AR166" s="261"/>
      <c r="AS166" s="261"/>
      <c r="AT166" s="261"/>
      <c r="AU166" s="261"/>
      <c r="AV166" s="261"/>
      <c r="AW166" s="261"/>
      <c r="AX166" s="261"/>
      <c r="AY166" s="24094"/>
      <c r="AZ166" s="23957"/>
      <c r="BA166" s="24094"/>
      <c r="BB166" s="23957"/>
      <c r="BC166" s="261"/>
      <c r="BD166" s="261"/>
      <c r="BE166" s="261"/>
      <c r="BF166" s="261"/>
      <c r="BG166" s="261"/>
      <c r="BH166" s="261"/>
      <c r="BI166" s="261"/>
      <c r="BJ166" s="24094"/>
      <c r="BK166" s="23957"/>
      <c r="BL166" s="24094"/>
      <c r="BM166" s="23957"/>
      <c r="BN166" s="261"/>
      <c r="BO166" s="261"/>
      <c r="BP166" s="261"/>
      <c r="BQ166" s="261"/>
      <c r="BR166" s="261"/>
      <c r="BS166" s="261"/>
      <c r="BT166" s="261"/>
      <c r="BU166" s="24094"/>
      <c r="BV166" s="23957"/>
      <c r="BW166" s="24094"/>
      <c r="BX166" s="23957"/>
      <c r="BY166" s="261"/>
      <c r="BZ166" s="261"/>
      <c r="CA166" s="261"/>
      <c r="CB166" s="261"/>
      <c r="CC166" s="261"/>
      <c r="CD166" s="261"/>
      <c r="CE166" s="261"/>
      <c r="CF166" s="24094"/>
      <c r="CG166" s="23957"/>
      <c r="CH166" s="24094"/>
      <c r="CI166" s="23957"/>
      <c r="CJ166" s="261"/>
      <c r="CK166" s="261"/>
      <c r="CL166" s="261"/>
      <c r="CM166" s="261"/>
      <c r="CN166" s="261"/>
      <c r="CO166" s="261"/>
      <c r="CP166" s="261"/>
      <c r="CQ166" s="24094"/>
      <c r="CR166" s="23957"/>
      <c r="CS166" s="24094"/>
      <c r="CT166" s="23957"/>
      <c r="CU166" s="261"/>
      <c r="CV166" s="261"/>
      <c r="CW166" s="261"/>
      <c r="CX166" s="261"/>
      <c r="CY166" s="261"/>
      <c r="CZ166" s="261"/>
      <c r="DA166" s="261"/>
      <c r="DB166" s="24094"/>
      <c r="DC166" s="23957"/>
      <c r="DD166" s="24094"/>
      <c r="DE166" s="23957"/>
      <c r="DF166" s="261"/>
      <c r="DG166" s="261"/>
      <c r="DH166" s="261"/>
      <c r="DI166" s="261"/>
      <c r="DJ166" s="261"/>
      <c r="DK166" s="261"/>
      <c r="DL166" s="261"/>
      <c r="DM166" s="24094"/>
      <c r="DN166" s="23957"/>
      <c r="DO166" s="24094"/>
      <c r="DP166" s="23957"/>
      <c r="DQ166" s="261"/>
      <c r="DR166" s="261"/>
      <c r="DS166" s="261"/>
      <c r="DT166" s="261"/>
      <c r="DU166" s="261"/>
      <c r="DV166" s="261"/>
      <c r="DW166" s="261"/>
      <c r="DX166" s="24094"/>
      <c r="DY166" s="23957"/>
      <c r="DZ166" s="24094"/>
      <c r="EA166" s="23957"/>
      <c r="EB166" s="261"/>
      <c r="EC166" s="261"/>
      <c r="ED166" s="261"/>
      <c r="EE166" s="261"/>
      <c r="EF166" s="261"/>
      <c r="EG166" s="261"/>
      <c r="EH166" s="261"/>
      <c r="EI166" s="24094"/>
      <c r="EJ166" s="23957"/>
      <c r="EK166" s="24094"/>
      <c r="EL166" s="23957"/>
      <c r="EM166" s="261"/>
      <c r="EN166" s="261"/>
      <c r="EO166" s="261"/>
      <c r="EP166" s="261"/>
      <c r="EQ166" s="261"/>
      <c r="ER166" s="261"/>
      <c r="ES166" s="261"/>
      <c r="ET166" s="24094"/>
      <c r="EU166" s="23957"/>
      <c r="EV166" s="24096"/>
      <c r="EW166" s="23957"/>
      <c r="EX166" s="1286"/>
      <c r="EY166" s="1286"/>
      <c r="EZ166" s="1286"/>
      <c r="FA166" s="1286"/>
      <c r="FB166" s="1286"/>
      <c r="FC166" s="1286"/>
      <c r="FD166" s="1286"/>
      <c r="FE166" s="24085"/>
      <c r="FF166" s="24085"/>
      <c r="FG166" s="24085"/>
      <c r="FH166" s="24208"/>
      <c r="FI166" s="1286"/>
      <c r="FJ166" s="1286"/>
      <c r="FK166" s="1286"/>
      <c r="FL166" s="1286"/>
      <c r="FM166" s="1286"/>
      <c r="FN166" s="1286"/>
      <c r="FO166" s="1286"/>
      <c r="FP166" s="24085"/>
      <c r="FQ166" s="24085"/>
      <c r="FR166" s="24085"/>
      <c r="FS166" s="24085"/>
      <c r="FT166" s="1365"/>
      <c r="FU166" s="24162"/>
      <c r="FV166" s="1568"/>
      <c r="FW166" s="1550"/>
      <c r="FX166" s="1550" t="str">
        <f t="shared" si="2"/>
        <v/>
      </c>
      <c r="FY166" s="1550"/>
      <c r="FZ166" s="1550"/>
      <c r="GA166" s="1561">
        <v>0</v>
      </c>
    </row>
    <row r="167" spans="1:183" s="1747" customFormat="1" ht="21" customHeight="1">
      <c r="A167" s="1289"/>
      <c r="B167" s="1289"/>
      <c r="C167" s="1289"/>
      <c r="D167" s="1289"/>
      <c r="E167" s="24089"/>
      <c r="F167" s="24089"/>
      <c r="G167" s="24089" t="s">
        <v>95</v>
      </c>
      <c r="H167" s="24089"/>
      <c r="I167" s="24091"/>
      <c r="J167" s="24090"/>
      <c r="K167" s="1289"/>
      <c r="L167" s="1295"/>
      <c r="M167" s="1674"/>
      <c r="N167" s="1674"/>
      <c r="O167" s="1674"/>
      <c r="P167" s="24092"/>
      <c r="Q167" s="24092"/>
      <c r="R167" s="292"/>
      <c r="S167" s="3081"/>
      <c r="T167" s="3082" t="s">
        <v>712</v>
      </c>
      <c r="U167" s="3083"/>
      <c r="V167" s="3084"/>
      <c r="W167" s="3085"/>
      <c r="X167" s="3086"/>
      <c r="Y167" s="3087"/>
      <c r="Z167" s="3088"/>
      <c r="AA167" s="3089"/>
      <c r="AB167" s="3090"/>
      <c r="AC167" s="3091"/>
      <c r="AD167" s="3092"/>
      <c r="AE167" s="3093"/>
      <c r="AF167" s="3094"/>
      <c r="AG167" s="3095"/>
      <c r="AH167" s="3096"/>
      <c r="AI167" s="3097"/>
      <c r="AJ167" s="3098"/>
      <c r="AK167" s="3099"/>
      <c r="AL167" s="3100"/>
      <c r="AM167" s="3101"/>
      <c r="AN167" s="3102"/>
      <c r="AO167" s="3103"/>
      <c r="AP167" s="3104"/>
      <c r="AQ167" s="3105"/>
      <c r="AR167" s="6983"/>
      <c r="AS167" s="6984"/>
      <c r="AT167" s="6985"/>
      <c r="AU167" s="6986"/>
      <c r="AV167" s="6987"/>
      <c r="AW167" s="6988"/>
      <c r="AX167" s="6989"/>
      <c r="AY167" s="6990"/>
      <c r="AZ167" s="6991"/>
      <c r="BA167" s="6992"/>
      <c r="BB167" s="6993"/>
      <c r="BC167" s="6994"/>
      <c r="BD167" s="6995"/>
      <c r="BE167" s="12195"/>
      <c r="BF167" s="12196"/>
      <c r="BG167" s="21859"/>
      <c r="BH167" s="12197"/>
      <c r="BI167" s="12198"/>
      <c r="BJ167" s="12199"/>
      <c r="BK167" s="12200"/>
      <c r="BL167" s="12201"/>
      <c r="BM167" s="12202"/>
      <c r="BN167" s="3106"/>
      <c r="BO167" s="3107"/>
      <c r="BP167" s="12203"/>
      <c r="BQ167" s="12204"/>
      <c r="BR167" s="3108"/>
      <c r="BS167" s="12205"/>
      <c r="BT167" s="12206"/>
      <c r="BU167" s="12207"/>
      <c r="BV167" s="12208"/>
      <c r="BW167" s="12209"/>
      <c r="BX167" s="12210"/>
      <c r="BY167" s="12211"/>
      <c r="BZ167" s="12212"/>
      <c r="CA167" s="12213"/>
      <c r="CB167" s="12214"/>
      <c r="CC167" s="12215"/>
      <c r="CD167" s="12216"/>
      <c r="CE167" s="12217"/>
      <c r="CF167" s="12218"/>
      <c r="CG167" s="12219"/>
      <c r="CH167" s="12220"/>
      <c r="CI167" s="12221"/>
      <c r="CJ167" s="12222"/>
      <c r="CK167" s="12223"/>
      <c r="CL167" s="12224"/>
      <c r="CM167" s="12225"/>
      <c r="CN167" s="12226"/>
      <c r="CO167" s="12227"/>
      <c r="CP167" s="12228"/>
      <c r="CQ167" s="12229"/>
      <c r="CR167" s="12230"/>
      <c r="CS167" s="12231"/>
      <c r="CT167" s="12232"/>
      <c r="CU167" s="12233"/>
      <c r="CV167" s="12234"/>
      <c r="CW167" s="12235"/>
      <c r="CX167" s="12236"/>
      <c r="CY167" s="12237"/>
      <c r="CZ167" s="12238"/>
      <c r="DA167" s="12239"/>
      <c r="DB167" s="12240"/>
      <c r="DC167" s="12241"/>
      <c r="DD167" s="12242"/>
      <c r="DE167" s="12243"/>
      <c r="DF167" s="12244"/>
      <c r="DG167" s="12245"/>
      <c r="DH167" s="12246"/>
      <c r="DI167" s="12247"/>
      <c r="DJ167" s="12248"/>
      <c r="DK167" s="12249"/>
      <c r="DL167" s="12250"/>
      <c r="DM167" s="12251"/>
      <c r="DN167" s="12252"/>
      <c r="DO167" s="12253"/>
      <c r="DP167" s="12254"/>
      <c r="DQ167" s="12255"/>
      <c r="DR167" s="12256"/>
      <c r="DS167" s="12257"/>
      <c r="DT167" s="12258"/>
      <c r="DU167" s="12259"/>
      <c r="DV167" s="12260"/>
      <c r="DW167" s="12261"/>
      <c r="DX167" s="12262"/>
      <c r="DY167" s="12263"/>
      <c r="DZ167" s="12264"/>
      <c r="EA167" s="12265"/>
      <c r="EB167" s="12266"/>
      <c r="EC167" s="12267"/>
      <c r="ED167" s="12268"/>
      <c r="EE167" s="12269"/>
      <c r="EF167" s="12270"/>
      <c r="EG167" s="12271"/>
      <c r="EH167" s="12272"/>
      <c r="EI167" s="12273"/>
      <c r="EJ167" s="12274"/>
      <c r="EK167" s="12275"/>
      <c r="EL167" s="12276"/>
      <c r="EM167" s="21533"/>
      <c r="EN167" s="21534"/>
      <c r="EO167" s="12277"/>
      <c r="EP167" s="12278"/>
      <c r="EQ167" s="21535"/>
      <c r="ER167" s="12279"/>
      <c r="ES167" s="12280"/>
      <c r="ET167" s="12281"/>
      <c r="EU167" s="12282"/>
      <c r="EV167" s="12283"/>
      <c r="EW167" s="12284"/>
      <c r="EX167" s="3109"/>
      <c r="EY167" s="3110"/>
      <c r="EZ167" s="12285"/>
      <c r="FA167" s="12286"/>
      <c r="FB167" s="3111"/>
      <c r="FC167" s="12287"/>
      <c r="FD167" s="12288"/>
      <c r="FE167" s="12289"/>
      <c r="FF167" s="12290"/>
      <c r="FG167" s="12291"/>
      <c r="FH167" s="5695"/>
      <c r="FI167" s="22644"/>
      <c r="FJ167" s="22645"/>
      <c r="FK167" s="23437"/>
      <c r="FL167" s="23438"/>
      <c r="FM167" s="22646"/>
      <c r="FN167" s="23439"/>
      <c r="FO167" s="23440"/>
      <c r="FP167" s="22647"/>
      <c r="FQ167" s="22648"/>
      <c r="FR167" s="22649"/>
      <c r="FS167" s="23441"/>
      <c r="FT167" s="3112"/>
      <c r="FU167" s="1184" t="s">
        <v>713</v>
      </c>
      <c r="FV167" s="1568"/>
      <c r="FW167" s="1550"/>
      <c r="FX167" s="1550" t="str">
        <f t="shared" si="2"/>
        <v>Добавить значение признака дифференциации</v>
      </c>
      <c r="FY167" s="1550"/>
      <c r="FZ167" s="1550"/>
      <c r="GA167" s="1561">
        <v>0</v>
      </c>
    </row>
    <row r="168" spans="1:183" s="1747" customFormat="1" ht="23.25" customHeight="1">
      <c r="A168" s="1289"/>
      <c r="B168" s="1289"/>
      <c r="C168" s="1289"/>
      <c r="D168" s="1289"/>
      <c r="E168" s="24089"/>
      <c r="F168" s="24089"/>
      <c r="G168" s="24089"/>
      <c r="H168" s="24089"/>
      <c r="I168" s="24091"/>
      <c r="J168" s="24090" t="str">
        <f>I163&amp;".2"</f>
        <v>1.4.3.1.2</v>
      </c>
      <c r="K168" s="1289"/>
      <c r="L168" s="1295" t="s">
        <v>635</v>
      </c>
      <c r="M168" s="1674"/>
      <c r="N168" s="1674"/>
      <c r="O168" s="1674"/>
      <c r="P168" s="24092"/>
      <c r="Q168" s="24206" t="s">
        <v>96</v>
      </c>
      <c r="R168" s="293"/>
      <c r="S168" s="1976" t="str">
        <f>$J168</f>
        <v>1.4.3.1.2</v>
      </c>
      <c r="T168" s="222" t="s">
        <v>636</v>
      </c>
      <c r="U168" s="236"/>
      <c r="V168" s="24076"/>
      <c r="W168" s="24077"/>
      <c r="X168" s="24077"/>
      <c r="Y168" s="24077"/>
      <c r="Z168" s="24077"/>
      <c r="AA168" s="24077"/>
      <c r="AB168" s="24077"/>
      <c r="AC168" s="24077"/>
      <c r="AD168" s="24077"/>
      <c r="AE168" s="24077"/>
      <c r="AF168" s="24078"/>
      <c r="AG168" s="24076" t="s">
        <v>771</v>
      </c>
      <c r="AH168" s="24077"/>
      <c r="AI168" s="24077"/>
      <c r="AJ168" s="24077"/>
      <c r="AK168" s="24077"/>
      <c r="AL168" s="24077"/>
      <c r="AM168" s="24077"/>
      <c r="AN168" s="24077"/>
      <c r="AO168" s="24077"/>
      <c r="AP168" s="24077"/>
      <c r="AQ168" s="24077"/>
      <c r="AR168" s="24179"/>
      <c r="AS168" s="24180"/>
      <c r="AT168" s="24180"/>
      <c r="AU168" s="24180"/>
      <c r="AV168" s="24180"/>
      <c r="AW168" s="24180"/>
      <c r="AX168" s="24180"/>
      <c r="AY168" s="24180"/>
      <c r="AZ168" s="24180"/>
      <c r="BA168" s="24180"/>
      <c r="BB168" s="24181"/>
      <c r="BC168" s="24179"/>
      <c r="BD168" s="24180"/>
      <c r="BE168" s="24180"/>
      <c r="BF168" s="24180"/>
      <c r="BG168" s="24180"/>
      <c r="BH168" s="24180"/>
      <c r="BI168" s="24180"/>
      <c r="BJ168" s="24180"/>
      <c r="BK168" s="24180"/>
      <c r="BL168" s="24180"/>
      <c r="BM168" s="24181"/>
      <c r="BN168" s="24076"/>
      <c r="BO168" s="24077"/>
      <c r="BP168" s="24180"/>
      <c r="BQ168" s="24180"/>
      <c r="BR168" s="24077"/>
      <c r="BS168" s="24180"/>
      <c r="BT168" s="24180"/>
      <c r="BU168" s="24180"/>
      <c r="BV168" s="24180"/>
      <c r="BW168" s="24180"/>
      <c r="BX168" s="24181"/>
      <c r="BY168" s="24179"/>
      <c r="BZ168" s="24180"/>
      <c r="CA168" s="24180"/>
      <c r="CB168" s="24180"/>
      <c r="CC168" s="24180"/>
      <c r="CD168" s="24180"/>
      <c r="CE168" s="24180"/>
      <c r="CF168" s="24180"/>
      <c r="CG168" s="24180"/>
      <c r="CH168" s="24180"/>
      <c r="CI168" s="24181"/>
      <c r="CJ168" s="24179"/>
      <c r="CK168" s="24180"/>
      <c r="CL168" s="24180"/>
      <c r="CM168" s="24180"/>
      <c r="CN168" s="24180"/>
      <c r="CO168" s="24180"/>
      <c r="CP168" s="24180"/>
      <c r="CQ168" s="24180"/>
      <c r="CR168" s="24180"/>
      <c r="CS168" s="24180"/>
      <c r="CT168" s="24181"/>
      <c r="CU168" s="24179"/>
      <c r="CV168" s="24180"/>
      <c r="CW168" s="24180"/>
      <c r="CX168" s="24180"/>
      <c r="CY168" s="24180"/>
      <c r="CZ168" s="24180"/>
      <c r="DA168" s="24180"/>
      <c r="DB168" s="24180"/>
      <c r="DC168" s="24180"/>
      <c r="DD168" s="24180"/>
      <c r="DE168" s="24181"/>
      <c r="DF168" s="24179"/>
      <c r="DG168" s="24180"/>
      <c r="DH168" s="24180"/>
      <c r="DI168" s="24180"/>
      <c r="DJ168" s="24180"/>
      <c r="DK168" s="24180"/>
      <c r="DL168" s="24180"/>
      <c r="DM168" s="24180"/>
      <c r="DN168" s="24180"/>
      <c r="DO168" s="24180"/>
      <c r="DP168" s="24181"/>
      <c r="DQ168" s="24179"/>
      <c r="DR168" s="24180"/>
      <c r="DS168" s="24180"/>
      <c r="DT168" s="24180"/>
      <c r="DU168" s="24180"/>
      <c r="DV168" s="24180"/>
      <c r="DW168" s="24180"/>
      <c r="DX168" s="24180"/>
      <c r="DY168" s="24180"/>
      <c r="DZ168" s="24180"/>
      <c r="EA168" s="24181"/>
      <c r="EB168" s="24179"/>
      <c r="EC168" s="24180"/>
      <c r="ED168" s="24180"/>
      <c r="EE168" s="24180"/>
      <c r="EF168" s="24180"/>
      <c r="EG168" s="24180"/>
      <c r="EH168" s="24180"/>
      <c r="EI168" s="24180"/>
      <c r="EJ168" s="24180"/>
      <c r="EK168" s="24180"/>
      <c r="EL168" s="24181"/>
      <c r="EM168" s="24179"/>
      <c r="EN168" s="24180"/>
      <c r="EO168" s="24180"/>
      <c r="EP168" s="24180"/>
      <c r="EQ168" s="24180"/>
      <c r="ER168" s="24180"/>
      <c r="ES168" s="24180"/>
      <c r="ET168" s="24180"/>
      <c r="EU168" s="24180"/>
      <c r="EV168" s="24180"/>
      <c r="EW168" s="24181"/>
      <c r="EX168" s="24076"/>
      <c r="EY168" s="24077"/>
      <c r="EZ168" s="24180"/>
      <c r="FA168" s="24180"/>
      <c r="FB168" s="24077"/>
      <c r="FC168" s="24180"/>
      <c r="FD168" s="24180"/>
      <c r="FE168" s="24180"/>
      <c r="FF168" s="24180"/>
      <c r="FG168" s="24180"/>
      <c r="FH168" s="24181"/>
      <c r="FI168" s="24076"/>
      <c r="FJ168" s="24077"/>
      <c r="FK168" s="24180"/>
      <c r="FL168" s="24180"/>
      <c r="FM168" s="24077"/>
      <c r="FN168" s="24180"/>
      <c r="FO168" s="24180"/>
      <c r="FP168" s="24077"/>
      <c r="FQ168" s="24077"/>
      <c r="FR168" s="24077"/>
      <c r="FS168" s="24181"/>
      <c r="FT168" s="24078"/>
      <c r="FU168" s="1233" t="s">
        <v>711</v>
      </c>
      <c r="FV168" s="1568"/>
      <c r="FW168" s="1550"/>
      <c r="FX168" s="1550" t="str">
        <f t="shared" si="2"/>
        <v>Группа потребителей</v>
      </c>
      <c r="FY168" s="1550"/>
      <c r="FZ168" s="1550"/>
      <c r="GA168" s="1561">
        <v>0</v>
      </c>
    </row>
    <row r="169" spans="1:183" s="1747" customFormat="1" ht="23.25" customHeight="1">
      <c r="A169" s="1289"/>
      <c r="B169" s="1289"/>
      <c r="C169" s="1289"/>
      <c r="D169" s="1289"/>
      <c r="E169" s="24089"/>
      <c r="F169" s="24089"/>
      <c r="G169" s="24089"/>
      <c r="H169" s="24089"/>
      <c r="I169" s="24091"/>
      <c r="J169" s="24091" t="str">
        <f>I163&amp;".1"</f>
        <v>1.4.3.1.1</v>
      </c>
      <c r="K169" s="24090" t="str">
        <f>J168&amp;".1"</f>
        <v>1.4.3.1.2.1</v>
      </c>
      <c r="L169" s="1295"/>
      <c r="M169" s="1674"/>
      <c r="N169" s="1674"/>
      <c r="O169" s="1674"/>
      <c r="P169" s="24092"/>
      <c r="Q169" s="24092"/>
      <c r="R169" s="293">
        <v>1</v>
      </c>
      <c r="S169" s="1976" t="str">
        <f>$K169</f>
        <v>1.4.3.1.2.1</v>
      </c>
      <c r="T169" s="1363"/>
      <c r="U169" s="236"/>
      <c r="V169" s="1286"/>
      <c r="W169" s="1286"/>
      <c r="X169" s="1286"/>
      <c r="Y169" s="1286"/>
      <c r="Z169" s="1286"/>
      <c r="AA169" s="1286"/>
      <c r="AB169" s="1286"/>
      <c r="AC169" s="24086"/>
      <c r="AD169" s="24085" t="s">
        <v>59</v>
      </c>
      <c r="AE169" s="24086"/>
      <c r="AF169" s="24085" t="s">
        <v>59</v>
      </c>
      <c r="AG169" s="687">
        <v>188.53</v>
      </c>
      <c r="AH169" s="687">
        <v>48.29</v>
      </c>
      <c r="AI169" s="687"/>
      <c r="AJ169" s="687"/>
      <c r="AK169" s="687">
        <v>2228.5100000000002</v>
      </c>
      <c r="AL169" s="687"/>
      <c r="AM169" s="687"/>
      <c r="AN169" s="24093" t="s">
        <v>9</v>
      </c>
      <c r="AO169" s="23957" t="s">
        <v>59</v>
      </c>
      <c r="AP169" s="24095" t="s">
        <v>770</v>
      </c>
      <c r="AQ169" s="23957" t="s">
        <v>59</v>
      </c>
      <c r="AR169" s="687">
        <v>207.36</v>
      </c>
      <c r="AS169" s="687">
        <v>53.1</v>
      </c>
      <c r="AT169" s="687"/>
      <c r="AU169" s="687"/>
      <c r="AV169" s="687">
        <v>2451.36</v>
      </c>
      <c r="AW169" s="687"/>
      <c r="AX169" s="687"/>
      <c r="AY169" s="24093" t="s">
        <v>772</v>
      </c>
      <c r="AZ169" s="23957" t="s">
        <v>59</v>
      </c>
      <c r="BA169" s="24093" t="s">
        <v>773</v>
      </c>
      <c r="BB169" s="23957" t="s">
        <v>59</v>
      </c>
      <c r="BC169" s="687">
        <v>207.36</v>
      </c>
      <c r="BD169" s="687">
        <v>53.1</v>
      </c>
      <c r="BE169" s="687"/>
      <c r="BF169" s="687"/>
      <c r="BG169" s="687">
        <v>2451.36</v>
      </c>
      <c r="BH169" s="687"/>
      <c r="BI169" s="687"/>
      <c r="BJ169" s="24093" t="s">
        <v>774</v>
      </c>
      <c r="BK169" s="23957" t="s">
        <v>59</v>
      </c>
      <c r="BL169" s="24093" t="s">
        <v>775</v>
      </c>
      <c r="BM169" s="23957" t="s">
        <v>59</v>
      </c>
      <c r="BN169" s="687">
        <v>232</v>
      </c>
      <c r="BO169" s="687">
        <v>62.62</v>
      </c>
      <c r="BP169" s="687"/>
      <c r="BQ169" s="687"/>
      <c r="BR169" s="687">
        <v>2691.59</v>
      </c>
      <c r="BS169" s="687"/>
      <c r="BT169" s="687"/>
      <c r="BU169" s="24093" t="s">
        <v>776</v>
      </c>
      <c r="BV169" s="23957" t="s">
        <v>59</v>
      </c>
      <c r="BW169" s="24093">
        <v>45853</v>
      </c>
      <c r="BX169" s="23957" t="s">
        <v>59</v>
      </c>
      <c r="BY169" s="687">
        <v>233.1</v>
      </c>
      <c r="BZ169" s="687">
        <v>63.72</v>
      </c>
      <c r="CA169" s="687"/>
      <c r="CB169" s="687"/>
      <c r="CC169" s="687">
        <v>2691.59</v>
      </c>
      <c r="CD169" s="687"/>
      <c r="CE169" s="687"/>
      <c r="CF169" s="24093">
        <v>45854</v>
      </c>
      <c r="CG169" s="23957" t="s">
        <v>59</v>
      </c>
      <c r="CH169" s="24093">
        <v>46022</v>
      </c>
      <c r="CI169" s="23957" t="s">
        <v>59</v>
      </c>
      <c r="CJ169" s="687">
        <v>237.06</v>
      </c>
      <c r="CK169" s="687">
        <v>64.78</v>
      </c>
      <c r="CL169" s="687"/>
      <c r="CM169" s="687"/>
      <c r="CN169" s="687">
        <v>2737.68</v>
      </c>
      <c r="CO169" s="687"/>
      <c r="CP169" s="687"/>
      <c r="CQ169" s="24093">
        <v>46023</v>
      </c>
      <c r="CR169" s="23957" t="s">
        <v>59</v>
      </c>
      <c r="CS169" s="24185">
        <v>46295</v>
      </c>
      <c r="CT169" s="23957" t="s">
        <v>59</v>
      </c>
      <c r="CU169" s="687">
        <v>265.92</v>
      </c>
      <c r="CV169" s="687">
        <v>72.97</v>
      </c>
      <c r="CW169" s="687"/>
      <c r="CX169" s="687"/>
      <c r="CY169" s="687">
        <v>3066.2</v>
      </c>
      <c r="CZ169" s="687"/>
      <c r="DA169" s="687"/>
      <c r="DB169" s="24185">
        <v>46296</v>
      </c>
      <c r="DC169" s="23957" t="s">
        <v>59</v>
      </c>
      <c r="DD169" s="24093">
        <v>46387</v>
      </c>
      <c r="DE169" s="23957" t="s">
        <v>59</v>
      </c>
      <c r="DF169" s="687">
        <f>CU169</f>
        <v>265.92</v>
      </c>
      <c r="DG169" s="687">
        <f>CV169</f>
        <v>72.97</v>
      </c>
      <c r="DH169" s="687"/>
      <c r="DI169" s="687"/>
      <c r="DJ169" s="687">
        <f>CY169</f>
        <v>3066.2</v>
      </c>
      <c r="DK169" s="687"/>
      <c r="DL169" s="687"/>
      <c r="DM169" s="24093">
        <v>46388</v>
      </c>
      <c r="DN169" s="23957" t="s">
        <v>59</v>
      </c>
      <c r="DO169" s="24093">
        <v>46568</v>
      </c>
      <c r="DP169" s="23957" t="s">
        <v>59</v>
      </c>
      <c r="DQ169" s="687">
        <v>284.42</v>
      </c>
      <c r="DR169" s="687">
        <v>74.680000000000007</v>
      </c>
      <c r="DS169" s="687"/>
      <c r="DT169" s="687"/>
      <c r="DU169" s="687">
        <v>3332.97</v>
      </c>
      <c r="DV169" s="687"/>
      <c r="DW169" s="687"/>
      <c r="DX169" s="24093">
        <v>46569</v>
      </c>
      <c r="DY169" s="23957" t="s">
        <v>59</v>
      </c>
      <c r="DZ169" s="24093">
        <v>46752</v>
      </c>
      <c r="EA169" s="23957" t="s">
        <v>59</v>
      </c>
      <c r="EB169" s="687">
        <v>283.33</v>
      </c>
      <c r="EC169" s="687">
        <v>73.59</v>
      </c>
      <c r="ED169" s="687"/>
      <c r="EE169" s="687"/>
      <c r="EF169" s="687">
        <f>DU169</f>
        <v>3332.97</v>
      </c>
      <c r="EG169" s="687"/>
      <c r="EH169" s="687"/>
      <c r="EI169" s="24093">
        <v>46753</v>
      </c>
      <c r="EJ169" s="23957" t="s">
        <v>59</v>
      </c>
      <c r="EK169" s="24093">
        <v>46934</v>
      </c>
      <c r="EL169" s="23957" t="s">
        <v>59</v>
      </c>
      <c r="EM169" s="687">
        <f>EB169</f>
        <v>283.33</v>
      </c>
      <c r="EN169" s="687">
        <f>EC169</f>
        <v>73.59</v>
      </c>
      <c r="EO169" s="687"/>
      <c r="EP169" s="687">
        <v>3092.03</v>
      </c>
      <c r="EQ169" s="687">
        <v>3569.61</v>
      </c>
      <c r="ER169" s="687"/>
      <c r="ES169" s="687"/>
      <c r="ET169" s="24093">
        <v>46935.661226851851</v>
      </c>
      <c r="EU169" s="23957" t="s">
        <v>59</v>
      </c>
      <c r="EV169" s="24095">
        <v>47118.66138888889</v>
      </c>
      <c r="EW169" s="23957" t="s">
        <v>6</v>
      </c>
      <c r="EX169" s="1286"/>
      <c r="EY169" s="1286"/>
      <c r="EZ169" s="1286"/>
      <c r="FA169" s="1286"/>
      <c r="FB169" s="1286"/>
      <c r="FC169" s="1286"/>
      <c r="FD169" s="1286"/>
      <c r="FE169" s="24086"/>
      <c r="FF169" s="24085" t="s">
        <v>59</v>
      </c>
      <c r="FG169" s="24086"/>
      <c r="FH169" s="24208" t="s">
        <v>59</v>
      </c>
      <c r="FI169" s="1286"/>
      <c r="FJ169" s="1286"/>
      <c r="FK169" s="1286"/>
      <c r="FL169" s="1286"/>
      <c r="FM169" s="1286"/>
      <c r="FN169" s="1286"/>
      <c r="FO169" s="1286"/>
      <c r="FP169" s="24086"/>
      <c r="FQ169" s="24085" t="s">
        <v>59</v>
      </c>
      <c r="FR169" s="24086"/>
      <c r="FS169" s="24085" t="s">
        <v>59</v>
      </c>
      <c r="FT169" s="1364"/>
      <c r="FU16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69" s="1568" t="e">
        <f ca="1">STRCHECKDATE(V170:FT170)</f>
        <v>#NAME?</v>
      </c>
      <c r="FW169" s="1550"/>
      <c r="FX169" s="1550" t="str">
        <f t="shared" si="2"/>
        <v/>
      </c>
      <c r="FY169" s="1550"/>
      <c r="FZ169" s="1550"/>
      <c r="GA169" s="1561">
        <v>0</v>
      </c>
    </row>
    <row r="170" spans="1:183" s="1747" customFormat="1" ht="14.25" customHeight="1">
      <c r="A170" s="1289"/>
      <c r="B170" s="1289"/>
      <c r="C170" s="1289"/>
      <c r="D170" s="1289"/>
      <c r="E170" s="24089"/>
      <c r="F170" s="24089"/>
      <c r="G170" s="24089"/>
      <c r="H170" s="24089"/>
      <c r="I170" s="24091"/>
      <c r="J170" s="24091" t="str">
        <f>I163&amp;".1"</f>
        <v>1.4.3.1.1</v>
      </c>
      <c r="K170" s="24090"/>
      <c r="L170" s="1295"/>
      <c r="M170" s="1674"/>
      <c r="N170" s="1674"/>
      <c r="O170" s="1674"/>
      <c r="P170" s="24092"/>
      <c r="Q170" s="24092"/>
      <c r="R170" s="293"/>
      <c r="S170" s="1982"/>
      <c r="T170" s="236"/>
      <c r="U170" s="236"/>
      <c r="V170" s="1286"/>
      <c r="W170" s="1286"/>
      <c r="X170" s="1286"/>
      <c r="Y170" s="1286"/>
      <c r="Z170" s="1286"/>
      <c r="AA170" s="1286"/>
      <c r="AB170" s="1286"/>
      <c r="AC170" s="24085"/>
      <c r="AD170" s="24085"/>
      <c r="AE170" s="24085"/>
      <c r="AF170" s="24085"/>
      <c r="AG170" s="261"/>
      <c r="AH170" s="261"/>
      <c r="AI170" s="261"/>
      <c r="AJ170" s="261"/>
      <c r="AK170" s="261"/>
      <c r="AL170" s="261"/>
      <c r="AM170" s="261"/>
      <c r="AN170" s="24094"/>
      <c r="AO170" s="23957"/>
      <c r="AP170" s="24096"/>
      <c r="AQ170" s="23957"/>
      <c r="AR170" s="261"/>
      <c r="AS170" s="261"/>
      <c r="AT170" s="261"/>
      <c r="AU170" s="261"/>
      <c r="AV170" s="261"/>
      <c r="AW170" s="261"/>
      <c r="AX170" s="261"/>
      <c r="AY170" s="24094"/>
      <c r="AZ170" s="23957"/>
      <c r="BA170" s="24094"/>
      <c r="BB170" s="23957"/>
      <c r="BC170" s="261"/>
      <c r="BD170" s="261"/>
      <c r="BE170" s="261"/>
      <c r="BF170" s="261"/>
      <c r="BG170" s="261"/>
      <c r="BH170" s="261"/>
      <c r="BI170" s="261"/>
      <c r="BJ170" s="24094"/>
      <c r="BK170" s="23957"/>
      <c r="BL170" s="24094"/>
      <c r="BM170" s="23957"/>
      <c r="BN170" s="261"/>
      <c r="BO170" s="261"/>
      <c r="BP170" s="261"/>
      <c r="BQ170" s="261"/>
      <c r="BR170" s="261"/>
      <c r="BS170" s="261"/>
      <c r="BT170" s="261"/>
      <c r="BU170" s="24094"/>
      <c r="BV170" s="23957"/>
      <c r="BW170" s="24094"/>
      <c r="BX170" s="23957"/>
      <c r="BY170" s="261"/>
      <c r="BZ170" s="261"/>
      <c r="CA170" s="261"/>
      <c r="CB170" s="261"/>
      <c r="CC170" s="261"/>
      <c r="CD170" s="261"/>
      <c r="CE170" s="261"/>
      <c r="CF170" s="24094"/>
      <c r="CG170" s="23957"/>
      <c r="CH170" s="24094"/>
      <c r="CI170" s="23957"/>
      <c r="CJ170" s="261"/>
      <c r="CK170" s="261"/>
      <c r="CL170" s="261"/>
      <c r="CM170" s="261"/>
      <c r="CN170" s="261"/>
      <c r="CO170" s="261"/>
      <c r="CP170" s="261"/>
      <c r="CQ170" s="24094"/>
      <c r="CR170" s="23957"/>
      <c r="CS170" s="24094"/>
      <c r="CT170" s="23957"/>
      <c r="CU170" s="261"/>
      <c r="CV170" s="261"/>
      <c r="CW170" s="261"/>
      <c r="CX170" s="261"/>
      <c r="CY170" s="261"/>
      <c r="CZ170" s="261"/>
      <c r="DA170" s="261"/>
      <c r="DB170" s="24094"/>
      <c r="DC170" s="23957"/>
      <c r="DD170" s="24094"/>
      <c r="DE170" s="23957"/>
      <c r="DF170" s="261"/>
      <c r="DG170" s="261"/>
      <c r="DH170" s="261"/>
      <c r="DI170" s="261"/>
      <c r="DJ170" s="261"/>
      <c r="DK170" s="261"/>
      <c r="DL170" s="261"/>
      <c r="DM170" s="24094"/>
      <c r="DN170" s="23957"/>
      <c r="DO170" s="24094"/>
      <c r="DP170" s="23957"/>
      <c r="DQ170" s="261"/>
      <c r="DR170" s="261"/>
      <c r="DS170" s="261"/>
      <c r="DT170" s="261"/>
      <c r="DU170" s="261"/>
      <c r="DV170" s="261"/>
      <c r="DW170" s="261"/>
      <c r="DX170" s="24094"/>
      <c r="DY170" s="23957"/>
      <c r="DZ170" s="24094"/>
      <c r="EA170" s="23957"/>
      <c r="EB170" s="261"/>
      <c r="EC170" s="261"/>
      <c r="ED170" s="261"/>
      <c r="EE170" s="261"/>
      <c r="EF170" s="261"/>
      <c r="EG170" s="261"/>
      <c r="EH170" s="261"/>
      <c r="EI170" s="24094"/>
      <c r="EJ170" s="23957"/>
      <c r="EK170" s="24094"/>
      <c r="EL170" s="23957"/>
      <c r="EM170" s="261"/>
      <c r="EN170" s="261"/>
      <c r="EO170" s="261"/>
      <c r="EP170" s="261"/>
      <c r="EQ170" s="261"/>
      <c r="ER170" s="261"/>
      <c r="ES170" s="261"/>
      <c r="ET170" s="24094"/>
      <c r="EU170" s="23957"/>
      <c r="EV170" s="24096"/>
      <c r="EW170" s="23957"/>
      <c r="EX170" s="1286"/>
      <c r="EY170" s="1286"/>
      <c r="EZ170" s="1286"/>
      <c r="FA170" s="1286"/>
      <c r="FB170" s="1286"/>
      <c r="FC170" s="1286"/>
      <c r="FD170" s="1286"/>
      <c r="FE170" s="24085"/>
      <c r="FF170" s="24085"/>
      <c r="FG170" s="24085"/>
      <c r="FH170" s="24208"/>
      <c r="FI170" s="1286"/>
      <c r="FJ170" s="1286"/>
      <c r="FK170" s="1286"/>
      <c r="FL170" s="1286"/>
      <c r="FM170" s="1286"/>
      <c r="FN170" s="1286"/>
      <c r="FO170" s="1286"/>
      <c r="FP170" s="24085"/>
      <c r="FQ170" s="24085"/>
      <c r="FR170" s="24085"/>
      <c r="FS170" s="24085"/>
      <c r="FT170" s="1365"/>
      <c r="FU170" s="24162"/>
      <c r="FV170" s="1568"/>
      <c r="FW170" s="1550"/>
      <c r="FX170" s="1550" t="str">
        <f t="shared" ref="FX170:FX233" si="3">IF(T170="","",T170)</f>
        <v/>
      </c>
      <c r="FY170" s="1550"/>
      <c r="FZ170" s="1550"/>
      <c r="GA170" s="1561">
        <v>0</v>
      </c>
    </row>
    <row r="171" spans="1:183" s="1747" customFormat="1" ht="21" customHeight="1">
      <c r="A171" s="1289"/>
      <c r="B171" s="1289"/>
      <c r="C171" s="1289"/>
      <c r="D171" s="1289"/>
      <c r="E171" s="24089"/>
      <c r="F171" s="24089"/>
      <c r="G171" s="24089"/>
      <c r="H171" s="24089"/>
      <c r="I171" s="24091"/>
      <c r="J171" s="24090" t="str">
        <f>I163&amp;".1"</f>
        <v>1.4.3.1.1</v>
      </c>
      <c r="K171" s="1289"/>
      <c r="L171" s="1295"/>
      <c r="M171" s="1674"/>
      <c r="N171" s="1674"/>
      <c r="O171" s="1674"/>
      <c r="P171" s="24092"/>
      <c r="Q171" s="24092"/>
      <c r="R171" s="292"/>
      <c r="S171" s="3113"/>
      <c r="T171" s="3114" t="s">
        <v>712</v>
      </c>
      <c r="U171" s="3115"/>
      <c r="V171" s="3116"/>
      <c r="W171" s="3117"/>
      <c r="X171" s="3118"/>
      <c r="Y171" s="3119"/>
      <c r="Z171" s="3120"/>
      <c r="AA171" s="3121"/>
      <c r="AB171" s="3122"/>
      <c r="AC171" s="3123"/>
      <c r="AD171" s="3124"/>
      <c r="AE171" s="3125"/>
      <c r="AF171" s="3126"/>
      <c r="AG171" s="3127"/>
      <c r="AH171" s="3128"/>
      <c r="AI171" s="3129"/>
      <c r="AJ171" s="3130"/>
      <c r="AK171" s="3131"/>
      <c r="AL171" s="3132"/>
      <c r="AM171" s="3133"/>
      <c r="AN171" s="3134"/>
      <c r="AO171" s="3135"/>
      <c r="AP171" s="3136"/>
      <c r="AQ171" s="3137"/>
      <c r="AR171" s="6996"/>
      <c r="AS171" s="6997"/>
      <c r="AT171" s="6998"/>
      <c r="AU171" s="6999"/>
      <c r="AV171" s="7000"/>
      <c r="AW171" s="7001"/>
      <c r="AX171" s="7002"/>
      <c r="AY171" s="7003"/>
      <c r="AZ171" s="7004"/>
      <c r="BA171" s="7005"/>
      <c r="BB171" s="7006"/>
      <c r="BC171" s="7007"/>
      <c r="BD171" s="7008"/>
      <c r="BE171" s="12292"/>
      <c r="BF171" s="12293"/>
      <c r="BG171" s="21860"/>
      <c r="BH171" s="12294"/>
      <c r="BI171" s="12295"/>
      <c r="BJ171" s="12296"/>
      <c r="BK171" s="12297"/>
      <c r="BL171" s="12298"/>
      <c r="BM171" s="12299"/>
      <c r="BN171" s="3138"/>
      <c r="BO171" s="3139"/>
      <c r="BP171" s="12300"/>
      <c r="BQ171" s="12301"/>
      <c r="BR171" s="3140"/>
      <c r="BS171" s="12302"/>
      <c r="BT171" s="12303"/>
      <c r="BU171" s="12304"/>
      <c r="BV171" s="12305"/>
      <c r="BW171" s="12306"/>
      <c r="BX171" s="12307"/>
      <c r="BY171" s="12308"/>
      <c r="BZ171" s="12309"/>
      <c r="CA171" s="12310"/>
      <c r="CB171" s="12311"/>
      <c r="CC171" s="12312"/>
      <c r="CD171" s="12313"/>
      <c r="CE171" s="12314"/>
      <c r="CF171" s="12315"/>
      <c r="CG171" s="12316"/>
      <c r="CH171" s="12317"/>
      <c r="CI171" s="12318"/>
      <c r="CJ171" s="12319"/>
      <c r="CK171" s="12320"/>
      <c r="CL171" s="12321"/>
      <c r="CM171" s="12322"/>
      <c r="CN171" s="12323"/>
      <c r="CO171" s="12324"/>
      <c r="CP171" s="12325"/>
      <c r="CQ171" s="12326"/>
      <c r="CR171" s="12327"/>
      <c r="CS171" s="12328"/>
      <c r="CT171" s="12329"/>
      <c r="CU171" s="12330"/>
      <c r="CV171" s="12331"/>
      <c r="CW171" s="12332"/>
      <c r="CX171" s="12333"/>
      <c r="CY171" s="12334"/>
      <c r="CZ171" s="12335"/>
      <c r="DA171" s="12336"/>
      <c r="DB171" s="12337"/>
      <c r="DC171" s="12338"/>
      <c r="DD171" s="12339"/>
      <c r="DE171" s="12340"/>
      <c r="DF171" s="12341"/>
      <c r="DG171" s="12342"/>
      <c r="DH171" s="12343"/>
      <c r="DI171" s="12344"/>
      <c r="DJ171" s="12345"/>
      <c r="DK171" s="12346"/>
      <c r="DL171" s="12347"/>
      <c r="DM171" s="12348"/>
      <c r="DN171" s="12349"/>
      <c r="DO171" s="12350"/>
      <c r="DP171" s="12351"/>
      <c r="DQ171" s="12352"/>
      <c r="DR171" s="12353"/>
      <c r="DS171" s="12354"/>
      <c r="DT171" s="12355"/>
      <c r="DU171" s="12356"/>
      <c r="DV171" s="12357"/>
      <c r="DW171" s="12358"/>
      <c r="DX171" s="12359"/>
      <c r="DY171" s="12360"/>
      <c r="DZ171" s="12361"/>
      <c r="EA171" s="12362"/>
      <c r="EB171" s="12363"/>
      <c r="EC171" s="12364"/>
      <c r="ED171" s="12365"/>
      <c r="EE171" s="12366"/>
      <c r="EF171" s="12367"/>
      <c r="EG171" s="12368"/>
      <c r="EH171" s="12369"/>
      <c r="EI171" s="12370"/>
      <c r="EJ171" s="12371"/>
      <c r="EK171" s="12372"/>
      <c r="EL171" s="12373"/>
      <c r="EM171" s="21536"/>
      <c r="EN171" s="21537"/>
      <c r="EO171" s="12374"/>
      <c r="EP171" s="12375"/>
      <c r="EQ171" s="21538"/>
      <c r="ER171" s="12376"/>
      <c r="ES171" s="12377"/>
      <c r="ET171" s="12378"/>
      <c r="EU171" s="12379"/>
      <c r="EV171" s="12380"/>
      <c r="EW171" s="12381"/>
      <c r="EX171" s="3141"/>
      <c r="EY171" s="3142"/>
      <c r="EZ171" s="12382"/>
      <c r="FA171" s="12383"/>
      <c r="FB171" s="3143"/>
      <c r="FC171" s="12384"/>
      <c r="FD171" s="12385"/>
      <c r="FE171" s="12386"/>
      <c r="FF171" s="12387"/>
      <c r="FG171" s="12388"/>
      <c r="FH171" s="5696"/>
      <c r="FI171" s="22650"/>
      <c r="FJ171" s="22651"/>
      <c r="FK171" s="23442"/>
      <c r="FL171" s="23443"/>
      <c r="FM171" s="22652"/>
      <c r="FN171" s="23444"/>
      <c r="FO171" s="23445"/>
      <c r="FP171" s="22653"/>
      <c r="FQ171" s="22654"/>
      <c r="FR171" s="22655"/>
      <c r="FS171" s="23446"/>
      <c r="FT171" s="3144"/>
      <c r="FU171" s="1184" t="s">
        <v>713</v>
      </c>
      <c r="FV171" s="1568"/>
      <c r="FW171" s="1550"/>
      <c r="FX171" s="1550" t="str">
        <f t="shared" si="3"/>
        <v>Добавить значение признака дифференциации</v>
      </c>
      <c r="FY171" s="1550"/>
      <c r="FZ171" s="1550"/>
      <c r="GA171" s="1561">
        <v>0</v>
      </c>
    </row>
    <row r="172" spans="1:183" s="1747" customFormat="1" ht="21" customHeight="1">
      <c r="A172" s="1289"/>
      <c r="B172" s="1289"/>
      <c r="C172" s="1289"/>
      <c r="D172" s="1289"/>
      <c r="E172" s="24089"/>
      <c r="F172" s="24089"/>
      <c r="G172" s="24089" t="s">
        <v>95</v>
      </c>
      <c r="H172" s="24089"/>
      <c r="I172" s="24090"/>
      <c r="J172" s="1289"/>
      <c r="K172" s="1289"/>
      <c r="L172" s="1295"/>
      <c r="M172" s="1674"/>
      <c r="N172" s="1674"/>
      <c r="O172" s="1674"/>
      <c r="P172" s="24092"/>
      <c r="Q172" s="1978"/>
      <c r="R172" s="292"/>
      <c r="S172" s="3145"/>
      <c r="T172" s="3146" t="s">
        <v>641</v>
      </c>
      <c r="U172" s="3147"/>
      <c r="V172" s="3148"/>
      <c r="W172" s="3149"/>
      <c r="X172" s="3150"/>
      <c r="Y172" s="3151"/>
      <c r="Z172" s="3152"/>
      <c r="AA172" s="3153"/>
      <c r="AB172" s="3154"/>
      <c r="AC172" s="3155"/>
      <c r="AD172" s="3156"/>
      <c r="AE172" s="3157"/>
      <c r="AF172" s="3158"/>
      <c r="AG172" s="3159"/>
      <c r="AH172" s="3160"/>
      <c r="AI172" s="3161"/>
      <c r="AJ172" s="3162"/>
      <c r="AK172" s="3163"/>
      <c r="AL172" s="3164"/>
      <c r="AM172" s="3165"/>
      <c r="AN172" s="3166"/>
      <c r="AO172" s="3167"/>
      <c r="AP172" s="3168"/>
      <c r="AQ172" s="3169"/>
      <c r="AR172" s="7009"/>
      <c r="AS172" s="7010"/>
      <c r="AT172" s="7011"/>
      <c r="AU172" s="7012"/>
      <c r="AV172" s="7013"/>
      <c r="AW172" s="7014"/>
      <c r="AX172" s="7015"/>
      <c r="AY172" s="7016"/>
      <c r="AZ172" s="7017"/>
      <c r="BA172" s="7018"/>
      <c r="BB172" s="7019"/>
      <c r="BC172" s="7020"/>
      <c r="BD172" s="7021"/>
      <c r="BE172" s="12389"/>
      <c r="BF172" s="12390"/>
      <c r="BG172" s="21861"/>
      <c r="BH172" s="12391"/>
      <c r="BI172" s="12392"/>
      <c r="BJ172" s="12393"/>
      <c r="BK172" s="12394"/>
      <c r="BL172" s="12395"/>
      <c r="BM172" s="12396"/>
      <c r="BN172" s="3170"/>
      <c r="BO172" s="3171"/>
      <c r="BP172" s="12397"/>
      <c r="BQ172" s="12398"/>
      <c r="BR172" s="3172"/>
      <c r="BS172" s="12399"/>
      <c r="BT172" s="12400"/>
      <c r="BU172" s="12401"/>
      <c r="BV172" s="12402"/>
      <c r="BW172" s="12403"/>
      <c r="BX172" s="12404"/>
      <c r="BY172" s="12405"/>
      <c r="BZ172" s="12406"/>
      <c r="CA172" s="12407"/>
      <c r="CB172" s="12408"/>
      <c r="CC172" s="12409"/>
      <c r="CD172" s="12410"/>
      <c r="CE172" s="12411"/>
      <c r="CF172" s="12412"/>
      <c r="CG172" s="12413"/>
      <c r="CH172" s="12414"/>
      <c r="CI172" s="12415"/>
      <c r="CJ172" s="12416"/>
      <c r="CK172" s="12417"/>
      <c r="CL172" s="12418"/>
      <c r="CM172" s="12419"/>
      <c r="CN172" s="12420"/>
      <c r="CO172" s="12421"/>
      <c r="CP172" s="12422"/>
      <c r="CQ172" s="12423"/>
      <c r="CR172" s="12424"/>
      <c r="CS172" s="12425"/>
      <c r="CT172" s="12426"/>
      <c r="CU172" s="12427"/>
      <c r="CV172" s="12428"/>
      <c r="CW172" s="12429"/>
      <c r="CX172" s="12430"/>
      <c r="CY172" s="12431"/>
      <c r="CZ172" s="12432"/>
      <c r="DA172" s="12433"/>
      <c r="DB172" s="12434"/>
      <c r="DC172" s="12435"/>
      <c r="DD172" s="12436"/>
      <c r="DE172" s="12437"/>
      <c r="DF172" s="12438"/>
      <c r="DG172" s="12439"/>
      <c r="DH172" s="12440"/>
      <c r="DI172" s="12441"/>
      <c r="DJ172" s="12442"/>
      <c r="DK172" s="12443"/>
      <c r="DL172" s="12444"/>
      <c r="DM172" s="12445"/>
      <c r="DN172" s="12446"/>
      <c r="DO172" s="12447"/>
      <c r="DP172" s="12448"/>
      <c r="DQ172" s="12449"/>
      <c r="DR172" s="12450"/>
      <c r="DS172" s="12451"/>
      <c r="DT172" s="12452"/>
      <c r="DU172" s="12453"/>
      <c r="DV172" s="12454"/>
      <c r="DW172" s="12455"/>
      <c r="DX172" s="12456"/>
      <c r="DY172" s="12457"/>
      <c r="DZ172" s="12458"/>
      <c r="EA172" s="12459"/>
      <c r="EB172" s="12460"/>
      <c r="EC172" s="12461"/>
      <c r="ED172" s="12462"/>
      <c r="EE172" s="12463"/>
      <c r="EF172" s="12464"/>
      <c r="EG172" s="12465"/>
      <c r="EH172" s="12466"/>
      <c r="EI172" s="12467"/>
      <c r="EJ172" s="12468"/>
      <c r="EK172" s="12469"/>
      <c r="EL172" s="12470"/>
      <c r="EM172" s="21539"/>
      <c r="EN172" s="21540"/>
      <c r="EO172" s="12471"/>
      <c r="EP172" s="12472"/>
      <c r="EQ172" s="21541"/>
      <c r="ER172" s="12473"/>
      <c r="ES172" s="12474"/>
      <c r="ET172" s="12475"/>
      <c r="EU172" s="12476"/>
      <c r="EV172" s="12477"/>
      <c r="EW172" s="12478"/>
      <c r="EX172" s="3173"/>
      <c r="EY172" s="3174"/>
      <c r="EZ172" s="12479"/>
      <c r="FA172" s="12480"/>
      <c r="FB172" s="3175"/>
      <c r="FC172" s="12481"/>
      <c r="FD172" s="12482"/>
      <c r="FE172" s="12483"/>
      <c r="FF172" s="12484"/>
      <c r="FG172" s="12485"/>
      <c r="FH172" s="5697"/>
      <c r="FI172" s="22656"/>
      <c r="FJ172" s="22657"/>
      <c r="FK172" s="23447"/>
      <c r="FL172" s="23448"/>
      <c r="FM172" s="22658"/>
      <c r="FN172" s="23449"/>
      <c r="FO172" s="23450"/>
      <c r="FP172" s="22659"/>
      <c r="FQ172" s="22660"/>
      <c r="FR172" s="22661"/>
      <c r="FS172" s="23451"/>
      <c r="FT172" s="3176"/>
      <c r="FU172" s="3177"/>
      <c r="FV172" s="1568"/>
      <c r="FW172" s="1550"/>
      <c r="FX172" s="1550" t="str">
        <f t="shared" si="3"/>
        <v>Добавить группу потребителей</v>
      </c>
      <c r="FY172" s="1550"/>
      <c r="FZ172" s="1550"/>
      <c r="GA172" s="1561">
        <v>0</v>
      </c>
    </row>
    <row r="173" spans="1:183" s="1747" customFormat="1" ht="21" customHeight="1">
      <c r="A173" s="1289"/>
      <c r="B173" s="1289"/>
      <c r="C173" s="1289"/>
      <c r="D173" s="1289"/>
      <c r="E173" s="24089"/>
      <c r="F173" s="24089"/>
      <c r="G173" s="24089" t="s">
        <v>95</v>
      </c>
      <c r="H173" s="24088"/>
      <c r="I173" s="1289"/>
      <c r="J173" s="1289"/>
      <c r="K173" s="1289"/>
      <c r="L173" s="1295"/>
      <c r="M173" s="1291"/>
      <c r="N173" s="1291"/>
      <c r="O173" s="1292"/>
      <c r="P173" s="1720"/>
      <c r="Q173" s="311"/>
      <c r="R173" s="291"/>
      <c r="S173" s="3178"/>
      <c r="T173" s="3179" t="s">
        <v>714</v>
      </c>
      <c r="U173" s="3180"/>
      <c r="V173" s="3181"/>
      <c r="W173" s="3182"/>
      <c r="X173" s="3183"/>
      <c r="Y173" s="3184"/>
      <c r="Z173" s="3185"/>
      <c r="AA173" s="3186"/>
      <c r="AB173" s="3187"/>
      <c r="AC173" s="3188"/>
      <c r="AD173" s="3189"/>
      <c r="AE173" s="3190"/>
      <c r="AF173" s="3191"/>
      <c r="AG173" s="3192"/>
      <c r="AH173" s="3193"/>
      <c r="AI173" s="3194"/>
      <c r="AJ173" s="3195"/>
      <c r="AK173" s="3196"/>
      <c r="AL173" s="3197"/>
      <c r="AM173" s="3198"/>
      <c r="AN173" s="3199"/>
      <c r="AO173" s="3200"/>
      <c r="AP173" s="3201"/>
      <c r="AQ173" s="3202"/>
      <c r="AR173" s="7022"/>
      <c r="AS173" s="7023"/>
      <c r="AT173" s="7024"/>
      <c r="AU173" s="7025"/>
      <c r="AV173" s="7026"/>
      <c r="AW173" s="7027"/>
      <c r="AX173" s="7028"/>
      <c r="AY173" s="7029"/>
      <c r="AZ173" s="7030"/>
      <c r="BA173" s="7031"/>
      <c r="BB173" s="7032"/>
      <c r="BC173" s="7033"/>
      <c r="BD173" s="7034"/>
      <c r="BE173" s="12486"/>
      <c r="BF173" s="12487"/>
      <c r="BG173" s="21862"/>
      <c r="BH173" s="12488"/>
      <c r="BI173" s="12489"/>
      <c r="BJ173" s="12490"/>
      <c r="BK173" s="12491"/>
      <c r="BL173" s="12492"/>
      <c r="BM173" s="12493"/>
      <c r="BN173" s="3203"/>
      <c r="BO173" s="3204"/>
      <c r="BP173" s="12494"/>
      <c r="BQ173" s="12495"/>
      <c r="BR173" s="3205"/>
      <c r="BS173" s="12496"/>
      <c r="BT173" s="12497"/>
      <c r="BU173" s="12498"/>
      <c r="BV173" s="12499"/>
      <c r="BW173" s="12500"/>
      <c r="BX173" s="12501"/>
      <c r="BY173" s="12502"/>
      <c r="BZ173" s="12503"/>
      <c r="CA173" s="12504"/>
      <c r="CB173" s="12505"/>
      <c r="CC173" s="12506"/>
      <c r="CD173" s="12507"/>
      <c r="CE173" s="12508"/>
      <c r="CF173" s="12509"/>
      <c r="CG173" s="12510"/>
      <c r="CH173" s="12511"/>
      <c r="CI173" s="12512"/>
      <c r="CJ173" s="12513"/>
      <c r="CK173" s="12514"/>
      <c r="CL173" s="12515"/>
      <c r="CM173" s="12516"/>
      <c r="CN173" s="12517"/>
      <c r="CO173" s="12518"/>
      <c r="CP173" s="12519"/>
      <c r="CQ173" s="12520"/>
      <c r="CR173" s="12521"/>
      <c r="CS173" s="12522"/>
      <c r="CT173" s="12523"/>
      <c r="CU173" s="12524"/>
      <c r="CV173" s="12525"/>
      <c r="CW173" s="12526"/>
      <c r="CX173" s="12527"/>
      <c r="CY173" s="12528"/>
      <c r="CZ173" s="12529"/>
      <c r="DA173" s="12530"/>
      <c r="DB173" s="12531"/>
      <c r="DC173" s="12532"/>
      <c r="DD173" s="12533"/>
      <c r="DE173" s="12534"/>
      <c r="DF173" s="12535"/>
      <c r="DG173" s="12536"/>
      <c r="DH173" s="12537"/>
      <c r="DI173" s="12538"/>
      <c r="DJ173" s="12539"/>
      <c r="DK173" s="12540"/>
      <c r="DL173" s="12541"/>
      <c r="DM173" s="12542"/>
      <c r="DN173" s="12543"/>
      <c r="DO173" s="12544"/>
      <c r="DP173" s="12545"/>
      <c r="DQ173" s="12546"/>
      <c r="DR173" s="12547"/>
      <c r="DS173" s="12548"/>
      <c r="DT173" s="12549"/>
      <c r="DU173" s="12550"/>
      <c r="DV173" s="12551"/>
      <c r="DW173" s="12552"/>
      <c r="DX173" s="12553"/>
      <c r="DY173" s="12554"/>
      <c r="DZ173" s="12555"/>
      <c r="EA173" s="12556"/>
      <c r="EB173" s="12557"/>
      <c r="EC173" s="12558"/>
      <c r="ED173" s="12559"/>
      <c r="EE173" s="12560"/>
      <c r="EF173" s="12561"/>
      <c r="EG173" s="12562"/>
      <c r="EH173" s="12563"/>
      <c r="EI173" s="12564"/>
      <c r="EJ173" s="12565"/>
      <c r="EK173" s="12566"/>
      <c r="EL173" s="12567"/>
      <c r="EM173" s="21542"/>
      <c r="EN173" s="21543"/>
      <c r="EO173" s="12568"/>
      <c r="EP173" s="12569"/>
      <c r="EQ173" s="21544"/>
      <c r="ER173" s="12570"/>
      <c r="ES173" s="12571"/>
      <c r="ET173" s="12572"/>
      <c r="EU173" s="12573"/>
      <c r="EV173" s="12574"/>
      <c r="EW173" s="12575"/>
      <c r="EX173" s="3206"/>
      <c r="EY173" s="3207"/>
      <c r="EZ173" s="12576"/>
      <c r="FA173" s="12577"/>
      <c r="FB173" s="3208"/>
      <c r="FC173" s="12578"/>
      <c r="FD173" s="12579"/>
      <c r="FE173" s="12580"/>
      <c r="FF173" s="12581"/>
      <c r="FG173" s="12582"/>
      <c r="FH173" s="5698"/>
      <c r="FI173" s="22662"/>
      <c r="FJ173" s="22663"/>
      <c r="FK173" s="23452"/>
      <c r="FL173" s="23453"/>
      <c r="FM173" s="22664"/>
      <c r="FN173" s="23454"/>
      <c r="FO173" s="23455"/>
      <c r="FP173" s="22665"/>
      <c r="FQ173" s="22666"/>
      <c r="FR173" s="22667"/>
      <c r="FS173" s="23456"/>
      <c r="FT173" s="3209"/>
      <c r="FU173" s="3210"/>
      <c r="FV173" s="1568"/>
      <c r="FW173" s="1550"/>
      <c r="FX173" s="1550" t="str">
        <f t="shared" si="3"/>
        <v>Добавить наименование признака дифференциации</v>
      </c>
      <c r="FY173" s="1550"/>
      <c r="FZ173" s="1550"/>
      <c r="GA173" s="1561">
        <v>0</v>
      </c>
    </row>
    <row r="174" spans="1:183" s="558" customFormat="1" ht="14.25" customHeight="1">
      <c r="A174" s="1269"/>
      <c r="B174" s="1269"/>
      <c r="C174" s="1269"/>
      <c r="D174" s="1269"/>
      <c r="E174" s="24089"/>
      <c r="F174" s="24088" t="s">
        <v>81</v>
      </c>
      <c r="G174" s="1269"/>
      <c r="H174" s="1269"/>
      <c r="I174" s="1269"/>
      <c r="J174" s="1269"/>
      <c r="K174" s="1269"/>
      <c r="L174" s="1471"/>
      <c r="M174" s="1247"/>
      <c r="N174" s="1247"/>
      <c r="O174" s="1568"/>
      <c r="P174" s="1242"/>
      <c r="Q174" s="1270"/>
      <c r="R174" s="1242"/>
      <c r="S174" s="1248"/>
      <c r="T174" s="1251" t="s">
        <v>370</v>
      </c>
      <c r="U174" s="1250"/>
      <c r="V174" s="1250"/>
      <c r="W174" s="1250"/>
      <c r="X174" s="1250"/>
      <c r="Y174" s="1250"/>
      <c r="Z174" s="1250"/>
      <c r="AA174" s="1250"/>
      <c r="AB174" s="1250"/>
      <c r="AC174" s="1250"/>
      <c r="AD174" s="1250"/>
      <c r="AE174" s="1250"/>
      <c r="AF174" s="1250"/>
      <c r="AG174" s="1250"/>
      <c r="AH174" s="1250"/>
      <c r="AI174" s="1250"/>
      <c r="AJ174" s="1250"/>
      <c r="AK174" s="1250"/>
      <c r="AL174" s="1250"/>
      <c r="AM174" s="1250"/>
      <c r="AN174" s="1250"/>
      <c r="AO174" s="1250"/>
      <c r="AP174" s="1250"/>
      <c r="AQ174" s="1250"/>
      <c r="AR174" s="1250"/>
      <c r="AS174" s="1250"/>
      <c r="AT174" s="1250"/>
      <c r="AU174" s="1250"/>
      <c r="AV174" s="1250"/>
      <c r="AW174" s="1250"/>
      <c r="AX174" s="1250"/>
      <c r="AY174" s="1250"/>
      <c r="AZ174" s="1250"/>
      <c r="BA174" s="1250"/>
      <c r="BB174" s="1250"/>
      <c r="BC174" s="1250"/>
      <c r="BD174" s="1250"/>
      <c r="BE174" s="1250"/>
      <c r="BF174" s="1250"/>
      <c r="BG174" s="1250"/>
      <c r="BH174" s="1250"/>
      <c r="BI174" s="1250"/>
      <c r="BJ174" s="1250"/>
      <c r="BK174" s="1250"/>
      <c r="BL174" s="1250"/>
      <c r="BM174" s="1250"/>
      <c r="BN174" s="1250"/>
      <c r="BO174" s="1250"/>
      <c r="BP174" s="1250"/>
      <c r="BQ174" s="1250"/>
      <c r="BR174" s="1250"/>
      <c r="BS174" s="1250"/>
      <c r="BT174" s="1250"/>
      <c r="BU174" s="1250"/>
      <c r="BV174" s="1250"/>
      <c r="BW174" s="1250"/>
      <c r="BX174" s="1250"/>
      <c r="BY174" s="1250"/>
      <c r="BZ174" s="1250"/>
      <c r="CA174" s="1250"/>
      <c r="CB174" s="1250"/>
      <c r="CC174" s="1250"/>
      <c r="CD174" s="1250"/>
      <c r="CE174" s="1250"/>
      <c r="CF174" s="1250"/>
      <c r="CG174" s="1250"/>
      <c r="CH174" s="1250"/>
      <c r="CI174" s="1250"/>
      <c r="CJ174" s="1250"/>
      <c r="CK174" s="1250"/>
      <c r="CL174" s="1250"/>
      <c r="CM174" s="1250"/>
      <c r="CN174" s="1250"/>
      <c r="CO174" s="1250"/>
      <c r="CP174" s="1250"/>
      <c r="CQ174" s="1250"/>
      <c r="CR174" s="1250"/>
      <c r="CS174" s="1250"/>
      <c r="CT174" s="1250"/>
      <c r="CU174" s="1250"/>
      <c r="CV174" s="1250"/>
      <c r="CW174" s="1250"/>
      <c r="CX174" s="1250"/>
      <c r="CY174" s="1250"/>
      <c r="CZ174" s="1250"/>
      <c r="DA174" s="1250"/>
      <c r="DB174" s="1250"/>
      <c r="DC174" s="1250"/>
      <c r="DD174" s="1250"/>
      <c r="DE174" s="1250"/>
      <c r="DF174" s="1250"/>
      <c r="DG174" s="1250"/>
      <c r="DH174" s="1250"/>
      <c r="DI174" s="1250"/>
      <c r="DJ174" s="1250"/>
      <c r="DK174" s="1250"/>
      <c r="DL174" s="1250"/>
      <c r="DM174" s="1250"/>
      <c r="DN174" s="1250"/>
      <c r="DO174" s="1250"/>
      <c r="DP174" s="1250"/>
      <c r="DQ174" s="1250"/>
      <c r="DR174" s="1250"/>
      <c r="DS174" s="1250"/>
      <c r="DT174" s="1250"/>
      <c r="DU174" s="1250"/>
      <c r="DV174" s="1250"/>
      <c r="DW174" s="1250"/>
      <c r="DX174" s="1250"/>
      <c r="DY174" s="1250"/>
      <c r="DZ174" s="1250"/>
      <c r="EA174" s="1250"/>
      <c r="EB174" s="1250"/>
      <c r="EC174" s="1250"/>
      <c r="ED174" s="1250"/>
      <c r="EE174" s="1250"/>
      <c r="EF174" s="1250"/>
      <c r="EG174" s="1250"/>
      <c r="EH174" s="1250"/>
      <c r="EI174" s="1250"/>
      <c r="EJ174" s="1250"/>
      <c r="EK174" s="1250"/>
      <c r="EL174" s="1250"/>
      <c r="EM174" s="1250"/>
      <c r="EN174" s="1250"/>
      <c r="EO174" s="1250"/>
      <c r="EP174" s="1250"/>
      <c r="EQ174" s="1250"/>
      <c r="ER174" s="1250"/>
      <c r="ES174" s="1250"/>
      <c r="ET174" s="1250"/>
      <c r="EU174" s="1250"/>
      <c r="EV174" s="1250"/>
      <c r="EW174" s="1250"/>
      <c r="EX174" s="1250"/>
      <c r="EY174" s="1250"/>
      <c r="EZ174" s="1250"/>
      <c r="FA174" s="1250"/>
      <c r="FB174" s="1250"/>
      <c r="FC174" s="1250"/>
      <c r="FD174" s="1250"/>
      <c r="FE174" s="1250"/>
      <c r="FF174" s="1250"/>
      <c r="FG174" s="1250"/>
      <c r="FH174" s="1250"/>
      <c r="FI174" s="1250"/>
      <c r="FJ174" s="1250"/>
      <c r="FK174" s="1250"/>
      <c r="FL174" s="1250"/>
      <c r="FM174" s="1250"/>
      <c r="FN174" s="1250"/>
      <c r="FO174" s="1250"/>
      <c r="FP174" s="1250"/>
      <c r="FQ174" s="1250"/>
      <c r="FR174" s="1250"/>
      <c r="FS174" s="1250"/>
      <c r="FT174" s="1250"/>
      <c r="FU174" s="1250"/>
      <c r="FV174" s="1568"/>
      <c r="FW174" s="1550"/>
      <c r="FX174" s="1550" t="str">
        <f t="shared" si="3"/>
        <v>Добавить централизованную систему для дифференциации</v>
      </c>
      <c r="FY174" s="1550"/>
      <c r="FZ174" s="1550"/>
      <c r="GA174" s="1568">
        <v>0</v>
      </c>
    </row>
    <row r="175" spans="1:183" s="1747" customFormat="1" ht="23.25" customHeight="1">
      <c r="A175" s="1289"/>
      <c r="B175" s="1289" t="s">
        <v>390</v>
      </c>
      <c r="C175" s="1289"/>
      <c r="D175" s="1289"/>
      <c r="E175" s="24089"/>
      <c r="F175" s="24088" t="s">
        <v>109</v>
      </c>
      <c r="G175" s="1289"/>
      <c r="H175" s="1289"/>
      <c r="I175" s="1289"/>
      <c r="J175" s="1289"/>
      <c r="K175" s="1289"/>
      <c r="L175" s="1295"/>
      <c r="M175" s="1291"/>
      <c r="N175" s="1291"/>
      <c r="O175" s="1291"/>
      <c r="P175" s="1971"/>
      <c r="Q175" s="288"/>
      <c r="R175" s="289"/>
      <c r="S175" s="1976" t="str">
        <f>INDEX(PT_DIFFERENTIATION_NUM_TER,MATCH(B175,PT_DIFFERENTIATION_TER_ID,0))</f>
        <v>1.5</v>
      </c>
      <c r="T175" s="1448" t="s">
        <v>626</v>
      </c>
      <c r="U175" s="236"/>
      <c r="V175" s="24082"/>
      <c r="W175" s="24083"/>
      <c r="X175" s="24083"/>
      <c r="Y175" s="24083"/>
      <c r="Z175" s="24083"/>
      <c r="AA175" s="24083"/>
      <c r="AB175" s="24083"/>
      <c r="AC175" s="24083"/>
      <c r="AD175" s="24083"/>
      <c r="AE175" s="24083"/>
      <c r="AF175" s="24084"/>
      <c r="AG175" s="24082" t="str">
        <f>INDEX(PT_DIFFERENTIATION_TER,MATCH(B175,PT_DIFFERENTIATION_TER_ID,0))</f>
        <v>Территория 5</v>
      </c>
      <c r="AH175" s="24083"/>
      <c r="AI175" s="24083"/>
      <c r="AJ175" s="24083"/>
      <c r="AK175" s="24083"/>
      <c r="AL175" s="24083"/>
      <c r="AM175" s="24083"/>
      <c r="AN175" s="24083"/>
      <c r="AO175" s="24083"/>
      <c r="AP175" s="24083"/>
      <c r="AQ175" s="24083"/>
      <c r="AR175" s="24173"/>
      <c r="AS175" s="24174"/>
      <c r="AT175" s="24174"/>
      <c r="AU175" s="24174"/>
      <c r="AV175" s="24174"/>
      <c r="AW175" s="24174"/>
      <c r="AX175" s="24174"/>
      <c r="AY175" s="24174"/>
      <c r="AZ175" s="24174"/>
      <c r="BA175" s="24174"/>
      <c r="BB175" s="24175"/>
      <c r="BC175" s="24173"/>
      <c r="BD175" s="24174"/>
      <c r="BE175" s="24174"/>
      <c r="BF175" s="24174"/>
      <c r="BG175" s="24174"/>
      <c r="BH175" s="24174"/>
      <c r="BI175" s="24174"/>
      <c r="BJ175" s="24174"/>
      <c r="BK175" s="24174"/>
      <c r="BL175" s="24174"/>
      <c r="BM175" s="24175"/>
      <c r="BN175" s="24082"/>
      <c r="BO175" s="24083"/>
      <c r="BP175" s="24174"/>
      <c r="BQ175" s="24174"/>
      <c r="BR175" s="24083"/>
      <c r="BS175" s="24174"/>
      <c r="BT175" s="24174"/>
      <c r="BU175" s="24174"/>
      <c r="BV175" s="24174"/>
      <c r="BW175" s="24174"/>
      <c r="BX175" s="24175"/>
      <c r="BY175" s="24173"/>
      <c r="BZ175" s="24174"/>
      <c r="CA175" s="24174"/>
      <c r="CB175" s="24174"/>
      <c r="CC175" s="24174"/>
      <c r="CD175" s="24174"/>
      <c r="CE175" s="24174"/>
      <c r="CF175" s="24174"/>
      <c r="CG175" s="24174"/>
      <c r="CH175" s="24174"/>
      <c r="CI175" s="24175"/>
      <c r="CJ175" s="24173"/>
      <c r="CK175" s="24174"/>
      <c r="CL175" s="24174"/>
      <c r="CM175" s="24174"/>
      <c r="CN175" s="24174"/>
      <c r="CO175" s="24174"/>
      <c r="CP175" s="24174"/>
      <c r="CQ175" s="24174"/>
      <c r="CR175" s="24174"/>
      <c r="CS175" s="24174"/>
      <c r="CT175" s="24175"/>
      <c r="CU175" s="24173"/>
      <c r="CV175" s="24174"/>
      <c r="CW175" s="24174"/>
      <c r="CX175" s="24174"/>
      <c r="CY175" s="24174"/>
      <c r="CZ175" s="24174"/>
      <c r="DA175" s="24174"/>
      <c r="DB175" s="24174"/>
      <c r="DC175" s="24174"/>
      <c r="DD175" s="24174"/>
      <c r="DE175" s="24175"/>
      <c r="DF175" s="24173"/>
      <c r="DG175" s="24174"/>
      <c r="DH175" s="24174"/>
      <c r="DI175" s="24174"/>
      <c r="DJ175" s="24174"/>
      <c r="DK175" s="24174"/>
      <c r="DL175" s="24174"/>
      <c r="DM175" s="24174"/>
      <c r="DN175" s="24174"/>
      <c r="DO175" s="24174"/>
      <c r="DP175" s="24175"/>
      <c r="DQ175" s="24173"/>
      <c r="DR175" s="24174"/>
      <c r="DS175" s="24174"/>
      <c r="DT175" s="24174"/>
      <c r="DU175" s="24174"/>
      <c r="DV175" s="24174"/>
      <c r="DW175" s="24174"/>
      <c r="DX175" s="24174"/>
      <c r="DY175" s="24174"/>
      <c r="DZ175" s="24174"/>
      <c r="EA175" s="24175"/>
      <c r="EB175" s="24173"/>
      <c r="EC175" s="24174"/>
      <c r="ED175" s="24174"/>
      <c r="EE175" s="24174"/>
      <c r="EF175" s="24174"/>
      <c r="EG175" s="24174"/>
      <c r="EH175" s="24174"/>
      <c r="EI175" s="24174"/>
      <c r="EJ175" s="24174"/>
      <c r="EK175" s="24174"/>
      <c r="EL175" s="24175"/>
      <c r="EM175" s="24173"/>
      <c r="EN175" s="24174"/>
      <c r="EO175" s="24174"/>
      <c r="EP175" s="24174"/>
      <c r="EQ175" s="24174"/>
      <c r="ER175" s="24174"/>
      <c r="ES175" s="24174"/>
      <c r="ET175" s="24174"/>
      <c r="EU175" s="24174"/>
      <c r="EV175" s="24174"/>
      <c r="EW175" s="24175"/>
      <c r="EX175" s="24082"/>
      <c r="EY175" s="24083"/>
      <c r="EZ175" s="24174"/>
      <c r="FA175" s="24174"/>
      <c r="FB175" s="24083"/>
      <c r="FC175" s="24174"/>
      <c r="FD175" s="24174"/>
      <c r="FE175" s="24174"/>
      <c r="FF175" s="24174"/>
      <c r="FG175" s="24174"/>
      <c r="FH175" s="24175"/>
      <c r="FI175" s="24082"/>
      <c r="FJ175" s="24083"/>
      <c r="FK175" s="24174"/>
      <c r="FL175" s="24174"/>
      <c r="FM175" s="24083"/>
      <c r="FN175" s="24174"/>
      <c r="FO175" s="24174"/>
      <c r="FP175" s="24083"/>
      <c r="FQ175" s="24083"/>
      <c r="FR175" s="24083"/>
      <c r="FS175" s="24175"/>
      <c r="FT175" s="24084"/>
      <c r="FU175" s="1184" t="s">
        <v>627</v>
      </c>
      <c r="FV175" s="1568"/>
      <c r="FW175" s="1550"/>
      <c r="FX175" s="1550" t="str">
        <f t="shared" si="3"/>
        <v>Территория действия тарифа</v>
      </c>
      <c r="FY175" s="1550"/>
      <c r="FZ175" s="1550"/>
      <c r="GA175" s="1561">
        <v>0</v>
      </c>
    </row>
    <row r="176" spans="1:183" s="1747" customFormat="1" ht="23.25" customHeight="1">
      <c r="A176" s="1289"/>
      <c r="B176" s="1289"/>
      <c r="C176" s="1289" t="s">
        <v>391</v>
      </c>
      <c r="D176" s="1289"/>
      <c r="E176" s="24089"/>
      <c r="F176" s="24089" t="s">
        <v>82</v>
      </c>
      <c r="G176" s="24088">
        <v>1</v>
      </c>
      <c r="H176" s="1289"/>
      <c r="I176" s="1289"/>
      <c r="J176" s="1289"/>
      <c r="K176" s="1289"/>
      <c r="L176" s="1295"/>
      <c r="M176" s="1291"/>
      <c r="N176" s="1291"/>
      <c r="O176" s="1291"/>
      <c r="P176" s="290"/>
      <c r="Q176" s="288"/>
      <c r="R176" s="289"/>
      <c r="S176" s="1976" t="str">
        <f>INDEX(PT_DIFFERENTIATION_NUM_CS,MATCH(C176,PT_DIFFERENTIATION_CS_ID,0))</f>
        <v>1.5.1</v>
      </c>
      <c r="T176" s="245" t="s">
        <v>756</v>
      </c>
      <c r="U176" s="236"/>
      <c r="V176" s="24082"/>
      <c r="W176" s="24083"/>
      <c r="X176" s="24083"/>
      <c r="Y176" s="24083"/>
      <c r="Z176" s="24083"/>
      <c r="AA176" s="24083"/>
      <c r="AB176" s="24083"/>
      <c r="AC176" s="24083"/>
      <c r="AD176" s="24083"/>
      <c r="AE176" s="24083"/>
      <c r="AF176" s="24084"/>
      <c r="AG176" s="24082" t="str">
        <f>INDEX(PT_DIFFERENTIATION_CS,MATCH(C176,PT_DIFFERENTIATION_CS_ID,0))</f>
        <v>с. Карманово Гагаринского муниципального  округа Смоленской области</v>
      </c>
      <c r="AH176" s="24083"/>
      <c r="AI176" s="24083"/>
      <c r="AJ176" s="24083"/>
      <c r="AK176" s="24083"/>
      <c r="AL176" s="24083"/>
      <c r="AM176" s="24083"/>
      <c r="AN176" s="24083"/>
      <c r="AO176" s="24083"/>
      <c r="AP176" s="24083"/>
      <c r="AQ176" s="24083"/>
      <c r="AR176" s="24173"/>
      <c r="AS176" s="24174"/>
      <c r="AT176" s="24174"/>
      <c r="AU176" s="24174"/>
      <c r="AV176" s="24174"/>
      <c r="AW176" s="24174"/>
      <c r="AX176" s="24174"/>
      <c r="AY176" s="24174"/>
      <c r="AZ176" s="24174"/>
      <c r="BA176" s="24174"/>
      <c r="BB176" s="24175"/>
      <c r="BC176" s="24173"/>
      <c r="BD176" s="24174"/>
      <c r="BE176" s="24174"/>
      <c r="BF176" s="24174"/>
      <c r="BG176" s="24174"/>
      <c r="BH176" s="24174"/>
      <c r="BI176" s="24174"/>
      <c r="BJ176" s="24174"/>
      <c r="BK176" s="24174"/>
      <c r="BL176" s="24174"/>
      <c r="BM176" s="24175"/>
      <c r="BN176" s="24082"/>
      <c r="BO176" s="24083"/>
      <c r="BP176" s="24174"/>
      <c r="BQ176" s="24174"/>
      <c r="BR176" s="24083"/>
      <c r="BS176" s="24174"/>
      <c r="BT176" s="24174"/>
      <c r="BU176" s="24174"/>
      <c r="BV176" s="24174"/>
      <c r="BW176" s="24174"/>
      <c r="BX176" s="24175"/>
      <c r="BY176" s="24173"/>
      <c r="BZ176" s="24174"/>
      <c r="CA176" s="24174"/>
      <c r="CB176" s="24174"/>
      <c r="CC176" s="24174"/>
      <c r="CD176" s="24174"/>
      <c r="CE176" s="24174"/>
      <c r="CF176" s="24174"/>
      <c r="CG176" s="24174"/>
      <c r="CH176" s="24174"/>
      <c r="CI176" s="24175"/>
      <c r="CJ176" s="24173"/>
      <c r="CK176" s="24174"/>
      <c r="CL176" s="24174"/>
      <c r="CM176" s="24174"/>
      <c r="CN176" s="24174"/>
      <c r="CO176" s="24174"/>
      <c r="CP176" s="24174"/>
      <c r="CQ176" s="24174"/>
      <c r="CR176" s="24174"/>
      <c r="CS176" s="24174"/>
      <c r="CT176" s="24175"/>
      <c r="CU176" s="24173"/>
      <c r="CV176" s="24174"/>
      <c r="CW176" s="24174"/>
      <c r="CX176" s="24174"/>
      <c r="CY176" s="24174"/>
      <c r="CZ176" s="24174"/>
      <c r="DA176" s="24174"/>
      <c r="DB176" s="24174"/>
      <c r="DC176" s="24174"/>
      <c r="DD176" s="24174"/>
      <c r="DE176" s="24175"/>
      <c r="DF176" s="24173"/>
      <c r="DG176" s="24174"/>
      <c r="DH176" s="24174"/>
      <c r="DI176" s="24174"/>
      <c r="DJ176" s="24174"/>
      <c r="DK176" s="24174"/>
      <c r="DL176" s="24174"/>
      <c r="DM176" s="24174"/>
      <c r="DN176" s="24174"/>
      <c r="DO176" s="24174"/>
      <c r="DP176" s="24175"/>
      <c r="DQ176" s="24173"/>
      <c r="DR176" s="24174"/>
      <c r="DS176" s="24174"/>
      <c r="DT176" s="24174"/>
      <c r="DU176" s="24174"/>
      <c r="DV176" s="24174"/>
      <c r="DW176" s="24174"/>
      <c r="DX176" s="24174"/>
      <c r="DY176" s="24174"/>
      <c r="DZ176" s="24174"/>
      <c r="EA176" s="24175"/>
      <c r="EB176" s="24173"/>
      <c r="EC176" s="24174"/>
      <c r="ED176" s="24174"/>
      <c r="EE176" s="24174"/>
      <c r="EF176" s="24174"/>
      <c r="EG176" s="24174"/>
      <c r="EH176" s="24174"/>
      <c r="EI176" s="24174"/>
      <c r="EJ176" s="24174"/>
      <c r="EK176" s="24174"/>
      <c r="EL176" s="24175"/>
      <c r="EM176" s="24173"/>
      <c r="EN176" s="24174"/>
      <c r="EO176" s="24174"/>
      <c r="EP176" s="24174"/>
      <c r="EQ176" s="24174"/>
      <c r="ER176" s="24174"/>
      <c r="ES176" s="24174"/>
      <c r="ET176" s="24174"/>
      <c r="EU176" s="24174"/>
      <c r="EV176" s="24174"/>
      <c r="EW176" s="24175"/>
      <c r="EX176" s="24082"/>
      <c r="EY176" s="24083"/>
      <c r="EZ176" s="24174"/>
      <c r="FA176" s="24174"/>
      <c r="FB176" s="24083"/>
      <c r="FC176" s="24174"/>
      <c r="FD176" s="24174"/>
      <c r="FE176" s="24174"/>
      <c r="FF176" s="24174"/>
      <c r="FG176" s="24174"/>
      <c r="FH176" s="24175"/>
      <c r="FI176" s="24082"/>
      <c r="FJ176" s="24083"/>
      <c r="FK176" s="24174"/>
      <c r="FL176" s="24174"/>
      <c r="FM176" s="24083"/>
      <c r="FN176" s="24174"/>
      <c r="FO176" s="24174"/>
      <c r="FP176" s="24083"/>
      <c r="FQ176" s="24083"/>
      <c r="FR176" s="24083"/>
      <c r="FS176" s="24175"/>
      <c r="FT176" s="24084"/>
      <c r="FU176" s="1184" t="s">
        <v>757</v>
      </c>
      <c r="FV176" s="1568"/>
      <c r="FW176" s="1550"/>
      <c r="FX176" s="1550" t="str">
        <f t="shared" si="3"/>
        <v>Наименование централизованной системы горячего водоснабжения</v>
      </c>
      <c r="FY176" s="1550"/>
      <c r="FZ176" s="1550"/>
      <c r="GA176" s="1561">
        <v>0</v>
      </c>
    </row>
    <row r="177" spans="1:183" s="1747" customFormat="1" ht="23.25" customHeight="1">
      <c r="A177" s="1289"/>
      <c r="B177" s="1289"/>
      <c r="C177" s="1289"/>
      <c r="D177" s="1289"/>
      <c r="E177" s="24089"/>
      <c r="F177" s="24089" t="s">
        <v>82</v>
      </c>
      <c r="G177" s="24089"/>
      <c r="H177" s="24089"/>
      <c r="I177" s="24090" t="str">
        <f>S176&amp;".1"</f>
        <v>1.5.1.1</v>
      </c>
      <c r="J177" s="1289"/>
      <c r="K177" s="1289"/>
      <c r="L177" s="1295"/>
      <c r="M177" s="1674"/>
      <c r="N177" s="1674"/>
      <c r="O177" s="1674"/>
      <c r="P177" s="24092">
        <v>1</v>
      </c>
      <c r="Q177" s="1978"/>
      <c r="R177" s="292"/>
      <c r="S177" s="1976" t="str">
        <f>$I177</f>
        <v>1.5.1.1</v>
      </c>
      <c r="T177" s="221" t="s">
        <v>709</v>
      </c>
      <c r="U177" s="236"/>
      <c r="V177" s="24156"/>
      <c r="W177" s="24157"/>
      <c r="X177" s="24157"/>
      <c r="Y177" s="24157"/>
      <c r="Z177" s="24157"/>
      <c r="AA177" s="24157"/>
      <c r="AB177" s="24157"/>
      <c r="AC177" s="24157"/>
      <c r="AD177" s="24157"/>
      <c r="AE177" s="24157"/>
      <c r="AF177" s="24158"/>
      <c r="AG177" s="24159"/>
      <c r="AH177" s="24160"/>
      <c r="AI177" s="24160"/>
      <c r="AJ177" s="24160"/>
      <c r="AK177" s="24160"/>
      <c r="AL177" s="24160"/>
      <c r="AM177" s="24160"/>
      <c r="AN177" s="24160"/>
      <c r="AO177" s="24160"/>
      <c r="AP177" s="24160"/>
      <c r="AQ177" s="24160"/>
      <c r="AR177" s="24176"/>
      <c r="AS177" s="24177"/>
      <c r="AT177" s="24177"/>
      <c r="AU177" s="24177"/>
      <c r="AV177" s="24177"/>
      <c r="AW177" s="24177"/>
      <c r="AX177" s="24177"/>
      <c r="AY177" s="24177"/>
      <c r="AZ177" s="24177"/>
      <c r="BA177" s="24177"/>
      <c r="BB177" s="24178"/>
      <c r="BC177" s="24176"/>
      <c r="BD177" s="24177"/>
      <c r="BE177" s="24177"/>
      <c r="BF177" s="24177"/>
      <c r="BG177" s="24177"/>
      <c r="BH177" s="24177"/>
      <c r="BI177" s="24177"/>
      <c r="BJ177" s="24177"/>
      <c r="BK177" s="24177"/>
      <c r="BL177" s="24177"/>
      <c r="BM177" s="24178"/>
      <c r="BN177" s="24156"/>
      <c r="BO177" s="24157"/>
      <c r="BP177" s="24177"/>
      <c r="BQ177" s="24177"/>
      <c r="BR177" s="24157"/>
      <c r="BS177" s="24177"/>
      <c r="BT177" s="24177"/>
      <c r="BU177" s="24177"/>
      <c r="BV177" s="24177"/>
      <c r="BW177" s="24177"/>
      <c r="BX177" s="24178"/>
      <c r="BY177" s="24176"/>
      <c r="BZ177" s="24177"/>
      <c r="CA177" s="24177"/>
      <c r="CB177" s="24177"/>
      <c r="CC177" s="24177"/>
      <c r="CD177" s="24177"/>
      <c r="CE177" s="24177"/>
      <c r="CF177" s="24177"/>
      <c r="CG177" s="24177"/>
      <c r="CH177" s="24177"/>
      <c r="CI177" s="24178"/>
      <c r="CJ177" s="24176"/>
      <c r="CK177" s="24177"/>
      <c r="CL177" s="24177"/>
      <c r="CM177" s="24177"/>
      <c r="CN177" s="24177"/>
      <c r="CO177" s="24177"/>
      <c r="CP177" s="24177"/>
      <c r="CQ177" s="24177"/>
      <c r="CR177" s="24177"/>
      <c r="CS177" s="24177"/>
      <c r="CT177" s="24178"/>
      <c r="CU177" s="24176"/>
      <c r="CV177" s="24177"/>
      <c r="CW177" s="24177"/>
      <c r="CX177" s="24177"/>
      <c r="CY177" s="24177"/>
      <c r="CZ177" s="24177"/>
      <c r="DA177" s="24177"/>
      <c r="DB177" s="24177"/>
      <c r="DC177" s="24177"/>
      <c r="DD177" s="24177"/>
      <c r="DE177" s="24178"/>
      <c r="DF177" s="24176"/>
      <c r="DG177" s="24177"/>
      <c r="DH177" s="24177"/>
      <c r="DI177" s="24177"/>
      <c r="DJ177" s="24177"/>
      <c r="DK177" s="24177"/>
      <c r="DL177" s="24177"/>
      <c r="DM177" s="24177"/>
      <c r="DN177" s="24177"/>
      <c r="DO177" s="24177"/>
      <c r="DP177" s="24178"/>
      <c r="DQ177" s="24176"/>
      <c r="DR177" s="24177"/>
      <c r="DS177" s="24177"/>
      <c r="DT177" s="24177"/>
      <c r="DU177" s="24177"/>
      <c r="DV177" s="24177"/>
      <c r="DW177" s="24177"/>
      <c r="DX177" s="24177"/>
      <c r="DY177" s="24177"/>
      <c r="DZ177" s="24177"/>
      <c r="EA177" s="24178"/>
      <c r="EB177" s="24176"/>
      <c r="EC177" s="24177"/>
      <c r="ED177" s="24177"/>
      <c r="EE177" s="24177"/>
      <c r="EF177" s="24177"/>
      <c r="EG177" s="24177"/>
      <c r="EH177" s="24177"/>
      <c r="EI177" s="24177"/>
      <c r="EJ177" s="24177"/>
      <c r="EK177" s="24177"/>
      <c r="EL177" s="24178"/>
      <c r="EM177" s="24176"/>
      <c r="EN177" s="24177"/>
      <c r="EO177" s="24177"/>
      <c r="EP177" s="24177"/>
      <c r="EQ177" s="24177"/>
      <c r="ER177" s="24177"/>
      <c r="ES177" s="24177"/>
      <c r="ET177" s="24177"/>
      <c r="EU177" s="24177"/>
      <c r="EV177" s="24177"/>
      <c r="EW177" s="24178"/>
      <c r="EX177" s="24156"/>
      <c r="EY177" s="24157"/>
      <c r="EZ177" s="24177"/>
      <c r="FA177" s="24177"/>
      <c r="FB177" s="24157"/>
      <c r="FC177" s="24177"/>
      <c r="FD177" s="24177"/>
      <c r="FE177" s="24177"/>
      <c r="FF177" s="24177"/>
      <c r="FG177" s="24177"/>
      <c r="FH177" s="24178"/>
      <c r="FI177" s="24156"/>
      <c r="FJ177" s="24157"/>
      <c r="FK177" s="24177"/>
      <c r="FL177" s="24177"/>
      <c r="FM177" s="24157"/>
      <c r="FN177" s="24177"/>
      <c r="FO177" s="24177"/>
      <c r="FP177" s="24157"/>
      <c r="FQ177" s="24157"/>
      <c r="FR177" s="24157"/>
      <c r="FS177" s="24178"/>
      <c r="FT177" s="24161"/>
      <c r="FU177" s="1184" t="s">
        <v>710</v>
      </c>
      <c r="FV177" s="1568"/>
      <c r="FW177" s="1550"/>
      <c r="FX177" s="1550" t="str">
        <f t="shared" si="3"/>
        <v>Наименование признака дифференциации</v>
      </c>
      <c r="FY177" s="1550"/>
      <c r="FZ177" s="1550"/>
      <c r="GA177" s="1561">
        <v>0</v>
      </c>
    </row>
    <row r="178" spans="1:183" s="1747" customFormat="1" ht="23.25" customHeight="1">
      <c r="A178" s="1289"/>
      <c r="B178" s="1289"/>
      <c r="C178" s="1289"/>
      <c r="D178" s="1289"/>
      <c r="E178" s="24089"/>
      <c r="F178" s="24089" t="s">
        <v>82</v>
      </c>
      <c r="G178" s="24089"/>
      <c r="H178" s="24089"/>
      <c r="I178" s="24091"/>
      <c r="J178" s="24090" t="str">
        <f>I177&amp;".1"</f>
        <v>1.5.1.1.1</v>
      </c>
      <c r="K178" s="1289"/>
      <c r="L178" s="1295" t="s">
        <v>635</v>
      </c>
      <c r="M178" s="1674"/>
      <c r="N178" s="1674"/>
      <c r="O178" s="1674"/>
      <c r="P178" s="24092"/>
      <c r="Q178" s="24092">
        <v>1</v>
      </c>
      <c r="R178" s="293"/>
      <c r="S178" s="1976" t="str">
        <f>$J178</f>
        <v>1.5.1.1.1</v>
      </c>
      <c r="T178" s="222" t="s">
        <v>636</v>
      </c>
      <c r="U178" s="236"/>
      <c r="V178" s="24076"/>
      <c r="W178" s="24077"/>
      <c r="X178" s="24077"/>
      <c r="Y178" s="24077"/>
      <c r="Z178" s="24077"/>
      <c r="AA178" s="24077"/>
      <c r="AB178" s="24077"/>
      <c r="AC178" s="24077"/>
      <c r="AD178" s="24077"/>
      <c r="AE178" s="24077"/>
      <c r="AF178" s="24078"/>
      <c r="AG178" s="24076" t="s">
        <v>769</v>
      </c>
      <c r="AH178" s="24077"/>
      <c r="AI178" s="24077"/>
      <c r="AJ178" s="24077"/>
      <c r="AK178" s="24077"/>
      <c r="AL178" s="24077"/>
      <c r="AM178" s="24077"/>
      <c r="AN178" s="24077"/>
      <c r="AO178" s="24077"/>
      <c r="AP178" s="24077"/>
      <c r="AQ178" s="24077"/>
      <c r="AR178" s="24179"/>
      <c r="AS178" s="24180"/>
      <c r="AT178" s="24180"/>
      <c r="AU178" s="24180"/>
      <c r="AV178" s="24180"/>
      <c r="AW178" s="24180"/>
      <c r="AX178" s="24180"/>
      <c r="AY178" s="24180"/>
      <c r="AZ178" s="24180"/>
      <c r="BA178" s="24180"/>
      <c r="BB178" s="24181"/>
      <c r="BC178" s="24179"/>
      <c r="BD178" s="24180"/>
      <c r="BE178" s="24180"/>
      <c r="BF178" s="24180"/>
      <c r="BG178" s="24180"/>
      <c r="BH178" s="24180"/>
      <c r="BI178" s="24180"/>
      <c r="BJ178" s="24180"/>
      <c r="BK178" s="24180"/>
      <c r="BL178" s="24180"/>
      <c r="BM178" s="24181"/>
      <c r="BN178" s="24076"/>
      <c r="BO178" s="24077"/>
      <c r="BP178" s="24180"/>
      <c r="BQ178" s="24180"/>
      <c r="BR178" s="24077"/>
      <c r="BS178" s="24180"/>
      <c r="BT178" s="24180"/>
      <c r="BU178" s="24180"/>
      <c r="BV178" s="24180"/>
      <c r="BW178" s="24180"/>
      <c r="BX178" s="24181"/>
      <c r="BY178" s="24179"/>
      <c r="BZ178" s="24180"/>
      <c r="CA178" s="24180"/>
      <c r="CB178" s="24180"/>
      <c r="CC178" s="24180"/>
      <c r="CD178" s="24180"/>
      <c r="CE178" s="24180"/>
      <c r="CF178" s="24180"/>
      <c r="CG178" s="24180"/>
      <c r="CH178" s="24180"/>
      <c r="CI178" s="24181"/>
      <c r="CJ178" s="24179"/>
      <c r="CK178" s="24180"/>
      <c r="CL178" s="24180"/>
      <c r="CM178" s="24180"/>
      <c r="CN178" s="24180"/>
      <c r="CO178" s="24180"/>
      <c r="CP178" s="24180"/>
      <c r="CQ178" s="24180"/>
      <c r="CR178" s="24180"/>
      <c r="CS178" s="24180"/>
      <c r="CT178" s="24181"/>
      <c r="CU178" s="24179"/>
      <c r="CV178" s="24180"/>
      <c r="CW178" s="24180"/>
      <c r="CX178" s="24180"/>
      <c r="CY178" s="24180"/>
      <c r="CZ178" s="24180"/>
      <c r="DA178" s="24180"/>
      <c r="DB178" s="24180"/>
      <c r="DC178" s="24180"/>
      <c r="DD178" s="24180"/>
      <c r="DE178" s="24181"/>
      <c r="DF178" s="24179"/>
      <c r="DG178" s="24180"/>
      <c r="DH178" s="24180"/>
      <c r="DI178" s="24180"/>
      <c r="DJ178" s="24180"/>
      <c r="DK178" s="24180"/>
      <c r="DL178" s="24180"/>
      <c r="DM178" s="24180"/>
      <c r="DN178" s="24180"/>
      <c r="DO178" s="24180"/>
      <c r="DP178" s="24181"/>
      <c r="DQ178" s="24179"/>
      <c r="DR178" s="24180"/>
      <c r="DS178" s="24180"/>
      <c r="DT178" s="24180"/>
      <c r="DU178" s="24180"/>
      <c r="DV178" s="24180"/>
      <c r="DW178" s="24180"/>
      <c r="DX178" s="24180"/>
      <c r="DY178" s="24180"/>
      <c r="DZ178" s="24180"/>
      <c r="EA178" s="24181"/>
      <c r="EB178" s="24179"/>
      <c r="EC178" s="24180"/>
      <c r="ED178" s="24180"/>
      <c r="EE178" s="24180"/>
      <c r="EF178" s="24180"/>
      <c r="EG178" s="24180"/>
      <c r="EH178" s="24180"/>
      <c r="EI178" s="24180"/>
      <c r="EJ178" s="24180"/>
      <c r="EK178" s="24180"/>
      <c r="EL178" s="24181"/>
      <c r="EM178" s="24179"/>
      <c r="EN178" s="24180"/>
      <c r="EO178" s="24180"/>
      <c r="EP178" s="24180"/>
      <c r="EQ178" s="24180"/>
      <c r="ER178" s="24180"/>
      <c r="ES178" s="24180"/>
      <c r="ET178" s="24180"/>
      <c r="EU178" s="24180"/>
      <c r="EV178" s="24180"/>
      <c r="EW178" s="24181"/>
      <c r="EX178" s="24076"/>
      <c r="EY178" s="24077"/>
      <c r="EZ178" s="24180"/>
      <c r="FA178" s="24180"/>
      <c r="FB178" s="24077"/>
      <c r="FC178" s="24180"/>
      <c r="FD178" s="24180"/>
      <c r="FE178" s="24180"/>
      <c r="FF178" s="24180"/>
      <c r="FG178" s="24180"/>
      <c r="FH178" s="24181"/>
      <c r="FI178" s="24076"/>
      <c r="FJ178" s="24077"/>
      <c r="FK178" s="24180"/>
      <c r="FL178" s="24180"/>
      <c r="FM178" s="24077"/>
      <c r="FN178" s="24180"/>
      <c r="FO178" s="24180"/>
      <c r="FP178" s="24077"/>
      <c r="FQ178" s="24077"/>
      <c r="FR178" s="24077"/>
      <c r="FS178" s="24181"/>
      <c r="FT178" s="24078"/>
      <c r="FU178" s="1233" t="s">
        <v>711</v>
      </c>
      <c r="FV178" s="1568"/>
      <c r="FW178" s="1550"/>
      <c r="FX178" s="1550" t="str">
        <f t="shared" si="3"/>
        <v>Группа потребителей</v>
      </c>
      <c r="FY178" s="1550"/>
      <c r="FZ178" s="1550"/>
      <c r="GA178" s="1561">
        <v>0</v>
      </c>
    </row>
    <row r="179" spans="1:183" s="1747" customFormat="1" ht="23.25" customHeight="1">
      <c r="A179" s="1289"/>
      <c r="B179" s="1289"/>
      <c r="C179" s="1289"/>
      <c r="D179" s="1289"/>
      <c r="E179" s="24089"/>
      <c r="F179" s="24089" t="s">
        <v>82</v>
      </c>
      <c r="G179" s="24089"/>
      <c r="H179" s="24089"/>
      <c r="I179" s="24091"/>
      <c r="J179" s="24091"/>
      <c r="K179" s="24090" t="str">
        <f>J178&amp;".1"</f>
        <v>1.5.1.1.1.1</v>
      </c>
      <c r="L179" s="1295"/>
      <c r="M179" s="1674"/>
      <c r="N179" s="1674"/>
      <c r="O179" s="1674"/>
      <c r="P179" s="24092"/>
      <c r="Q179" s="24092"/>
      <c r="R179" s="293">
        <v>1</v>
      </c>
      <c r="S179" s="1976" t="str">
        <f>$K179</f>
        <v>1.5.1.1.1.1</v>
      </c>
      <c r="T179" s="1363"/>
      <c r="U179" s="236"/>
      <c r="V179" s="1286"/>
      <c r="W179" s="1286"/>
      <c r="X179" s="1286"/>
      <c r="Y179" s="1286"/>
      <c r="Z179" s="1286"/>
      <c r="AA179" s="1286"/>
      <c r="AB179" s="1286"/>
      <c r="AC179" s="24086"/>
      <c r="AD179" s="24085" t="s">
        <v>59</v>
      </c>
      <c r="AE179" s="24086"/>
      <c r="AF179" s="24085" t="s">
        <v>59</v>
      </c>
      <c r="AG179" s="687">
        <v>239.42</v>
      </c>
      <c r="AH179" s="687">
        <v>26.47</v>
      </c>
      <c r="AI179" s="687"/>
      <c r="AJ179" s="687"/>
      <c r="AK179" s="687">
        <v>3133.44</v>
      </c>
      <c r="AL179" s="687"/>
      <c r="AM179" s="687"/>
      <c r="AN179" s="24093" t="s">
        <v>9</v>
      </c>
      <c r="AO179" s="23957" t="s">
        <v>59</v>
      </c>
      <c r="AP179" s="24095" t="s">
        <v>770</v>
      </c>
      <c r="AQ179" s="23957" t="s">
        <v>59</v>
      </c>
      <c r="AR179" s="687">
        <v>266.99</v>
      </c>
      <c r="AS179" s="687">
        <v>29.13</v>
      </c>
      <c r="AT179" s="687"/>
      <c r="AU179" s="687"/>
      <c r="AV179" s="687">
        <v>3500.05</v>
      </c>
      <c r="AW179" s="687"/>
      <c r="AX179" s="687"/>
      <c r="AY179" s="24093" t="s">
        <v>772</v>
      </c>
      <c r="AZ179" s="23957" t="s">
        <v>59</v>
      </c>
      <c r="BA179" s="24093" t="s">
        <v>773</v>
      </c>
      <c r="BB179" s="23957" t="s">
        <v>59</v>
      </c>
      <c r="BC179" s="687">
        <v>266.92</v>
      </c>
      <c r="BD179" s="687">
        <v>29.13</v>
      </c>
      <c r="BE179" s="687"/>
      <c r="BF179" s="687"/>
      <c r="BG179" s="687">
        <v>3500.05</v>
      </c>
      <c r="BH179" s="687"/>
      <c r="BI179" s="687"/>
      <c r="BJ179" s="24093" t="s">
        <v>774</v>
      </c>
      <c r="BK179" s="23957" t="s">
        <v>59</v>
      </c>
      <c r="BL179" s="24093" t="s">
        <v>775</v>
      </c>
      <c r="BM179" s="23957" t="s">
        <v>59</v>
      </c>
      <c r="BN179" s="687">
        <v>301.13</v>
      </c>
      <c r="BO179" s="687">
        <v>34.96</v>
      </c>
      <c r="BP179" s="687"/>
      <c r="BQ179" s="687"/>
      <c r="BR179" s="687">
        <v>3916.55</v>
      </c>
      <c r="BS179" s="687"/>
      <c r="BT179" s="687"/>
      <c r="BU179" s="24093" t="s">
        <v>776</v>
      </c>
      <c r="BV179" s="23957" t="s">
        <v>59</v>
      </c>
      <c r="BW179" s="24093">
        <v>45853</v>
      </c>
      <c r="BX179" s="23957" t="s">
        <v>59</v>
      </c>
      <c r="BY179" s="687">
        <v>319.87</v>
      </c>
      <c r="BZ179" s="687">
        <v>53.7</v>
      </c>
      <c r="CA179" s="687"/>
      <c r="CB179" s="687"/>
      <c r="CC179" s="687">
        <v>3916.55</v>
      </c>
      <c r="CD179" s="687"/>
      <c r="CE179" s="687"/>
      <c r="CF179" s="24093">
        <v>45854</v>
      </c>
      <c r="CG179" s="23957" t="s">
        <v>59</v>
      </c>
      <c r="CH179" s="24093">
        <v>46022</v>
      </c>
      <c r="CI179" s="23957" t="s">
        <v>59</v>
      </c>
      <c r="CJ179" s="687">
        <f>BY179</f>
        <v>319.87</v>
      </c>
      <c r="CK179" s="687">
        <f>BZ179</f>
        <v>53.7</v>
      </c>
      <c r="CL179" s="687"/>
      <c r="CM179" s="687"/>
      <c r="CN179" s="687">
        <f>CC179</f>
        <v>3916.55</v>
      </c>
      <c r="CO179" s="687"/>
      <c r="CP179" s="687"/>
      <c r="CQ179" s="24093">
        <v>46023</v>
      </c>
      <c r="CR179" s="23957" t="s">
        <v>59</v>
      </c>
      <c r="CS179" s="24185">
        <v>46295</v>
      </c>
      <c r="CT179" s="23957" t="s">
        <v>59</v>
      </c>
      <c r="CU179" s="687">
        <v>354.13</v>
      </c>
      <c r="CV179" s="687">
        <v>59.81</v>
      </c>
      <c r="CW179" s="687"/>
      <c r="CX179" s="687"/>
      <c r="CY179" s="687">
        <v>4330.76</v>
      </c>
      <c r="CZ179" s="687"/>
      <c r="DA179" s="687"/>
      <c r="DB179" s="24185">
        <v>46296</v>
      </c>
      <c r="DC179" s="23957" t="s">
        <v>59</v>
      </c>
      <c r="DD179" s="24093">
        <v>46387</v>
      </c>
      <c r="DE179" s="23957" t="s">
        <v>59</v>
      </c>
      <c r="DF179" s="687">
        <f>CU179</f>
        <v>354.13</v>
      </c>
      <c r="DG179" s="687">
        <f>CV179</f>
        <v>59.81</v>
      </c>
      <c r="DH179" s="687"/>
      <c r="DI179" s="687"/>
      <c r="DJ179" s="687">
        <f>CY179</f>
        <v>4330.76</v>
      </c>
      <c r="DK179" s="687"/>
      <c r="DL179" s="687"/>
      <c r="DM179" s="24093">
        <v>46388</v>
      </c>
      <c r="DN179" s="23957" t="s">
        <v>59</v>
      </c>
      <c r="DO179" s="24093">
        <v>46568</v>
      </c>
      <c r="DP179" s="23957" t="s">
        <v>59</v>
      </c>
      <c r="DQ179" s="687">
        <v>379.7</v>
      </c>
      <c r="DR179" s="687">
        <v>61.21</v>
      </c>
      <c r="DS179" s="687"/>
      <c r="DT179" s="687"/>
      <c r="DU179" s="687">
        <v>4686.3900000000003</v>
      </c>
      <c r="DV179" s="687"/>
      <c r="DW179" s="687"/>
      <c r="DX179" s="24093">
        <v>46569</v>
      </c>
      <c r="DY179" s="23957" t="s">
        <v>59</v>
      </c>
      <c r="DZ179" s="24093">
        <v>46752</v>
      </c>
      <c r="EA179" s="23957" t="s">
        <v>59</v>
      </c>
      <c r="EB179" s="687">
        <v>378.81</v>
      </c>
      <c r="EC179" s="687">
        <v>60.32</v>
      </c>
      <c r="ED179" s="687"/>
      <c r="EE179" s="687"/>
      <c r="EF179" s="687">
        <v>4686.3900000000003</v>
      </c>
      <c r="EG179" s="687"/>
      <c r="EH179" s="687"/>
      <c r="EI179" s="24093">
        <v>46753</v>
      </c>
      <c r="EJ179" s="23957" t="s">
        <v>59</v>
      </c>
      <c r="EK179" s="24093">
        <v>46934</v>
      </c>
      <c r="EL179" s="23957" t="s">
        <v>59</v>
      </c>
      <c r="EM179" s="687">
        <v>400.76</v>
      </c>
      <c r="EN179" s="687">
        <v>60.32</v>
      </c>
      <c r="EO179" s="687"/>
      <c r="EP179" s="687"/>
      <c r="EQ179" s="687">
        <v>5009.37</v>
      </c>
      <c r="ER179" s="687"/>
      <c r="ES179" s="687"/>
      <c r="ET179" s="24093">
        <v>46935.667650462965</v>
      </c>
      <c r="EU179" s="23957" t="s">
        <v>59</v>
      </c>
      <c r="EV179" s="24095">
        <v>47118.66777777778</v>
      </c>
      <c r="EW179" s="23957" t="s">
        <v>6</v>
      </c>
      <c r="EX179" s="1286"/>
      <c r="EY179" s="1286"/>
      <c r="EZ179" s="1286"/>
      <c r="FA179" s="1286"/>
      <c r="FB179" s="1286"/>
      <c r="FC179" s="1286"/>
      <c r="FD179" s="1286"/>
      <c r="FE179" s="24086"/>
      <c r="FF179" s="24085" t="s">
        <v>59</v>
      </c>
      <c r="FG179" s="24086"/>
      <c r="FH179" s="24208" t="s">
        <v>59</v>
      </c>
      <c r="FI179" s="1286"/>
      <c r="FJ179" s="1286"/>
      <c r="FK179" s="1286"/>
      <c r="FL179" s="1286"/>
      <c r="FM179" s="1286"/>
      <c r="FN179" s="1286"/>
      <c r="FO179" s="1286"/>
      <c r="FP179" s="24086"/>
      <c r="FQ179" s="24085" t="s">
        <v>59</v>
      </c>
      <c r="FR179" s="24086"/>
      <c r="FS179" s="24085" t="s">
        <v>59</v>
      </c>
      <c r="FT179" s="1364"/>
      <c r="FU17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79" s="1568" t="e">
        <f ca="1">STRCHECKDATE(V180:FT180)</f>
        <v>#NAME?</v>
      </c>
      <c r="FW179" s="1550"/>
      <c r="FX179" s="1550" t="str">
        <f t="shared" si="3"/>
        <v/>
      </c>
      <c r="FY179" s="1550"/>
      <c r="FZ179" s="1550"/>
      <c r="GA179" s="1561">
        <v>0</v>
      </c>
    </row>
    <row r="180" spans="1:183" s="1747" customFormat="1" ht="14.25" customHeight="1">
      <c r="A180" s="1289"/>
      <c r="B180" s="1289"/>
      <c r="C180" s="1289"/>
      <c r="D180" s="1289"/>
      <c r="E180" s="24089"/>
      <c r="F180" s="24089" t="s">
        <v>82</v>
      </c>
      <c r="G180" s="24089"/>
      <c r="H180" s="24089"/>
      <c r="I180" s="24091"/>
      <c r="J180" s="24091"/>
      <c r="K180" s="24090"/>
      <c r="L180" s="1295"/>
      <c r="M180" s="1674"/>
      <c r="N180" s="1674"/>
      <c r="O180" s="1674"/>
      <c r="P180" s="24092"/>
      <c r="Q180" s="24092"/>
      <c r="R180" s="293"/>
      <c r="S180" s="1982"/>
      <c r="T180" s="236"/>
      <c r="U180" s="236"/>
      <c r="V180" s="1286"/>
      <c r="W180" s="1286"/>
      <c r="X180" s="1286"/>
      <c r="Y180" s="1286"/>
      <c r="Z180" s="1286"/>
      <c r="AA180" s="1286"/>
      <c r="AB180" s="1286"/>
      <c r="AC180" s="24085"/>
      <c r="AD180" s="24085"/>
      <c r="AE180" s="24085"/>
      <c r="AF180" s="24085"/>
      <c r="AG180" s="261"/>
      <c r="AH180" s="261"/>
      <c r="AI180" s="261"/>
      <c r="AJ180" s="261"/>
      <c r="AK180" s="261"/>
      <c r="AL180" s="261"/>
      <c r="AM180" s="261"/>
      <c r="AN180" s="24094"/>
      <c r="AO180" s="23957"/>
      <c r="AP180" s="24096"/>
      <c r="AQ180" s="23957"/>
      <c r="AR180" s="261"/>
      <c r="AS180" s="261"/>
      <c r="AT180" s="261"/>
      <c r="AU180" s="261"/>
      <c r="AV180" s="261"/>
      <c r="AW180" s="261"/>
      <c r="AX180" s="261"/>
      <c r="AY180" s="24094"/>
      <c r="AZ180" s="23957"/>
      <c r="BA180" s="24094"/>
      <c r="BB180" s="23957"/>
      <c r="BC180" s="261"/>
      <c r="BD180" s="261"/>
      <c r="BE180" s="261"/>
      <c r="BF180" s="261"/>
      <c r="BG180" s="261"/>
      <c r="BH180" s="261"/>
      <c r="BI180" s="261"/>
      <c r="BJ180" s="24094"/>
      <c r="BK180" s="23957"/>
      <c r="BL180" s="24094"/>
      <c r="BM180" s="23957"/>
      <c r="BN180" s="261"/>
      <c r="BO180" s="261"/>
      <c r="BP180" s="261"/>
      <c r="BQ180" s="261"/>
      <c r="BR180" s="261"/>
      <c r="BS180" s="261"/>
      <c r="BT180" s="261"/>
      <c r="BU180" s="24094"/>
      <c r="BV180" s="23957"/>
      <c r="BW180" s="24094"/>
      <c r="BX180" s="23957"/>
      <c r="BY180" s="261"/>
      <c r="BZ180" s="261"/>
      <c r="CA180" s="261"/>
      <c r="CB180" s="261"/>
      <c r="CC180" s="261"/>
      <c r="CD180" s="261"/>
      <c r="CE180" s="261"/>
      <c r="CF180" s="24094"/>
      <c r="CG180" s="23957"/>
      <c r="CH180" s="24094"/>
      <c r="CI180" s="23957"/>
      <c r="CJ180" s="261"/>
      <c r="CK180" s="261"/>
      <c r="CL180" s="261"/>
      <c r="CM180" s="261"/>
      <c r="CN180" s="261"/>
      <c r="CO180" s="261"/>
      <c r="CP180" s="261"/>
      <c r="CQ180" s="24094"/>
      <c r="CR180" s="23957"/>
      <c r="CS180" s="24094"/>
      <c r="CT180" s="23957"/>
      <c r="CU180" s="261"/>
      <c r="CV180" s="261"/>
      <c r="CW180" s="261"/>
      <c r="CX180" s="261"/>
      <c r="CY180" s="261"/>
      <c r="CZ180" s="261"/>
      <c r="DA180" s="261"/>
      <c r="DB180" s="24094"/>
      <c r="DC180" s="23957"/>
      <c r="DD180" s="24094"/>
      <c r="DE180" s="23957"/>
      <c r="DF180" s="261"/>
      <c r="DG180" s="261"/>
      <c r="DH180" s="261"/>
      <c r="DI180" s="261"/>
      <c r="DJ180" s="261"/>
      <c r="DK180" s="261"/>
      <c r="DL180" s="261"/>
      <c r="DM180" s="24094"/>
      <c r="DN180" s="23957"/>
      <c r="DO180" s="24094"/>
      <c r="DP180" s="23957"/>
      <c r="DQ180" s="261"/>
      <c r="DR180" s="261"/>
      <c r="DS180" s="261"/>
      <c r="DT180" s="261"/>
      <c r="DU180" s="261"/>
      <c r="DV180" s="261"/>
      <c r="DW180" s="261"/>
      <c r="DX180" s="24094"/>
      <c r="DY180" s="23957"/>
      <c r="DZ180" s="24094"/>
      <c r="EA180" s="23957"/>
      <c r="EB180" s="261"/>
      <c r="EC180" s="261"/>
      <c r="ED180" s="261"/>
      <c r="EE180" s="261"/>
      <c r="EF180" s="261"/>
      <c r="EG180" s="261"/>
      <c r="EH180" s="261"/>
      <c r="EI180" s="24094"/>
      <c r="EJ180" s="23957"/>
      <c r="EK180" s="24094"/>
      <c r="EL180" s="23957"/>
      <c r="EM180" s="261"/>
      <c r="EN180" s="261"/>
      <c r="EO180" s="261"/>
      <c r="EP180" s="261"/>
      <c r="EQ180" s="261"/>
      <c r="ER180" s="261"/>
      <c r="ES180" s="261"/>
      <c r="ET180" s="24094"/>
      <c r="EU180" s="23957"/>
      <c r="EV180" s="24096"/>
      <c r="EW180" s="23957"/>
      <c r="EX180" s="1286"/>
      <c r="EY180" s="1286"/>
      <c r="EZ180" s="1286"/>
      <c r="FA180" s="1286"/>
      <c r="FB180" s="1286"/>
      <c r="FC180" s="1286"/>
      <c r="FD180" s="1286"/>
      <c r="FE180" s="24085"/>
      <c r="FF180" s="24085"/>
      <c r="FG180" s="24085"/>
      <c r="FH180" s="24208"/>
      <c r="FI180" s="1286"/>
      <c r="FJ180" s="1286"/>
      <c r="FK180" s="1286"/>
      <c r="FL180" s="1286"/>
      <c r="FM180" s="1286"/>
      <c r="FN180" s="1286"/>
      <c r="FO180" s="1286"/>
      <c r="FP180" s="24085"/>
      <c r="FQ180" s="24085"/>
      <c r="FR180" s="24085"/>
      <c r="FS180" s="24085"/>
      <c r="FT180" s="1365"/>
      <c r="FU180" s="24162"/>
      <c r="FV180" s="1568"/>
      <c r="FW180" s="1550"/>
      <c r="FX180" s="1550" t="str">
        <f t="shared" si="3"/>
        <v/>
      </c>
      <c r="FY180" s="1550"/>
      <c r="FZ180" s="1550"/>
      <c r="GA180" s="1561">
        <v>0</v>
      </c>
    </row>
    <row r="181" spans="1:183" s="1747" customFormat="1" ht="21" customHeight="1">
      <c r="A181" s="1289"/>
      <c r="B181" s="1289"/>
      <c r="C181" s="1289"/>
      <c r="D181" s="1289"/>
      <c r="E181" s="24089"/>
      <c r="F181" s="24089" t="s">
        <v>82</v>
      </c>
      <c r="G181" s="24089"/>
      <c r="H181" s="24089"/>
      <c r="I181" s="24091"/>
      <c r="J181" s="24090"/>
      <c r="K181" s="1289"/>
      <c r="L181" s="1295"/>
      <c r="M181" s="1674"/>
      <c r="N181" s="1674"/>
      <c r="O181" s="1674"/>
      <c r="P181" s="24092"/>
      <c r="Q181" s="24092"/>
      <c r="R181" s="292"/>
      <c r="S181" s="3211"/>
      <c r="T181" s="3212" t="s">
        <v>712</v>
      </c>
      <c r="U181" s="3213"/>
      <c r="V181" s="3214"/>
      <c r="W181" s="3215"/>
      <c r="X181" s="3216"/>
      <c r="Y181" s="3217"/>
      <c r="Z181" s="3218"/>
      <c r="AA181" s="3219"/>
      <c r="AB181" s="3220"/>
      <c r="AC181" s="3221"/>
      <c r="AD181" s="3222"/>
      <c r="AE181" s="3223"/>
      <c r="AF181" s="3224"/>
      <c r="AG181" s="3225"/>
      <c r="AH181" s="3226"/>
      <c r="AI181" s="3227"/>
      <c r="AJ181" s="3228"/>
      <c r="AK181" s="3229"/>
      <c r="AL181" s="3230"/>
      <c r="AM181" s="3231"/>
      <c r="AN181" s="3232"/>
      <c r="AO181" s="3233"/>
      <c r="AP181" s="3234"/>
      <c r="AQ181" s="3235"/>
      <c r="AR181" s="7035"/>
      <c r="AS181" s="7036"/>
      <c r="AT181" s="7037"/>
      <c r="AU181" s="7038"/>
      <c r="AV181" s="7039"/>
      <c r="AW181" s="7040"/>
      <c r="AX181" s="7041"/>
      <c r="AY181" s="7042"/>
      <c r="AZ181" s="7043"/>
      <c r="BA181" s="7044"/>
      <c r="BB181" s="7045"/>
      <c r="BC181" s="7046"/>
      <c r="BD181" s="7047"/>
      <c r="BE181" s="12583"/>
      <c r="BF181" s="12584"/>
      <c r="BG181" s="21863"/>
      <c r="BH181" s="12585"/>
      <c r="BI181" s="12586"/>
      <c r="BJ181" s="12587"/>
      <c r="BK181" s="12588"/>
      <c r="BL181" s="12589"/>
      <c r="BM181" s="12590"/>
      <c r="BN181" s="3236"/>
      <c r="BO181" s="3237"/>
      <c r="BP181" s="12591"/>
      <c r="BQ181" s="12592"/>
      <c r="BR181" s="3238"/>
      <c r="BS181" s="12593"/>
      <c r="BT181" s="12594"/>
      <c r="BU181" s="12595"/>
      <c r="BV181" s="12596"/>
      <c r="BW181" s="12597"/>
      <c r="BX181" s="12598"/>
      <c r="BY181" s="12599"/>
      <c r="BZ181" s="12600"/>
      <c r="CA181" s="12601"/>
      <c r="CB181" s="12602"/>
      <c r="CC181" s="12603"/>
      <c r="CD181" s="12604"/>
      <c r="CE181" s="12605"/>
      <c r="CF181" s="12606"/>
      <c r="CG181" s="12607"/>
      <c r="CH181" s="12608"/>
      <c r="CI181" s="12609"/>
      <c r="CJ181" s="12610"/>
      <c r="CK181" s="12611"/>
      <c r="CL181" s="12612"/>
      <c r="CM181" s="12613"/>
      <c r="CN181" s="12614"/>
      <c r="CO181" s="12615"/>
      <c r="CP181" s="12616"/>
      <c r="CQ181" s="12617"/>
      <c r="CR181" s="12618"/>
      <c r="CS181" s="12619"/>
      <c r="CT181" s="12620"/>
      <c r="CU181" s="12621"/>
      <c r="CV181" s="12622"/>
      <c r="CW181" s="12623"/>
      <c r="CX181" s="12624"/>
      <c r="CY181" s="12625"/>
      <c r="CZ181" s="12626"/>
      <c r="DA181" s="12627"/>
      <c r="DB181" s="12628"/>
      <c r="DC181" s="12629"/>
      <c r="DD181" s="12630"/>
      <c r="DE181" s="12631"/>
      <c r="DF181" s="12632"/>
      <c r="DG181" s="12633"/>
      <c r="DH181" s="12634"/>
      <c r="DI181" s="12635"/>
      <c r="DJ181" s="12636"/>
      <c r="DK181" s="12637"/>
      <c r="DL181" s="12638"/>
      <c r="DM181" s="12639"/>
      <c r="DN181" s="12640"/>
      <c r="DO181" s="12641"/>
      <c r="DP181" s="12642"/>
      <c r="DQ181" s="12643"/>
      <c r="DR181" s="12644"/>
      <c r="DS181" s="12645"/>
      <c r="DT181" s="12646"/>
      <c r="DU181" s="12647"/>
      <c r="DV181" s="12648"/>
      <c r="DW181" s="12649"/>
      <c r="DX181" s="12650"/>
      <c r="DY181" s="12651"/>
      <c r="DZ181" s="12652"/>
      <c r="EA181" s="12653"/>
      <c r="EB181" s="12654"/>
      <c r="EC181" s="12655"/>
      <c r="ED181" s="12656"/>
      <c r="EE181" s="12657"/>
      <c r="EF181" s="12658"/>
      <c r="EG181" s="12659"/>
      <c r="EH181" s="12660"/>
      <c r="EI181" s="12661"/>
      <c r="EJ181" s="12662"/>
      <c r="EK181" s="12663"/>
      <c r="EL181" s="12664"/>
      <c r="EM181" s="21545"/>
      <c r="EN181" s="21546"/>
      <c r="EO181" s="12665"/>
      <c r="EP181" s="12666"/>
      <c r="EQ181" s="21547"/>
      <c r="ER181" s="12667"/>
      <c r="ES181" s="12668"/>
      <c r="ET181" s="12669"/>
      <c r="EU181" s="12670"/>
      <c r="EV181" s="12671"/>
      <c r="EW181" s="12672"/>
      <c r="EX181" s="3239"/>
      <c r="EY181" s="3240"/>
      <c r="EZ181" s="12673"/>
      <c r="FA181" s="12674"/>
      <c r="FB181" s="3241"/>
      <c r="FC181" s="12675"/>
      <c r="FD181" s="12676"/>
      <c r="FE181" s="12677"/>
      <c r="FF181" s="12678"/>
      <c r="FG181" s="12679"/>
      <c r="FH181" s="5699"/>
      <c r="FI181" s="22668"/>
      <c r="FJ181" s="22669"/>
      <c r="FK181" s="23457"/>
      <c r="FL181" s="23458"/>
      <c r="FM181" s="22670"/>
      <c r="FN181" s="23459"/>
      <c r="FO181" s="23460"/>
      <c r="FP181" s="22671"/>
      <c r="FQ181" s="22672"/>
      <c r="FR181" s="22673"/>
      <c r="FS181" s="23461"/>
      <c r="FT181" s="3242"/>
      <c r="FU181" s="1184" t="s">
        <v>713</v>
      </c>
      <c r="FV181" s="1568"/>
      <c r="FW181" s="1550"/>
      <c r="FX181" s="1550" t="str">
        <f t="shared" si="3"/>
        <v>Добавить значение признака дифференциации</v>
      </c>
      <c r="FY181" s="1550"/>
      <c r="FZ181" s="1550"/>
      <c r="GA181" s="1561">
        <v>0</v>
      </c>
    </row>
    <row r="182" spans="1:183" s="1747" customFormat="1" ht="23.25" customHeight="1">
      <c r="A182" s="1289"/>
      <c r="B182" s="1289"/>
      <c r="C182" s="1289"/>
      <c r="D182" s="1289"/>
      <c r="E182" s="24089"/>
      <c r="F182" s="24089"/>
      <c r="G182" s="24089"/>
      <c r="H182" s="24089"/>
      <c r="I182" s="24091"/>
      <c r="J182" s="24090" t="str">
        <f>I177&amp;".2"</f>
        <v>1.5.1.1.2</v>
      </c>
      <c r="K182" s="1289"/>
      <c r="L182" s="1295" t="s">
        <v>635</v>
      </c>
      <c r="M182" s="1674"/>
      <c r="N182" s="1674"/>
      <c r="O182" s="1674"/>
      <c r="P182" s="24092"/>
      <c r="Q182" s="24206" t="s">
        <v>96</v>
      </c>
      <c r="R182" s="293"/>
      <c r="S182" s="1976" t="str">
        <f>$J182</f>
        <v>1.5.1.1.2</v>
      </c>
      <c r="T182" s="222" t="s">
        <v>636</v>
      </c>
      <c r="U182" s="236"/>
      <c r="V182" s="24076"/>
      <c r="W182" s="24077"/>
      <c r="X182" s="24077"/>
      <c r="Y182" s="24077"/>
      <c r="Z182" s="24077"/>
      <c r="AA182" s="24077"/>
      <c r="AB182" s="24077"/>
      <c r="AC182" s="24077"/>
      <c r="AD182" s="24077"/>
      <c r="AE182" s="24077"/>
      <c r="AF182" s="24078"/>
      <c r="AG182" s="24076" t="s">
        <v>771</v>
      </c>
      <c r="AH182" s="24077"/>
      <c r="AI182" s="24077"/>
      <c r="AJ182" s="24077"/>
      <c r="AK182" s="24077"/>
      <c r="AL182" s="24077"/>
      <c r="AM182" s="24077"/>
      <c r="AN182" s="24077"/>
      <c r="AO182" s="24077"/>
      <c r="AP182" s="24077"/>
      <c r="AQ182" s="24077"/>
      <c r="AR182" s="24179"/>
      <c r="AS182" s="24180"/>
      <c r="AT182" s="24180"/>
      <c r="AU182" s="24180"/>
      <c r="AV182" s="24180"/>
      <c r="AW182" s="24180"/>
      <c r="AX182" s="24180"/>
      <c r="AY182" s="24180"/>
      <c r="AZ182" s="24180"/>
      <c r="BA182" s="24180"/>
      <c r="BB182" s="24181"/>
      <c r="BC182" s="24179"/>
      <c r="BD182" s="24180"/>
      <c r="BE182" s="24180"/>
      <c r="BF182" s="24180"/>
      <c r="BG182" s="24180"/>
      <c r="BH182" s="24180"/>
      <c r="BI182" s="24180"/>
      <c r="BJ182" s="24180"/>
      <c r="BK182" s="24180"/>
      <c r="BL182" s="24180"/>
      <c r="BM182" s="24181"/>
      <c r="BN182" s="24076"/>
      <c r="BO182" s="24077"/>
      <c r="BP182" s="24180"/>
      <c r="BQ182" s="24180"/>
      <c r="BR182" s="24077"/>
      <c r="BS182" s="24180"/>
      <c r="BT182" s="24180"/>
      <c r="BU182" s="24180"/>
      <c r="BV182" s="24180"/>
      <c r="BW182" s="24180"/>
      <c r="BX182" s="24181"/>
      <c r="BY182" s="24179"/>
      <c r="BZ182" s="24180"/>
      <c r="CA182" s="24180"/>
      <c r="CB182" s="24180"/>
      <c r="CC182" s="24180"/>
      <c r="CD182" s="24180"/>
      <c r="CE182" s="24180"/>
      <c r="CF182" s="24180"/>
      <c r="CG182" s="24180"/>
      <c r="CH182" s="24180"/>
      <c r="CI182" s="24181"/>
      <c r="CJ182" s="24179"/>
      <c r="CK182" s="24180"/>
      <c r="CL182" s="24180"/>
      <c r="CM182" s="24180"/>
      <c r="CN182" s="24180"/>
      <c r="CO182" s="24180"/>
      <c r="CP182" s="24180"/>
      <c r="CQ182" s="24180"/>
      <c r="CR182" s="24180"/>
      <c r="CS182" s="24180"/>
      <c r="CT182" s="24181"/>
      <c r="CU182" s="24179"/>
      <c r="CV182" s="24180"/>
      <c r="CW182" s="24180"/>
      <c r="CX182" s="24180"/>
      <c r="CY182" s="24180"/>
      <c r="CZ182" s="24180"/>
      <c r="DA182" s="24180"/>
      <c r="DB182" s="24180"/>
      <c r="DC182" s="24180"/>
      <c r="DD182" s="24180"/>
      <c r="DE182" s="24181"/>
      <c r="DF182" s="24179"/>
      <c r="DG182" s="24180"/>
      <c r="DH182" s="24180"/>
      <c r="DI182" s="24180"/>
      <c r="DJ182" s="24180"/>
      <c r="DK182" s="24180"/>
      <c r="DL182" s="24180"/>
      <c r="DM182" s="24180"/>
      <c r="DN182" s="24180"/>
      <c r="DO182" s="24180"/>
      <c r="DP182" s="24181"/>
      <c r="DQ182" s="24179"/>
      <c r="DR182" s="24180"/>
      <c r="DS182" s="24180"/>
      <c r="DT182" s="24180"/>
      <c r="DU182" s="24180"/>
      <c r="DV182" s="24180"/>
      <c r="DW182" s="24180"/>
      <c r="DX182" s="24180"/>
      <c r="DY182" s="24180"/>
      <c r="DZ182" s="24180"/>
      <c r="EA182" s="24181"/>
      <c r="EB182" s="24179"/>
      <c r="EC182" s="24180"/>
      <c r="ED182" s="24180"/>
      <c r="EE182" s="24180"/>
      <c r="EF182" s="24180"/>
      <c r="EG182" s="24180"/>
      <c r="EH182" s="24180"/>
      <c r="EI182" s="24180"/>
      <c r="EJ182" s="24180"/>
      <c r="EK182" s="24180"/>
      <c r="EL182" s="24181"/>
      <c r="EM182" s="24179"/>
      <c r="EN182" s="24180"/>
      <c r="EO182" s="24180"/>
      <c r="EP182" s="24180"/>
      <c r="EQ182" s="24180"/>
      <c r="ER182" s="24180"/>
      <c r="ES182" s="24180"/>
      <c r="ET182" s="24180"/>
      <c r="EU182" s="24180"/>
      <c r="EV182" s="24180"/>
      <c r="EW182" s="24181"/>
      <c r="EX182" s="24076"/>
      <c r="EY182" s="24077"/>
      <c r="EZ182" s="24180"/>
      <c r="FA182" s="24180"/>
      <c r="FB182" s="24077"/>
      <c r="FC182" s="24180"/>
      <c r="FD182" s="24180"/>
      <c r="FE182" s="24180"/>
      <c r="FF182" s="24180"/>
      <c r="FG182" s="24180"/>
      <c r="FH182" s="24181"/>
      <c r="FI182" s="24076"/>
      <c r="FJ182" s="24077"/>
      <c r="FK182" s="24180"/>
      <c r="FL182" s="24180"/>
      <c r="FM182" s="24077"/>
      <c r="FN182" s="24180"/>
      <c r="FO182" s="24180"/>
      <c r="FP182" s="24077"/>
      <c r="FQ182" s="24077"/>
      <c r="FR182" s="24077"/>
      <c r="FS182" s="24181"/>
      <c r="FT182" s="24078"/>
      <c r="FU182" s="1233" t="s">
        <v>711</v>
      </c>
      <c r="FV182" s="1568"/>
      <c r="FW182" s="1550"/>
      <c r="FX182" s="1550" t="str">
        <f t="shared" si="3"/>
        <v>Группа потребителей</v>
      </c>
      <c r="FY182" s="1550"/>
      <c r="FZ182" s="1550"/>
      <c r="GA182" s="1561">
        <v>0</v>
      </c>
    </row>
    <row r="183" spans="1:183" s="1747" customFormat="1" ht="23.25" customHeight="1">
      <c r="A183" s="1289"/>
      <c r="B183" s="1289"/>
      <c r="C183" s="1289"/>
      <c r="D183" s="1289"/>
      <c r="E183" s="24089"/>
      <c r="F183" s="24089"/>
      <c r="G183" s="24089"/>
      <c r="H183" s="24089"/>
      <c r="I183" s="24091"/>
      <c r="J183" s="24091" t="str">
        <f>I177&amp;".1"</f>
        <v>1.5.1.1.1</v>
      </c>
      <c r="K183" s="24090" t="str">
        <f>J182&amp;".1"</f>
        <v>1.5.1.1.2.1</v>
      </c>
      <c r="L183" s="1295"/>
      <c r="M183" s="1674"/>
      <c r="N183" s="1674"/>
      <c r="O183" s="1674"/>
      <c r="P183" s="24092"/>
      <c r="Q183" s="24092"/>
      <c r="R183" s="293">
        <v>1</v>
      </c>
      <c r="S183" s="1976" t="str">
        <f>$K183</f>
        <v>1.5.1.1.2.1</v>
      </c>
      <c r="T183" s="1363"/>
      <c r="U183" s="236"/>
      <c r="V183" s="1286"/>
      <c r="W183" s="1286"/>
      <c r="X183" s="1286"/>
      <c r="Y183" s="1286"/>
      <c r="Z183" s="1286"/>
      <c r="AA183" s="1286"/>
      <c r="AB183" s="1286"/>
      <c r="AC183" s="24086"/>
      <c r="AD183" s="24085" t="s">
        <v>59</v>
      </c>
      <c r="AE183" s="24086"/>
      <c r="AF183" s="24085" t="s">
        <v>59</v>
      </c>
      <c r="AG183" s="687">
        <v>251.23</v>
      </c>
      <c r="AH183" s="687">
        <v>26.47</v>
      </c>
      <c r="AI183" s="687"/>
      <c r="AJ183" s="687"/>
      <c r="AK183" s="687">
        <v>3229.37</v>
      </c>
      <c r="AL183" s="687"/>
      <c r="AM183" s="687"/>
      <c r="AN183" s="24093" t="s">
        <v>9</v>
      </c>
      <c r="AO183" s="23957" t="s">
        <v>59</v>
      </c>
      <c r="AP183" s="24095" t="s">
        <v>770</v>
      </c>
      <c r="AQ183" s="23957" t="s">
        <v>59</v>
      </c>
      <c r="AR183" s="687">
        <v>276.37</v>
      </c>
      <c r="AS183" s="687">
        <v>29.13</v>
      </c>
      <c r="AT183" s="687"/>
      <c r="AU183" s="687"/>
      <c r="AV183" s="687">
        <v>3552.3</v>
      </c>
      <c r="AW183" s="687"/>
      <c r="AX183" s="687"/>
      <c r="AY183" s="24093" t="s">
        <v>772</v>
      </c>
      <c r="AZ183" s="23957" t="s">
        <v>59</v>
      </c>
      <c r="BA183" s="24093" t="s">
        <v>773</v>
      </c>
      <c r="BB183" s="23957" t="s">
        <v>59</v>
      </c>
      <c r="BC183" s="687">
        <v>276.29000000000002</v>
      </c>
      <c r="BD183" s="687">
        <v>29.13</v>
      </c>
      <c r="BE183" s="687"/>
      <c r="BF183" s="687"/>
      <c r="BG183" s="687">
        <v>3552.3</v>
      </c>
      <c r="BH183" s="687"/>
      <c r="BI183" s="687"/>
      <c r="BJ183" s="24093" t="s">
        <v>774</v>
      </c>
      <c r="BK183" s="23957" t="s">
        <v>59</v>
      </c>
      <c r="BL183" s="24093" t="s">
        <v>775</v>
      </c>
      <c r="BM183" s="23957" t="s">
        <v>59</v>
      </c>
      <c r="BN183" s="687">
        <v>308.23</v>
      </c>
      <c r="BO183" s="687">
        <v>34.96</v>
      </c>
      <c r="BP183" s="687"/>
      <c r="BQ183" s="687"/>
      <c r="BR183" s="687">
        <v>3918.19</v>
      </c>
      <c r="BS183" s="687"/>
      <c r="BT183" s="687"/>
      <c r="BU183" s="24093" t="s">
        <v>776</v>
      </c>
      <c r="BV183" s="23957" t="s">
        <v>59</v>
      </c>
      <c r="BW183" s="24093">
        <v>45853</v>
      </c>
      <c r="BX183" s="23957" t="s">
        <v>59</v>
      </c>
      <c r="BY183" s="687">
        <v>301.24</v>
      </c>
      <c r="BZ183" s="687">
        <v>34.96</v>
      </c>
      <c r="CA183" s="687"/>
      <c r="CB183" s="687"/>
      <c r="CC183" s="687">
        <v>3918.19</v>
      </c>
      <c r="CD183" s="687"/>
      <c r="CE183" s="687"/>
      <c r="CF183" s="24093">
        <v>45854</v>
      </c>
      <c r="CG183" s="23957" t="s">
        <v>59</v>
      </c>
      <c r="CH183" s="24093">
        <v>46022</v>
      </c>
      <c r="CI183" s="23957" t="s">
        <v>59</v>
      </c>
      <c r="CJ183" s="687">
        <v>306.35000000000002</v>
      </c>
      <c r="CK183" s="687">
        <v>35.54</v>
      </c>
      <c r="CL183" s="687"/>
      <c r="CM183" s="687"/>
      <c r="CN183" s="687">
        <v>3984.89</v>
      </c>
      <c r="CO183" s="687"/>
      <c r="CP183" s="687"/>
      <c r="CQ183" s="24093">
        <v>46023</v>
      </c>
      <c r="CR183" s="23957" t="s">
        <v>59</v>
      </c>
      <c r="CS183" s="24185">
        <v>46295</v>
      </c>
      <c r="CT183" s="23957" t="s">
        <v>59</v>
      </c>
      <c r="CU183" s="687">
        <v>343.13</v>
      </c>
      <c r="CV183" s="687">
        <v>39.81</v>
      </c>
      <c r="CW183" s="687"/>
      <c r="CX183" s="687"/>
      <c r="CY183" s="687">
        <v>4463.08</v>
      </c>
      <c r="CZ183" s="687"/>
      <c r="DA183" s="687"/>
      <c r="DB183" s="24185">
        <v>46296</v>
      </c>
      <c r="DC183" s="23957" t="s">
        <v>59</v>
      </c>
      <c r="DD183" s="24093">
        <v>46387</v>
      </c>
      <c r="DE183" s="23957" t="s">
        <v>59</v>
      </c>
      <c r="DF183" s="687">
        <f>CU183</f>
        <v>343.13</v>
      </c>
      <c r="DG183" s="687">
        <f>CV183</f>
        <v>39.81</v>
      </c>
      <c r="DH183" s="687"/>
      <c r="DI183" s="687"/>
      <c r="DJ183" s="687">
        <f>CY183</f>
        <v>4463.08</v>
      </c>
      <c r="DK183" s="687"/>
      <c r="DL183" s="687"/>
      <c r="DM183" s="24093">
        <v>46388</v>
      </c>
      <c r="DN183" s="23957" t="s">
        <v>59</v>
      </c>
      <c r="DO183" s="24093">
        <v>46568</v>
      </c>
      <c r="DP183" s="23957" t="s">
        <v>59</v>
      </c>
      <c r="DQ183" s="687">
        <v>372.97</v>
      </c>
      <c r="DR183" s="687">
        <v>43.27</v>
      </c>
      <c r="DS183" s="687"/>
      <c r="DT183" s="687"/>
      <c r="DU183" s="687">
        <v>4851.37</v>
      </c>
      <c r="DV183" s="687"/>
      <c r="DW183" s="687"/>
      <c r="DX183" s="24093">
        <v>46569</v>
      </c>
      <c r="DY183" s="23957" t="s">
        <v>59</v>
      </c>
      <c r="DZ183" s="24093">
        <v>46752</v>
      </c>
      <c r="EA183" s="23957" t="s">
        <v>59</v>
      </c>
      <c r="EB183" s="687">
        <f>DQ183</f>
        <v>372.97</v>
      </c>
      <c r="EC183" s="687">
        <f>DR183</f>
        <v>43.27</v>
      </c>
      <c r="ED183" s="687"/>
      <c r="EE183" s="687"/>
      <c r="EF183" s="687">
        <f>DU183</f>
        <v>4851.37</v>
      </c>
      <c r="EG183" s="687"/>
      <c r="EH183" s="687"/>
      <c r="EI183" s="24093">
        <v>46753</v>
      </c>
      <c r="EJ183" s="23957" t="s">
        <v>59</v>
      </c>
      <c r="EK183" s="24093">
        <v>46934</v>
      </c>
      <c r="EL183" s="23957" t="s">
        <v>59</v>
      </c>
      <c r="EM183" s="687">
        <v>399.45</v>
      </c>
      <c r="EN183" s="687">
        <v>46.35</v>
      </c>
      <c r="EO183" s="687"/>
      <c r="EP183" s="687"/>
      <c r="EQ183" s="687">
        <v>5195.8100000000004</v>
      </c>
      <c r="ER183" s="687"/>
      <c r="ES183" s="687"/>
      <c r="ET183" s="24093">
        <v>46935.680462962962</v>
      </c>
      <c r="EU183" s="23957" t="s">
        <v>59</v>
      </c>
      <c r="EV183" s="24095">
        <v>47118.680567129632</v>
      </c>
      <c r="EW183" s="23957" t="s">
        <v>6</v>
      </c>
      <c r="EX183" s="1286"/>
      <c r="EY183" s="1286"/>
      <c r="EZ183" s="1286"/>
      <c r="FA183" s="1286"/>
      <c r="FB183" s="1286"/>
      <c r="FC183" s="1286"/>
      <c r="FD183" s="1286"/>
      <c r="FE183" s="24086"/>
      <c r="FF183" s="24085" t="s">
        <v>59</v>
      </c>
      <c r="FG183" s="24086"/>
      <c r="FH183" s="24208" t="s">
        <v>59</v>
      </c>
      <c r="FI183" s="1286"/>
      <c r="FJ183" s="1286"/>
      <c r="FK183" s="1286"/>
      <c r="FL183" s="1286"/>
      <c r="FM183" s="1286"/>
      <c r="FN183" s="1286"/>
      <c r="FO183" s="1286"/>
      <c r="FP183" s="24086"/>
      <c r="FQ183" s="24085" t="s">
        <v>59</v>
      </c>
      <c r="FR183" s="24086"/>
      <c r="FS183" s="24085" t="s">
        <v>59</v>
      </c>
      <c r="FT183" s="1364"/>
      <c r="FU18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83" s="1568" t="e">
        <f ca="1">STRCHECKDATE(V184:FT184)</f>
        <v>#NAME?</v>
      </c>
      <c r="FW183" s="1550"/>
      <c r="FX183" s="1550" t="str">
        <f t="shared" si="3"/>
        <v/>
      </c>
      <c r="FY183" s="1550"/>
      <c r="FZ183" s="1550"/>
      <c r="GA183" s="1561">
        <v>0</v>
      </c>
    </row>
    <row r="184" spans="1:183" s="1747" customFormat="1" ht="14.25" customHeight="1">
      <c r="A184" s="1289"/>
      <c r="B184" s="1289"/>
      <c r="C184" s="1289"/>
      <c r="D184" s="1289"/>
      <c r="E184" s="24089"/>
      <c r="F184" s="24089"/>
      <c r="G184" s="24089"/>
      <c r="H184" s="24089"/>
      <c r="I184" s="24091"/>
      <c r="J184" s="24091" t="str">
        <f>I177&amp;".1"</f>
        <v>1.5.1.1.1</v>
      </c>
      <c r="K184" s="24090"/>
      <c r="L184" s="1295"/>
      <c r="M184" s="1674"/>
      <c r="N184" s="1674"/>
      <c r="O184" s="1674"/>
      <c r="P184" s="24092"/>
      <c r="Q184" s="24092"/>
      <c r="R184" s="293"/>
      <c r="S184" s="1982"/>
      <c r="T184" s="236"/>
      <c r="U184" s="236"/>
      <c r="V184" s="1286"/>
      <c r="W184" s="1286"/>
      <c r="X184" s="1286"/>
      <c r="Y184" s="1286"/>
      <c r="Z184" s="1286"/>
      <c r="AA184" s="1286"/>
      <c r="AB184" s="1286"/>
      <c r="AC184" s="24085"/>
      <c r="AD184" s="24085"/>
      <c r="AE184" s="24085"/>
      <c r="AF184" s="24085"/>
      <c r="AG184" s="261"/>
      <c r="AH184" s="261"/>
      <c r="AI184" s="261"/>
      <c r="AJ184" s="261"/>
      <c r="AK184" s="261"/>
      <c r="AL184" s="261"/>
      <c r="AM184" s="261"/>
      <c r="AN184" s="24094"/>
      <c r="AO184" s="23957"/>
      <c r="AP184" s="24096"/>
      <c r="AQ184" s="23957"/>
      <c r="AR184" s="261"/>
      <c r="AS184" s="261"/>
      <c r="AT184" s="261"/>
      <c r="AU184" s="261"/>
      <c r="AV184" s="261"/>
      <c r="AW184" s="261"/>
      <c r="AX184" s="261"/>
      <c r="AY184" s="24094"/>
      <c r="AZ184" s="23957"/>
      <c r="BA184" s="24094"/>
      <c r="BB184" s="23957"/>
      <c r="BC184" s="261"/>
      <c r="BD184" s="261"/>
      <c r="BE184" s="261"/>
      <c r="BF184" s="261"/>
      <c r="BG184" s="261"/>
      <c r="BH184" s="261"/>
      <c r="BI184" s="261"/>
      <c r="BJ184" s="24094"/>
      <c r="BK184" s="23957"/>
      <c r="BL184" s="24094"/>
      <c r="BM184" s="23957"/>
      <c r="BN184" s="261"/>
      <c r="BO184" s="261"/>
      <c r="BP184" s="261"/>
      <c r="BQ184" s="261"/>
      <c r="BR184" s="261"/>
      <c r="BS184" s="261"/>
      <c r="BT184" s="261"/>
      <c r="BU184" s="24094"/>
      <c r="BV184" s="23957"/>
      <c r="BW184" s="24094"/>
      <c r="BX184" s="23957"/>
      <c r="BY184" s="261"/>
      <c r="BZ184" s="261"/>
      <c r="CA184" s="261"/>
      <c r="CB184" s="261"/>
      <c r="CC184" s="261"/>
      <c r="CD184" s="261"/>
      <c r="CE184" s="261"/>
      <c r="CF184" s="24094"/>
      <c r="CG184" s="23957"/>
      <c r="CH184" s="24094"/>
      <c r="CI184" s="23957"/>
      <c r="CJ184" s="261"/>
      <c r="CK184" s="261"/>
      <c r="CL184" s="261"/>
      <c r="CM184" s="261"/>
      <c r="CN184" s="261"/>
      <c r="CO184" s="261"/>
      <c r="CP184" s="261"/>
      <c r="CQ184" s="24094"/>
      <c r="CR184" s="23957"/>
      <c r="CS184" s="24094"/>
      <c r="CT184" s="23957"/>
      <c r="CU184" s="261"/>
      <c r="CV184" s="261"/>
      <c r="CW184" s="261"/>
      <c r="CX184" s="261"/>
      <c r="CY184" s="261"/>
      <c r="CZ184" s="261"/>
      <c r="DA184" s="261"/>
      <c r="DB184" s="24094"/>
      <c r="DC184" s="23957"/>
      <c r="DD184" s="24094"/>
      <c r="DE184" s="23957"/>
      <c r="DF184" s="261"/>
      <c r="DG184" s="261"/>
      <c r="DH184" s="261"/>
      <c r="DI184" s="261"/>
      <c r="DJ184" s="261"/>
      <c r="DK184" s="261"/>
      <c r="DL184" s="261"/>
      <c r="DM184" s="24094"/>
      <c r="DN184" s="23957"/>
      <c r="DO184" s="24094"/>
      <c r="DP184" s="23957"/>
      <c r="DQ184" s="261"/>
      <c r="DR184" s="261"/>
      <c r="DS184" s="261"/>
      <c r="DT184" s="261"/>
      <c r="DU184" s="261"/>
      <c r="DV184" s="261"/>
      <c r="DW184" s="261"/>
      <c r="DX184" s="24094"/>
      <c r="DY184" s="23957"/>
      <c r="DZ184" s="24094"/>
      <c r="EA184" s="23957"/>
      <c r="EB184" s="261"/>
      <c r="EC184" s="261"/>
      <c r="ED184" s="261"/>
      <c r="EE184" s="261"/>
      <c r="EF184" s="261"/>
      <c r="EG184" s="261"/>
      <c r="EH184" s="261"/>
      <c r="EI184" s="24094"/>
      <c r="EJ184" s="23957"/>
      <c r="EK184" s="24094"/>
      <c r="EL184" s="23957"/>
      <c r="EM184" s="261"/>
      <c r="EN184" s="261"/>
      <c r="EO184" s="261"/>
      <c r="EP184" s="261"/>
      <c r="EQ184" s="261"/>
      <c r="ER184" s="261"/>
      <c r="ES184" s="261"/>
      <c r="ET184" s="24094"/>
      <c r="EU184" s="23957"/>
      <c r="EV184" s="24096"/>
      <c r="EW184" s="23957"/>
      <c r="EX184" s="1286"/>
      <c r="EY184" s="1286"/>
      <c r="EZ184" s="1286"/>
      <c r="FA184" s="1286"/>
      <c r="FB184" s="1286"/>
      <c r="FC184" s="1286"/>
      <c r="FD184" s="1286"/>
      <c r="FE184" s="24085"/>
      <c r="FF184" s="24085"/>
      <c r="FG184" s="24085"/>
      <c r="FH184" s="24208"/>
      <c r="FI184" s="1286"/>
      <c r="FJ184" s="1286"/>
      <c r="FK184" s="1286"/>
      <c r="FL184" s="1286"/>
      <c r="FM184" s="1286"/>
      <c r="FN184" s="1286"/>
      <c r="FO184" s="1286"/>
      <c r="FP184" s="24085"/>
      <c r="FQ184" s="24085"/>
      <c r="FR184" s="24085"/>
      <c r="FS184" s="24085"/>
      <c r="FT184" s="1365"/>
      <c r="FU184" s="24162"/>
      <c r="FV184" s="1568"/>
      <c r="FW184" s="1550"/>
      <c r="FX184" s="1550" t="str">
        <f t="shared" si="3"/>
        <v/>
      </c>
      <c r="FY184" s="1550"/>
      <c r="FZ184" s="1550"/>
      <c r="GA184" s="1561">
        <v>0</v>
      </c>
    </row>
    <row r="185" spans="1:183" s="1747" customFormat="1" ht="21" customHeight="1">
      <c r="A185" s="1289"/>
      <c r="B185" s="1289"/>
      <c r="C185" s="1289"/>
      <c r="D185" s="1289"/>
      <c r="E185" s="24089"/>
      <c r="F185" s="24089"/>
      <c r="G185" s="24089"/>
      <c r="H185" s="24089"/>
      <c r="I185" s="24091"/>
      <c r="J185" s="24090" t="str">
        <f>I177&amp;".1"</f>
        <v>1.5.1.1.1</v>
      </c>
      <c r="K185" s="1289"/>
      <c r="L185" s="1295"/>
      <c r="M185" s="1674"/>
      <c r="N185" s="1674"/>
      <c r="O185" s="1674"/>
      <c r="P185" s="24092"/>
      <c r="Q185" s="24092"/>
      <c r="R185" s="292"/>
      <c r="S185" s="3243"/>
      <c r="T185" s="3244" t="s">
        <v>712</v>
      </c>
      <c r="U185" s="3245"/>
      <c r="V185" s="3246"/>
      <c r="W185" s="3247"/>
      <c r="X185" s="3248"/>
      <c r="Y185" s="3249"/>
      <c r="Z185" s="3250"/>
      <c r="AA185" s="3251"/>
      <c r="AB185" s="3252"/>
      <c r="AC185" s="3253"/>
      <c r="AD185" s="3254"/>
      <c r="AE185" s="3255"/>
      <c r="AF185" s="3256"/>
      <c r="AG185" s="3257"/>
      <c r="AH185" s="3258"/>
      <c r="AI185" s="3259"/>
      <c r="AJ185" s="3260"/>
      <c r="AK185" s="3261"/>
      <c r="AL185" s="3262"/>
      <c r="AM185" s="3263"/>
      <c r="AN185" s="3264"/>
      <c r="AO185" s="3265"/>
      <c r="AP185" s="3266"/>
      <c r="AQ185" s="3267"/>
      <c r="AR185" s="7048"/>
      <c r="AS185" s="7049"/>
      <c r="AT185" s="7050"/>
      <c r="AU185" s="7051"/>
      <c r="AV185" s="7052"/>
      <c r="AW185" s="7053"/>
      <c r="AX185" s="7054"/>
      <c r="AY185" s="7055"/>
      <c r="AZ185" s="7056"/>
      <c r="BA185" s="7057"/>
      <c r="BB185" s="7058"/>
      <c r="BC185" s="7059"/>
      <c r="BD185" s="7060"/>
      <c r="BE185" s="12680"/>
      <c r="BF185" s="12681"/>
      <c r="BG185" s="21864"/>
      <c r="BH185" s="12682"/>
      <c r="BI185" s="12683"/>
      <c r="BJ185" s="12684"/>
      <c r="BK185" s="12685"/>
      <c r="BL185" s="12686"/>
      <c r="BM185" s="12687"/>
      <c r="BN185" s="3268"/>
      <c r="BO185" s="3269"/>
      <c r="BP185" s="12688"/>
      <c r="BQ185" s="12689"/>
      <c r="BR185" s="3270"/>
      <c r="BS185" s="12690"/>
      <c r="BT185" s="12691"/>
      <c r="BU185" s="12692"/>
      <c r="BV185" s="12693"/>
      <c r="BW185" s="12694"/>
      <c r="BX185" s="12695"/>
      <c r="BY185" s="12696"/>
      <c r="BZ185" s="12697"/>
      <c r="CA185" s="12698"/>
      <c r="CB185" s="12699"/>
      <c r="CC185" s="12700"/>
      <c r="CD185" s="12701"/>
      <c r="CE185" s="12702"/>
      <c r="CF185" s="12703"/>
      <c r="CG185" s="12704"/>
      <c r="CH185" s="12705"/>
      <c r="CI185" s="12706"/>
      <c r="CJ185" s="12707"/>
      <c r="CK185" s="12708"/>
      <c r="CL185" s="12709"/>
      <c r="CM185" s="12710"/>
      <c r="CN185" s="12711"/>
      <c r="CO185" s="12712"/>
      <c r="CP185" s="12713"/>
      <c r="CQ185" s="12714"/>
      <c r="CR185" s="12715"/>
      <c r="CS185" s="12716"/>
      <c r="CT185" s="12717"/>
      <c r="CU185" s="12718"/>
      <c r="CV185" s="12719"/>
      <c r="CW185" s="12720"/>
      <c r="CX185" s="12721"/>
      <c r="CY185" s="12722"/>
      <c r="CZ185" s="12723"/>
      <c r="DA185" s="12724"/>
      <c r="DB185" s="12725"/>
      <c r="DC185" s="12726"/>
      <c r="DD185" s="12727"/>
      <c r="DE185" s="12728"/>
      <c r="DF185" s="12729"/>
      <c r="DG185" s="12730"/>
      <c r="DH185" s="12731"/>
      <c r="DI185" s="12732"/>
      <c r="DJ185" s="12733"/>
      <c r="DK185" s="12734"/>
      <c r="DL185" s="12735"/>
      <c r="DM185" s="12736"/>
      <c r="DN185" s="12737"/>
      <c r="DO185" s="12738"/>
      <c r="DP185" s="12739"/>
      <c r="DQ185" s="12740"/>
      <c r="DR185" s="12741"/>
      <c r="DS185" s="12742"/>
      <c r="DT185" s="12743"/>
      <c r="DU185" s="12744"/>
      <c r="DV185" s="12745"/>
      <c r="DW185" s="12746"/>
      <c r="DX185" s="12747"/>
      <c r="DY185" s="12748"/>
      <c r="DZ185" s="12749"/>
      <c r="EA185" s="12750"/>
      <c r="EB185" s="12751"/>
      <c r="EC185" s="12752"/>
      <c r="ED185" s="12753"/>
      <c r="EE185" s="12754"/>
      <c r="EF185" s="12755"/>
      <c r="EG185" s="12756"/>
      <c r="EH185" s="12757"/>
      <c r="EI185" s="12758"/>
      <c r="EJ185" s="12759"/>
      <c r="EK185" s="12760"/>
      <c r="EL185" s="12761"/>
      <c r="EM185" s="21548"/>
      <c r="EN185" s="21549"/>
      <c r="EO185" s="12762"/>
      <c r="EP185" s="12763"/>
      <c r="EQ185" s="21550"/>
      <c r="ER185" s="12764"/>
      <c r="ES185" s="12765"/>
      <c r="ET185" s="12766"/>
      <c r="EU185" s="12767"/>
      <c r="EV185" s="12768"/>
      <c r="EW185" s="12769"/>
      <c r="EX185" s="3271"/>
      <c r="EY185" s="3272"/>
      <c r="EZ185" s="12770"/>
      <c r="FA185" s="12771"/>
      <c r="FB185" s="3273"/>
      <c r="FC185" s="12772"/>
      <c r="FD185" s="12773"/>
      <c r="FE185" s="12774"/>
      <c r="FF185" s="12775"/>
      <c r="FG185" s="12776"/>
      <c r="FH185" s="5700"/>
      <c r="FI185" s="22674"/>
      <c r="FJ185" s="22675"/>
      <c r="FK185" s="23462"/>
      <c r="FL185" s="23463"/>
      <c r="FM185" s="22676"/>
      <c r="FN185" s="23464"/>
      <c r="FO185" s="23465"/>
      <c r="FP185" s="22677"/>
      <c r="FQ185" s="22678"/>
      <c r="FR185" s="22679"/>
      <c r="FS185" s="23466"/>
      <c r="FT185" s="3274"/>
      <c r="FU185" s="1184" t="s">
        <v>713</v>
      </c>
      <c r="FV185" s="1568"/>
      <c r="FW185" s="1550"/>
      <c r="FX185" s="1550" t="str">
        <f t="shared" si="3"/>
        <v>Добавить значение признака дифференциации</v>
      </c>
      <c r="FY185" s="1550"/>
      <c r="FZ185" s="1550"/>
      <c r="GA185" s="1561">
        <v>0</v>
      </c>
    </row>
    <row r="186" spans="1:183" s="1747" customFormat="1" ht="21" customHeight="1">
      <c r="A186" s="1289"/>
      <c r="B186" s="1289"/>
      <c r="C186" s="1289"/>
      <c r="D186" s="1289"/>
      <c r="E186" s="24089"/>
      <c r="F186" s="24089" t="s">
        <v>82</v>
      </c>
      <c r="G186" s="24089"/>
      <c r="H186" s="24089"/>
      <c r="I186" s="24090"/>
      <c r="J186" s="1289"/>
      <c r="K186" s="1289"/>
      <c r="L186" s="1295"/>
      <c r="M186" s="1674"/>
      <c r="N186" s="1674"/>
      <c r="O186" s="1674"/>
      <c r="P186" s="24092"/>
      <c r="Q186" s="1978"/>
      <c r="R186" s="292"/>
      <c r="S186" s="3275"/>
      <c r="T186" s="3276" t="s">
        <v>641</v>
      </c>
      <c r="U186" s="3277"/>
      <c r="V186" s="3278"/>
      <c r="W186" s="3279"/>
      <c r="X186" s="3280"/>
      <c r="Y186" s="3281"/>
      <c r="Z186" s="3282"/>
      <c r="AA186" s="3283"/>
      <c r="AB186" s="3284"/>
      <c r="AC186" s="3285"/>
      <c r="AD186" s="3286"/>
      <c r="AE186" s="3287"/>
      <c r="AF186" s="3288"/>
      <c r="AG186" s="3289"/>
      <c r="AH186" s="3290"/>
      <c r="AI186" s="3291"/>
      <c r="AJ186" s="3292"/>
      <c r="AK186" s="3293"/>
      <c r="AL186" s="3294"/>
      <c r="AM186" s="3295"/>
      <c r="AN186" s="3296"/>
      <c r="AO186" s="3297"/>
      <c r="AP186" s="3298"/>
      <c r="AQ186" s="3299"/>
      <c r="AR186" s="7061"/>
      <c r="AS186" s="7062"/>
      <c r="AT186" s="7063"/>
      <c r="AU186" s="7064"/>
      <c r="AV186" s="7065"/>
      <c r="AW186" s="7066"/>
      <c r="AX186" s="7067"/>
      <c r="AY186" s="7068"/>
      <c r="AZ186" s="7069"/>
      <c r="BA186" s="7070"/>
      <c r="BB186" s="7071"/>
      <c r="BC186" s="7072"/>
      <c r="BD186" s="7073"/>
      <c r="BE186" s="12777"/>
      <c r="BF186" s="12778"/>
      <c r="BG186" s="21865"/>
      <c r="BH186" s="12779"/>
      <c r="BI186" s="12780"/>
      <c r="BJ186" s="12781"/>
      <c r="BK186" s="12782"/>
      <c r="BL186" s="12783"/>
      <c r="BM186" s="12784"/>
      <c r="BN186" s="3300"/>
      <c r="BO186" s="3301"/>
      <c r="BP186" s="12785"/>
      <c r="BQ186" s="12786"/>
      <c r="BR186" s="3302"/>
      <c r="BS186" s="12787"/>
      <c r="BT186" s="12788"/>
      <c r="BU186" s="12789"/>
      <c r="BV186" s="12790"/>
      <c r="BW186" s="12791"/>
      <c r="BX186" s="12792"/>
      <c r="BY186" s="12793"/>
      <c r="BZ186" s="12794"/>
      <c r="CA186" s="12795"/>
      <c r="CB186" s="12796"/>
      <c r="CC186" s="12797"/>
      <c r="CD186" s="12798"/>
      <c r="CE186" s="12799"/>
      <c r="CF186" s="12800"/>
      <c r="CG186" s="12801"/>
      <c r="CH186" s="12802"/>
      <c r="CI186" s="12803"/>
      <c r="CJ186" s="12804"/>
      <c r="CK186" s="12805"/>
      <c r="CL186" s="12806"/>
      <c r="CM186" s="12807"/>
      <c r="CN186" s="12808"/>
      <c r="CO186" s="12809"/>
      <c r="CP186" s="12810"/>
      <c r="CQ186" s="12811"/>
      <c r="CR186" s="12812"/>
      <c r="CS186" s="12813"/>
      <c r="CT186" s="12814"/>
      <c r="CU186" s="12815"/>
      <c r="CV186" s="12816"/>
      <c r="CW186" s="12817"/>
      <c r="CX186" s="12818"/>
      <c r="CY186" s="12819"/>
      <c r="CZ186" s="12820"/>
      <c r="DA186" s="12821"/>
      <c r="DB186" s="12822"/>
      <c r="DC186" s="12823"/>
      <c r="DD186" s="12824"/>
      <c r="DE186" s="12825"/>
      <c r="DF186" s="12826"/>
      <c r="DG186" s="12827"/>
      <c r="DH186" s="12828"/>
      <c r="DI186" s="12829"/>
      <c r="DJ186" s="12830"/>
      <c r="DK186" s="12831"/>
      <c r="DL186" s="12832"/>
      <c r="DM186" s="12833"/>
      <c r="DN186" s="12834"/>
      <c r="DO186" s="12835"/>
      <c r="DP186" s="12836"/>
      <c r="DQ186" s="12837"/>
      <c r="DR186" s="12838"/>
      <c r="DS186" s="12839"/>
      <c r="DT186" s="12840"/>
      <c r="DU186" s="12841"/>
      <c r="DV186" s="12842"/>
      <c r="DW186" s="12843"/>
      <c r="DX186" s="12844"/>
      <c r="DY186" s="12845"/>
      <c r="DZ186" s="12846"/>
      <c r="EA186" s="12847"/>
      <c r="EB186" s="12848"/>
      <c r="EC186" s="12849"/>
      <c r="ED186" s="12850"/>
      <c r="EE186" s="12851"/>
      <c r="EF186" s="12852"/>
      <c r="EG186" s="12853"/>
      <c r="EH186" s="12854"/>
      <c r="EI186" s="12855"/>
      <c r="EJ186" s="12856"/>
      <c r="EK186" s="12857"/>
      <c r="EL186" s="12858"/>
      <c r="EM186" s="21551"/>
      <c r="EN186" s="21552"/>
      <c r="EO186" s="12859"/>
      <c r="EP186" s="12860"/>
      <c r="EQ186" s="21553"/>
      <c r="ER186" s="12861"/>
      <c r="ES186" s="12862"/>
      <c r="ET186" s="12863"/>
      <c r="EU186" s="12864"/>
      <c r="EV186" s="12865"/>
      <c r="EW186" s="12866"/>
      <c r="EX186" s="3303"/>
      <c r="EY186" s="3304"/>
      <c r="EZ186" s="12867"/>
      <c r="FA186" s="12868"/>
      <c r="FB186" s="3305"/>
      <c r="FC186" s="12869"/>
      <c r="FD186" s="12870"/>
      <c r="FE186" s="12871"/>
      <c r="FF186" s="12872"/>
      <c r="FG186" s="12873"/>
      <c r="FH186" s="5701"/>
      <c r="FI186" s="22680"/>
      <c r="FJ186" s="22681"/>
      <c r="FK186" s="23467"/>
      <c r="FL186" s="23468"/>
      <c r="FM186" s="22682"/>
      <c r="FN186" s="23469"/>
      <c r="FO186" s="23470"/>
      <c r="FP186" s="22683"/>
      <c r="FQ186" s="22684"/>
      <c r="FR186" s="22685"/>
      <c r="FS186" s="23471"/>
      <c r="FT186" s="3306"/>
      <c r="FU186" s="3307"/>
      <c r="FV186" s="1568"/>
      <c r="FW186" s="1550"/>
      <c r="FX186" s="1550" t="str">
        <f t="shared" si="3"/>
        <v>Добавить группу потребителей</v>
      </c>
      <c r="FY186" s="1550"/>
      <c r="FZ186" s="1550"/>
      <c r="GA186" s="1561">
        <v>0</v>
      </c>
    </row>
    <row r="187" spans="1:183" s="1747" customFormat="1" ht="21" customHeight="1">
      <c r="A187" s="1289"/>
      <c r="B187" s="1289"/>
      <c r="C187" s="1289"/>
      <c r="D187" s="1289"/>
      <c r="E187" s="24089"/>
      <c r="F187" s="24089" t="s">
        <v>82</v>
      </c>
      <c r="G187" s="24089"/>
      <c r="H187" s="24088"/>
      <c r="I187" s="1289"/>
      <c r="J187" s="1289"/>
      <c r="K187" s="1289"/>
      <c r="L187" s="1295"/>
      <c r="M187" s="1291"/>
      <c r="N187" s="1291"/>
      <c r="O187" s="1292"/>
      <c r="P187" s="1720"/>
      <c r="Q187" s="311"/>
      <c r="R187" s="291"/>
      <c r="S187" s="3308"/>
      <c r="T187" s="3309" t="s">
        <v>714</v>
      </c>
      <c r="U187" s="3310"/>
      <c r="V187" s="3311"/>
      <c r="W187" s="3312"/>
      <c r="X187" s="3313"/>
      <c r="Y187" s="3314"/>
      <c r="Z187" s="3315"/>
      <c r="AA187" s="3316"/>
      <c r="AB187" s="3317"/>
      <c r="AC187" s="3318"/>
      <c r="AD187" s="3319"/>
      <c r="AE187" s="3320"/>
      <c r="AF187" s="3321"/>
      <c r="AG187" s="3322"/>
      <c r="AH187" s="3323"/>
      <c r="AI187" s="3324"/>
      <c r="AJ187" s="3325"/>
      <c r="AK187" s="3326"/>
      <c r="AL187" s="3327"/>
      <c r="AM187" s="3328"/>
      <c r="AN187" s="3329"/>
      <c r="AO187" s="3330"/>
      <c r="AP187" s="3331"/>
      <c r="AQ187" s="3332"/>
      <c r="AR187" s="7074"/>
      <c r="AS187" s="7075"/>
      <c r="AT187" s="7076"/>
      <c r="AU187" s="7077"/>
      <c r="AV187" s="7078"/>
      <c r="AW187" s="7079"/>
      <c r="AX187" s="7080"/>
      <c r="AY187" s="7081"/>
      <c r="AZ187" s="7082"/>
      <c r="BA187" s="7083"/>
      <c r="BB187" s="7084"/>
      <c r="BC187" s="7085"/>
      <c r="BD187" s="7086"/>
      <c r="BE187" s="12874"/>
      <c r="BF187" s="12875"/>
      <c r="BG187" s="21866"/>
      <c r="BH187" s="12876"/>
      <c r="BI187" s="12877"/>
      <c r="BJ187" s="12878"/>
      <c r="BK187" s="12879"/>
      <c r="BL187" s="12880"/>
      <c r="BM187" s="12881"/>
      <c r="BN187" s="3333"/>
      <c r="BO187" s="3334"/>
      <c r="BP187" s="12882"/>
      <c r="BQ187" s="12883"/>
      <c r="BR187" s="3335"/>
      <c r="BS187" s="12884"/>
      <c r="BT187" s="12885"/>
      <c r="BU187" s="12886"/>
      <c r="BV187" s="12887"/>
      <c r="BW187" s="12888"/>
      <c r="BX187" s="12889"/>
      <c r="BY187" s="12890"/>
      <c r="BZ187" s="12891"/>
      <c r="CA187" s="12892"/>
      <c r="CB187" s="12893"/>
      <c r="CC187" s="12894"/>
      <c r="CD187" s="12895"/>
      <c r="CE187" s="12896"/>
      <c r="CF187" s="12897"/>
      <c r="CG187" s="12898"/>
      <c r="CH187" s="12899"/>
      <c r="CI187" s="12900"/>
      <c r="CJ187" s="12901"/>
      <c r="CK187" s="12902"/>
      <c r="CL187" s="12903"/>
      <c r="CM187" s="12904"/>
      <c r="CN187" s="12905"/>
      <c r="CO187" s="12906"/>
      <c r="CP187" s="12907"/>
      <c r="CQ187" s="12908"/>
      <c r="CR187" s="12909"/>
      <c r="CS187" s="12910"/>
      <c r="CT187" s="12911"/>
      <c r="CU187" s="12912"/>
      <c r="CV187" s="12913"/>
      <c r="CW187" s="12914"/>
      <c r="CX187" s="12915"/>
      <c r="CY187" s="12916"/>
      <c r="CZ187" s="12917"/>
      <c r="DA187" s="12918"/>
      <c r="DB187" s="12919"/>
      <c r="DC187" s="12920"/>
      <c r="DD187" s="12921"/>
      <c r="DE187" s="12922"/>
      <c r="DF187" s="12923"/>
      <c r="DG187" s="12924"/>
      <c r="DH187" s="12925"/>
      <c r="DI187" s="12926"/>
      <c r="DJ187" s="12927"/>
      <c r="DK187" s="12928"/>
      <c r="DL187" s="12929"/>
      <c r="DM187" s="12930"/>
      <c r="DN187" s="12931"/>
      <c r="DO187" s="12932"/>
      <c r="DP187" s="12933"/>
      <c r="DQ187" s="12934"/>
      <c r="DR187" s="12935"/>
      <c r="DS187" s="12936"/>
      <c r="DT187" s="12937"/>
      <c r="DU187" s="12938"/>
      <c r="DV187" s="12939"/>
      <c r="DW187" s="12940"/>
      <c r="DX187" s="12941"/>
      <c r="DY187" s="12942"/>
      <c r="DZ187" s="12943"/>
      <c r="EA187" s="12944"/>
      <c r="EB187" s="12945"/>
      <c r="EC187" s="12946"/>
      <c r="ED187" s="12947"/>
      <c r="EE187" s="12948"/>
      <c r="EF187" s="12949"/>
      <c r="EG187" s="12950"/>
      <c r="EH187" s="12951"/>
      <c r="EI187" s="12952"/>
      <c r="EJ187" s="12953"/>
      <c r="EK187" s="12954"/>
      <c r="EL187" s="12955"/>
      <c r="EM187" s="21554"/>
      <c r="EN187" s="21555"/>
      <c r="EO187" s="12956"/>
      <c r="EP187" s="12957"/>
      <c r="EQ187" s="21556"/>
      <c r="ER187" s="12958"/>
      <c r="ES187" s="12959"/>
      <c r="ET187" s="12960"/>
      <c r="EU187" s="12961"/>
      <c r="EV187" s="12962"/>
      <c r="EW187" s="12963"/>
      <c r="EX187" s="3336"/>
      <c r="EY187" s="3337"/>
      <c r="EZ187" s="12964"/>
      <c r="FA187" s="12965"/>
      <c r="FB187" s="3338"/>
      <c r="FC187" s="12966"/>
      <c r="FD187" s="12967"/>
      <c r="FE187" s="12968"/>
      <c r="FF187" s="12969"/>
      <c r="FG187" s="12970"/>
      <c r="FH187" s="5702"/>
      <c r="FI187" s="22686"/>
      <c r="FJ187" s="22687"/>
      <c r="FK187" s="23472"/>
      <c r="FL187" s="23473"/>
      <c r="FM187" s="22688"/>
      <c r="FN187" s="23474"/>
      <c r="FO187" s="23475"/>
      <c r="FP187" s="22689"/>
      <c r="FQ187" s="22690"/>
      <c r="FR187" s="22691"/>
      <c r="FS187" s="23476"/>
      <c r="FT187" s="3339"/>
      <c r="FU187" s="3340"/>
      <c r="FV187" s="1568"/>
      <c r="FW187" s="1550"/>
      <c r="FX187" s="1550" t="str">
        <f t="shared" si="3"/>
        <v>Добавить наименование признака дифференциации</v>
      </c>
      <c r="FY187" s="1550"/>
      <c r="FZ187" s="1550"/>
      <c r="GA187" s="1561">
        <v>0</v>
      </c>
    </row>
    <row r="188" spans="1:183" s="558" customFormat="1" ht="14.25" customHeight="1">
      <c r="A188" s="1269"/>
      <c r="B188" s="1269"/>
      <c r="C188" s="1269"/>
      <c r="D188" s="1269"/>
      <c r="E188" s="24089"/>
      <c r="F188" s="24088" t="s">
        <v>82</v>
      </c>
      <c r="G188" s="1269"/>
      <c r="H188" s="1269"/>
      <c r="I188" s="1269"/>
      <c r="J188" s="1269"/>
      <c r="K188" s="1269"/>
      <c r="L188" s="1471"/>
      <c r="M188" s="1247"/>
      <c r="N188" s="1247"/>
      <c r="O188" s="1568"/>
      <c r="P188" s="1242"/>
      <c r="Q188" s="1270"/>
      <c r="R188" s="1242"/>
      <c r="S188" s="1248"/>
      <c r="T188" s="1251" t="s">
        <v>370</v>
      </c>
      <c r="U188" s="1250"/>
      <c r="V188" s="1250"/>
      <c r="W188" s="1250"/>
      <c r="X188" s="1250"/>
      <c r="Y188" s="1250"/>
      <c r="Z188" s="1250"/>
      <c r="AA188" s="1250"/>
      <c r="AB188" s="1250"/>
      <c r="AC188" s="1250"/>
      <c r="AD188" s="1250"/>
      <c r="AE188" s="1250"/>
      <c r="AF188" s="1250"/>
      <c r="AG188" s="1250"/>
      <c r="AH188" s="1250"/>
      <c r="AI188" s="1250"/>
      <c r="AJ188" s="1250"/>
      <c r="AK188" s="1250"/>
      <c r="AL188" s="1250"/>
      <c r="AM188" s="1250"/>
      <c r="AN188" s="1250"/>
      <c r="AO188" s="1250"/>
      <c r="AP188" s="1250"/>
      <c r="AQ188" s="1250"/>
      <c r="AR188" s="1250"/>
      <c r="AS188" s="1250"/>
      <c r="AT188" s="1250"/>
      <c r="AU188" s="1250"/>
      <c r="AV188" s="1250"/>
      <c r="AW188" s="1250"/>
      <c r="AX188" s="1250"/>
      <c r="AY188" s="1250"/>
      <c r="AZ188" s="1250"/>
      <c r="BA188" s="1250"/>
      <c r="BB188" s="1250"/>
      <c r="BC188" s="1250"/>
      <c r="BD188" s="1250"/>
      <c r="BE188" s="1250"/>
      <c r="BF188" s="1250"/>
      <c r="BG188" s="1250"/>
      <c r="BH188" s="1250"/>
      <c r="BI188" s="1250"/>
      <c r="BJ188" s="1250"/>
      <c r="BK188" s="1250"/>
      <c r="BL188" s="1250"/>
      <c r="BM188" s="1250"/>
      <c r="BN188" s="1250"/>
      <c r="BO188" s="1250"/>
      <c r="BP188" s="1250"/>
      <c r="BQ188" s="1250"/>
      <c r="BR188" s="1250"/>
      <c r="BS188" s="1250"/>
      <c r="BT188" s="1250"/>
      <c r="BU188" s="1250"/>
      <c r="BV188" s="1250"/>
      <c r="BW188" s="1250"/>
      <c r="BX188" s="1250"/>
      <c r="BY188" s="1250"/>
      <c r="BZ188" s="1250"/>
      <c r="CA188" s="1250"/>
      <c r="CB188" s="1250"/>
      <c r="CC188" s="1250"/>
      <c r="CD188" s="1250"/>
      <c r="CE188" s="1250"/>
      <c r="CF188" s="1250"/>
      <c r="CG188" s="1250"/>
      <c r="CH188" s="1250"/>
      <c r="CI188" s="1250"/>
      <c r="CJ188" s="1250"/>
      <c r="CK188" s="1250"/>
      <c r="CL188" s="1250"/>
      <c r="CM188" s="1250"/>
      <c r="CN188" s="1250"/>
      <c r="CO188" s="1250"/>
      <c r="CP188" s="1250"/>
      <c r="CQ188" s="1250"/>
      <c r="CR188" s="1250"/>
      <c r="CS188" s="1250"/>
      <c r="CT188" s="1250"/>
      <c r="CU188" s="1250"/>
      <c r="CV188" s="1250"/>
      <c r="CW188" s="1250"/>
      <c r="CX188" s="1250"/>
      <c r="CY188" s="1250"/>
      <c r="CZ188" s="1250"/>
      <c r="DA188" s="1250"/>
      <c r="DB188" s="1250"/>
      <c r="DC188" s="1250"/>
      <c r="DD188" s="1250"/>
      <c r="DE188" s="1250"/>
      <c r="DF188" s="1250"/>
      <c r="DG188" s="1250"/>
      <c r="DH188" s="1250"/>
      <c r="DI188" s="1250"/>
      <c r="DJ188" s="1250"/>
      <c r="DK188" s="1250"/>
      <c r="DL188" s="1250"/>
      <c r="DM188" s="1250"/>
      <c r="DN188" s="1250"/>
      <c r="DO188" s="1250"/>
      <c r="DP188" s="1250"/>
      <c r="DQ188" s="1250"/>
      <c r="DR188" s="1250"/>
      <c r="DS188" s="1250"/>
      <c r="DT188" s="1250"/>
      <c r="DU188" s="1250"/>
      <c r="DV188" s="1250"/>
      <c r="DW188" s="1250"/>
      <c r="DX188" s="1250"/>
      <c r="DY188" s="1250"/>
      <c r="DZ188" s="1250"/>
      <c r="EA188" s="1250"/>
      <c r="EB188" s="1250"/>
      <c r="EC188" s="1250"/>
      <c r="ED188" s="1250"/>
      <c r="EE188" s="1250"/>
      <c r="EF188" s="1250"/>
      <c r="EG188" s="1250"/>
      <c r="EH188" s="1250"/>
      <c r="EI188" s="1250"/>
      <c r="EJ188" s="1250"/>
      <c r="EK188" s="1250"/>
      <c r="EL188" s="1250"/>
      <c r="EM188" s="1250"/>
      <c r="EN188" s="1250"/>
      <c r="EO188" s="1250"/>
      <c r="EP188" s="1250"/>
      <c r="EQ188" s="1250"/>
      <c r="ER188" s="1250"/>
      <c r="ES188" s="1250"/>
      <c r="ET188" s="1250"/>
      <c r="EU188" s="1250"/>
      <c r="EV188" s="1250"/>
      <c r="EW188" s="1250"/>
      <c r="EX188" s="1250"/>
      <c r="EY188" s="1250"/>
      <c r="EZ188" s="1250"/>
      <c r="FA188" s="1250"/>
      <c r="FB188" s="1250"/>
      <c r="FC188" s="1250"/>
      <c r="FD188" s="1250"/>
      <c r="FE188" s="1250"/>
      <c r="FF188" s="1250"/>
      <c r="FG188" s="1250"/>
      <c r="FH188" s="1250"/>
      <c r="FI188" s="1250"/>
      <c r="FJ188" s="1250"/>
      <c r="FK188" s="1250"/>
      <c r="FL188" s="1250"/>
      <c r="FM188" s="1250"/>
      <c r="FN188" s="1250"/>
      <c r="FO188" s="1250"/>
      <c r="FP188" s="1250"/>
      <c r="FQ188" s="1250"/>
      <c r="FR188" s="1250"/>
      <c r="FS188" s="1250"/>
      <c r="FT188" s="1250"/>
      <c r="FU188" s="1250"/>
      <c r="FV188" s="1568"/>
      <c r="FW188" s="1550"/>
      <c r="FX188" s="1550" t="str">
        <f t="shared" si="3"/>
        <v>Добавить централизованную систему для дифференциации</v>
      </c>
      <c r="FY188" s="1550"/>
      <c r="FZ188" s="1550"/>
      <c r="GA188" s="1568">
        <v>0</v>
      </c>
    </row>
    <row r="189" spans="1:183" s="1747" customFormat="1" ht="23.25" customHeight="1">
      <c r="A189" s="1289"/>
      <c r="B189" s="1289" t="s">
        <v>394</v>
      </c>
      <c r="C189" s="1289"/>
      <c r="D189" s="1289"/>
      <c r="E189" s="24089"/>
      <c r="F189" s="24088" t="s">
        <v>83</v>
      </c>
      <c r="G189" s="1289"/>
      <c r="H189" s="1289"/>
      <c r="I189" s="1289"/>
      <c r="J189" s="1289"/>
      <c r="K189" s="1289"/>
      <c r="L189" s="1295"/>
      <c r="M189" s="1291"/>
      <c r="N189" s="1291"/>
      <c r="O189" s="1291"/>
      <c r="P189" s="1971"/>
      <c r="Q189" s="288"/>
      <c r="R189" s="289"/>
      <c r="S189" s="1976" t="str">
        <f>INDEX(PT_DIFFERENTIATION_NUM_TER,MATCH(B189,PT_DIFFERENTIATION_TER_ID,0))</f>
        <v>1.6</v>
      </c>
      <c r="T189" s="1448" t="s">
        <v>626</v>
      </c>
      <c r="U189" s="236"/>
      <c r="V189" s="24082"/>
      <c r="W189" s="24083"/>
      <c r="X189" s="24083"/>
      <c r="Y189" s="24083"/>
      <c r="Z189" s="24083"/>
      <c r="AA189" s="24083"/>
      <c r="AB189" s="24083"/>
      <c r="AC189" s="24083"/>
      <c r="AD189" s="24083"/>
      <c r="AE189" s="24083"/>
      <c r="AF189" s="24084"/>
      <c r="AG189" s="24082" t="str">
        <f>INDEX(PT_DIFFERENTIATION_TER,MATCH(B189,PT_DIFFERENTIATION_TER_ID,0))</f>
        <v>Территория 6</v>
      </c>
      <c r="AH189" s="24083"/>
      <c r="AI189" s="24083"/>
      <c r="AJ189" s="24083"/>
      <c r="AK189" s="24083"/>
      <c r="AL189" s="24083"/>
      <c r="AM189" s="24083"/>
      <c r="AN189" s="24083"/>
      <c r="AO189" s="24083"/>
      <c r="AP189" s="24083"/>
      <c r="AQ189" s="24083"/>
      <c r="AR189" s="24173"/>
      <c r="AS189" s="24174"/>
      <c r="AT189" s="24174"/>
      <c r="AU189" s="24174"/>
      <c r="AV189" s="24174"/>
      <c r="AW189" s="24174"/>
      <c r="AX189" s="24174"/>
      <c r="AY189" s="24174"/>
      <c r="AZ189" s="24174"/>
      <c r="BA189" s="24174"/>
      <c r="BB189" s="24175"/>
      <c r="BC189" s="24173"/>
      <c r="BD189" s="24174"/>
      <c r="BE189" s="24174"/>
      <c r="BF189" s="24174"/>
      <c r="BG189" s="24174"/>
      <c r="BH189" s="24174"/>
      <c r="BI189" s="24174"/>
      <c r="BJ189" s="24174"/>
      <c r="BK189" s="24174"/>
      <c r="BL189" s="24174"/>
      <c r="BM189" s="24175"/>
      <c r="BN189" s="24082"/>
      <c r="BO189" s="24083"/>
      <c r="BP189" s="24174"/>
      <c r="BQ189" s="24174"/>
      <c r="BR189" s="24083"/>
      <c r="BS189" s="24174"/>
      <c r="BT189" s="24174"/>
      <c r="BU189" s="24174"/>
      <c r="BV189" s="24174"/>
      <c r="BW189" s="24174"/>
      <c r="BX189" s="24175"/>
      <c r="BY189" s="24173"/>
      <c r="BZ189" s="24174"/>
      <c r="CA189" s="24174"/>
      <c r="CB189" s="24174"/>
      <c r="CC189" s="24174"/>
      <c r="CD189" s="24174"/>
      <c r="CE189" s="24174"/>
      <c r="CF189" s="24174"/>
      <c r="CG189" s="24174"/>
      <c r="CH189" s="24174"/>
      <c r="CI189" s="24175"/>
      <c r="CJ189" s="24173"/>
      <c r="CK189" s="24174"/>
      <c r="CL189" s="24174"/>
      <c r="CM189" s="24174"/>
      <c r="CN189" s="24174"/>
      <c r="CO189" s="24174"/>
      <c r="CP189" s="24174"/>
      <c r="CQ189" s="24174"/>
      <c r="CR189" s="24174"/>
      <c r="CS189" s="24174"/>
      <c r="CT189" s="24175"/>
      <c r="CU189" s="24173"/>
      <c r="CV189" s="24174"/>
      <c r="CW189" s="24174"/>
      <c r="CX189" s="24174"/>
      <c r="CY189" s="24174"/>
      <c r="CZ189" s="24174"/>
      <c r="DA189" s="24174"/>
      <c r="DB189" s="24174"/>
      <c r="DC189" s="24174"/>
      <c r="DD189" s="24174"/>
      <c r="DE189" s="24175"/>
      <c r="DF189" s="24173"/>
      <c r="DG189" s="24174"/>
      <c r="DH189" s="24174"/>
      <c r="DI189" s="24174"/>
      <c r="DJ189" s="24174"/>
      <c r="DK189" s="24174"/>
      <c r="DL189" s="24174"/>
      <c r="DM189" s="24174"/>
      <c r="DN189" s="24174"/>
      <c r="DO189" s="24174"/>
      <c r="DP189" s="24175"/>
      <c r="DQ189" s="24173"/>
      <c r="DR189" s="24174"/>
      <c r="DS189" s="24174"/>
      <c r="DT189" s="24174"/>
      <c r="DU189" s="24174"/>
      <c r="DV189" s="24174"/>
      <c r="DW189" s="24174"/>
      <c r="DX189" s="24174"/>
      <c r="DY189" s="24174"/>
      <c r="DZ189" s="24174"/>
      <c r="EA189" s="24175"/>
      <c r="EB189" s="24173"/>
      <c r="EC189" s="24174"/>
      <c r="ED189" s="24174"/>
      <c r="EE189" s="24174"/>
      <c r="EF189" s="24174"/>
      <c r="EG189" s="24174"/>
      <c r="EH189" s="24174"/>
      <c r="EI189" s="24174"/>
      <c r="EJ189" s="24174"/>
      <c r="EK189" s="24174"/>
      <c r="EL189" s="24175"/>
      <c r="EM189" s="24173"/>
      <c r="EN189" s="24174"/>
      <c r="EO189" s="24174"/>
      <c r="EP189" s="24174"/>
      <c r="EQ189" s="24174"/>
      <c r="ER189" s="24174"/>
      <c r="ES189" s="24174"/>
      <c r="ET189" s="24174"/>
      <c r="EU189" s="24174"/>
      <c r="EV189" s="24174"/>
      <c r="EW189" s="24175"/>
      <c r="EX189" s="24082"/>
      <c r="EY189" s="24083"/>
      <c r="EZ189" s="24174"/>
      <c r="FA189" s="24174"/>
      <c r="FB189" s="24083"/>
      <c r="FC189" s="24174"/>
      <c r="FD189" s="24174"/>
      <c r="FE189" s="24174"/>
      <c r="FF189" s="24174"/>
      <c r="FG189" s="24174"/>
      <c r="FH189" s="24175"/>
      <c r="FI189" s="24082"/>
      <c r="FJ189" s="24083"/>
      <c r="FK189" s="24174"/>
      <c r="FL189" s="24174"/>
      <c r="FM189" s="24083"/>
      <c r="FN189" s="24174"/>
      <c r="FO189" s="24174"/>
      <c r="FP189" s="24083"/>
      <c r="FQ189" s="24083"/>
      <c r="FR189" s="24083"/>
      <c r="FS189" s="24175"/>
      <c r="FT189" s="24084"/>
      <c r="FU189" s="1184" t="s">
        <v>627</v>
      </c>
      <c r="FV189" s="1568"/>
      <c r="FW189" s="1550"/>
      <c r="FX189" s="1550" t="str">
        <f t="shared" si="3"/>
        <v>Территория действия тарифа</v>
      </c>
      <c r="FY189" s="1550"/>
      <c r="FZ189" s="1550"/>
      <c r="GA189" s="1561">
        <v>0</v>
      </c>
    </row>
    <row r="190" spans="1:183" s="1747" customFormat="1" ht="23.25" customHeight="1">
      <c r="A190" s="1289"/>
      <c r="B190" s="1289"/>
      <c r="C190" s="1289" t="s">
        <v>395</v>
      </c>
      <c r="D190" s="1289"/>
      <c r="E190" s="24089"/>
      <c r="F190" s="24089" t="s">
        <v>109</v>
      </c>
      <c r="G190" s="24088">
        <v>1</v>
      </c>
      <c r="H190" s="1289"/>
      <c r="I190" s="1289"/>
      <c r="J190" s="1289"/>
      <c r="K190" s="1289"/>
      <c r="L190" s="1295"/>
      <c r="M190" s="1291"/>
      <c r="N190" s="1291"/>
      <c r="O190" s="1291"/>
      <c r="P190" s="290"/>
      <c r="Q190" s="288"/>
      <c r="R190" s="289"/>
      <c r="S190" s="1976" t="str">
        <f>INDEX(PT_DIFFERENTIATION_NUM_CS,MATCH(C190,PT_DIFFERENTIATION_CS_ID,0))</f>
        <v>1.6.1</v>
      </c>
      <c r="T190" s="245" t="s">
        <v>756</v>
      </c>
      <c r="U190" s="236"/>
      <c r="V190" s="24082"/>
      <c r="W190" s="24083"/>
      <c r="X190" s="24083"/>
      <c r="Y190" s="24083"/>
      <c r="Z190" s="24083"/>
      <c r="AA190" s="24083"/>
      <c r="AB190" s="24083"/>
      <c r="AC190" s="24083"/>
      <c r="AD190" s="24083"/>
      <c r="AE190" s="24083"/>
      <c r="AF190" s="24084"/>
      <c r="AG190" s="24082" t="str">
        <f>INDEX(PT_DIFFERENTIATION_CS,MATCH(C190,PT_DIFFERENTIATION_CS_ID,0))</f>
        <v>г. Рославль Рославльского муниципального округа Смоленской области</v>
      </c>
      <c r="AH190" s="24083"/>
      <c r="AI190" s="24083"/>
      <c r="AJ190" s="24083"/>
      <c r="AK190" s="24083"/>
      <c r="AL190" s="24083"/>
      <c r="AM190" s="24083"/>
      <c r="AN190" s="24083"/>
      <c r="AO190" s="24083"/>
      <c r="AP190" s="24083"/>
      <c r="AQ190" s="24083"/>
      <c r="AR190" s="24173"/>
      <c r="AS190" s="24174"/>
      <c r="AT190" s="24174"/>
      <c r="AU190" s="24174"/>
      <c r="AV190" s="24174"/>
      <c r="AW190" s="24174"/>
      <c r="AX190" s="24174"/>
      <c r="AY190" s="24174"/>
      <c r="AZ190" s="24174"/>
      <c r="BA190" s="24174"/>
      <c r="BB190" s="24175"/>
      <c r="BC190" s="24173"/>
      <c r="BD190" s="24174"/>
      <c r="BE190" s="24174"/>
      <c r="BF190" s="24174"/>
      <c r="BG190" s="24174"/>
      <c r="BH190" s="24174"/>
      <c r="BI190" s="24174"/>
      <c r="BJ190" s="24174"/>
      <c r="BK190" s="24174"/>
      <c r="BL190" s="24174"/>
      <c r="BM190" s="24175"/>
      <c r="BN190" s="24082"/>
      <c r="BO190" s="24083"/>
      <c r="BP190" s="24174"/>
      <c r="BQ190" s="24174"/>
      <c r="BR190" s="24083"/>
      <c r="BS190" s="24174"/>
      <c r="BT190" s="24174"/>
      <c r="BU190" s="24174"/>
      <c r="BV190" s="24174"/>
      <c r="BW190" s="24174"/>
      <c r="BX190" s="24175"/>
      <c r="BY190" s="24173"/>
      <c r="BZ190" s="24174"/>
      <c r="CA190" s="24174"/>
      <c r="CB190" s="24174"/>
      <c r="CC190" s="24174"/>
      <c r="CD190" s="24174"/>
      <c r="CE190" s="24174"/>
      <c r="CF190" s="24174"/>
      <c r="CG190" s="24174"/>
      <c r="CH190" s="24174"/>
      <c r="CI190" s="24175"/>
      <c r="CJ190" s="24173"/>
      <c r="CK190" s="24174"/>
      <c r="CL190" s="24174"/>
      <c r="CM190" s="24174"/>
      <c r="CN190" s="24174"/>
      <c r="CO190" s="24174"/>
      <c r="CP190" s="24174"/>
      <c r="CQ190" s="24174"/>
      <c r="CR190" s="24174"/>
      <c r="CS190" s="24174"/>
      <c r="CT190" s="24175"/>
      <c r="CU190" s="24173"/>
      <c r="CV190" s="24174"/>
      <c r="CW190" s="24174"/>
      <c r="CX190" s="24174"/>
      <c r="CY190" s="24174"/>
      <c r="CZ190" s="24174"/>
      <c r="DA190" s="24174"/>
      <c r="DB190" s="24174"/>
      <c r="DC190" s="24174"/>
      <c r="DD190" s="24174"/>
      <c r="DE190" s="24175"/>
      <c r="DF190" s="24173"/>
      <c r="DG190" s="24174"/>
      <c r="DH190" s="24174"/>
      <c r="DI190" s="24174"/>
      <c r="DJ190" s="24174"/>
      <c r="DK190" s="24174"/>
      <c r="DL190" s="24174"/>
      <c r="DM190" s="24174"/>
      <c r="DN190" s="24174"/>
      <c r="DO190" s="24174"/>
      <c r="DP190" s="24175"/>
      <c r="DQ190" s="24173"/>
      <c r="DR190" s="24174"/>
      <c r="DS190" s="24174"/>
      <c r="DT190" s="24174"/>
      <c r="DU190" s="24174"/>
      <c r="DV190" s="24174"/>
      <c r="DW190" s="24174"/>
      <c r="DX190" s="24174"/>
      <c r="DY190" s="24174"/>
      <c r="DZ190" s="24174"/>
      <c r="EA190" s="24175"/>
      <c r="EB190" s="24173"/>
      <c r="EC190" s="24174"/>
      <c r="ED190" s="24174"/>
      <c r="EE190" s="24174"/>
      <c r="EF190" s="24174"/>
      <c r="EG190" s="24174"/>
      <c r="EH190" s="24174"/>
      <c r="EI190" s="24174"/>
      <c r="EJ190" s="24174"/>
      <c r="EK190" s="24174"/>
      <c r="EL190" s="24175"/>
      <c r="EM190" s="24173"/>
      <c r="EN190" s="24174"/>
      <c r="EO190" s="24174"/>
      <c r="EP190" s="24174"/>
      <c r="EQ190" s="24174"/>
      <c r="ER190" s="24174"/>
      <c r="ES190" s="24174"/>
      <c r="ET190" s="24174"/>
      <c r="EU190" s="24174"/>
      <c r="EV190" s="24174"/>
      <c r="EW190" s="24175"/>
      <c r="EX190" s="24082"/>
      <c r="EY190" s="24083"/>
      <c r="EZ190" s="24174"/>
      <c r="FA190" s="24174"/>
      <c r="FB190" s="24083"/>
      <c r="FC190" s="24174"/>
      <c r="FD190" s="24174"/>
      <c r="FE190" s="24174"/>
      <c r="FF190" s="24174"/>
      <c r="FG190" s="24174"/>
      <c r="FH190" s="24175"/>
      <c r="FI190" s="24082"/>
      <c r="FJ190" s="24083"/>
      <c r="FK190" s="24174"/>
      <c r="FL190" s="24174"/>
      <c r="FM190" s="24083"/>
      <c r="FN190" s="24174"/>
      <c r="FO190" s="24174"/>
      <c r="FP190" s="24083"/>
      <c r="FQ190" s="24083"/>
      <c r="FR190" s="24083"/>
      <c r="FS190" s="24175"/>
      <c r="FT190" s="24084"/>
      <c r="FU190" s="1184" t="s">
        <v>757</v>
      </c>
      <c r="FV190" s="1568"/>
      <c r="FW190" s="1550"/>
      <c r="FX190" s="1550" t="str">
        <f t="shared" si="3"/>
        <v>Наименование централизованной системы горячего водоснабжения</v>
      </c>
      <c r="FY190" s="1550"/>
      <c r="FZ190" s="1550"/>
      <c r="GA190" s="1561">
        <v>0</v>
      </c>
    </row>
    <row r="191" spans="1:183" s="1747" customFormat="1" ht="23.25" customHeight="1">
      <c r="A191" s="1289"/>
      <c r="B191" s="1289"/>
      <c r="C191" s="1289"/>
      <c r="D191" s="1289"/>
      <c r="E191" s="24089"/>
      <c r="F191" s="24089" t="s">
        <v>109</v>
      </c>
      <c r="G191" s="24089"/>
      <c r="H191" s="24089"/>
      <c r="I191" s="24090" t="str">
        <f>S190&amp;".1"</f>
        <v>1.6.1.1</v>
      </c>
      <c r="J191" s="1289"/>
      <c r="K191" s="1289"/>
      <c r="L191" s="1295"/>
      <c r="M191" s="1674"/>
      <c r="N191" s="1674"/>
      <c r="O191" s="1674"/>
      <c r="P191" s="24092">
        <v>1</v>
      </c>
      <c r="Q191" s="1978"/>
      <c r="R191" s="292"/>
      <c r="S191" s="1976" t="str">
        <f>$I191</f>
        <v>1.6.1.1</v>
      </c>
      <c r="T191" s="221" t="s">
        <v>709</v>
      </c>
      <c r="U191" s="236"/>
      <c r="V191" s="24156"/>
      <c r="W191" s="24157"/>
      <c r="X191" s="24157"/>
      <c r="Y191" s="24157"/>
      <c r="Z191" s="24157"/>
      <c r="AA191" s="24157"/>
      <c r="AB191" s="24157"/>
      <c r="AC191" s="24157"/>
      <c r="AD191" s="24157"/>
      <c r="AE191" s="24157"/>
      <c r="AF191" s="24158"/>
      <c r="AG191" s="24159"/>
      <c r="AH191" s="24160"/>
      <c r="AI191" s="24160"/>
      <c r="AJ191" s="24160"/>
      <c r="AK191" s="24160"/>
      <c r="AL191" s="24160"/>
      <c r="AM191" s="24160"/>
      <c r="AN191" s="24160"/>
      <c r="AO191" s="24160"/>
      <c r="AP191" s="24160"/>
      <c r="AQ191" s="24160"/>
      <c r="AR191" s="24176"/>
      <c r="AS191" s="24177"/>
      <c r="AT191" s="24177"/>
      <c r="AU191" s="24177"/>
      <c r="AV191" s="24177"/>
      <c r="AW191" s="24177"/>
      <c r="AX191" s="24177"/>
      <c r="AY191" s="24177"/>
      <c r="AZ191" s="24177"/>
      <c r="BA191" s="24177"/>
      <c r="BB191" s="24178"/>
      <c r="BC191" s="24176"/>
      <c r="BD191" s="24177"/>
      <c r="BE191" s="24177"/>
      <c r="BF191" s="24177"/>
      <c r="BG191" s="24177"/>
      <c r="BH191" s="24177"/>
      <c r="BI191" s="24177"/>
      <c r="BJ191" s="24177"/>
      <c r="BK191" s="24177"/>
      <c r="BL191" s="24177"/>
      <c r="BM191" s="24178"/>
      <c r="BN191" s="24156"/>
      <c r="BO191" s="24157"/>
      <c r="BP191" s="24177"/>
      <c r="BQ191" s="24177"/>
      <c r="BR191" s="24157"/>
      <c r="BS191" s="24177"/>
      <c r="BT191" s="24177"/>
      <c r="BU191" s="24177"/>
      <c r="BV191" s="24177"/>
      <c r="BW191" s="24177"/>
      <c r="BX191" s="24178"/>
      <c r="BY191" s="24176"/>
      <c r="BZ191" s="24177"/>
      <c r="CA191" s="24177"/>
      <c r="CB191" s="24177"/>
      <c r="CC191" s="24177"/>
      <c r="CD191" s="24177"/>
      <c r="CE191" s="24177"/>
      <c r="CF191" s="24177"/>
      <c r="CG191" s="24177"/>
      <c r="CH191" s="24177"/>
      <c r="CI191" s="24178"/>
      <c r="CJ191" s="24176"/>
      <c r="CK191" s="24177"/>
      <c r="CL191" s="24177"/>
      <c r="CM191" s="24177"/>
      <c r="CN191" s="24177"/>
      <c r="CO191" s="24177"/>
      <c r="CP191" s="24177"/>
      <c r="CQ191" s="24177"/>
      <c r="CR191" s="24177"/>
      <c r="CS191" s="24177"/>
      <c r="CT191" s="24178"/>
      <c r="CU191" s="24176"/>
      <c r="CV191" s="24177"/>
      <c r="CW191" s="24177"/>
      <c r="CX191" s="24177"/>
      <c r="CY191" s="24177"/>
      <c r="CZ191" s="24177"/>
      <c r="DA191" s="24177"/>
      <c r="DB191" s="24177"/>
      <c r="DC191" s="24177"/>
      <c r="DD191" s="24177"/>
      <c r="DE191" s="24178"/>
      <c r="DF191" s="24176"/>
      <c r="DG191" s="24177"/>
      <c r="DH191" s="24177"/>
      <c r="DI191" s="24177"/>
      <c r="DJ191" s="24177"/>
      <c r="DK191" s="24177"/>
      <c r="DL191" s="24177"/>
      <c r="DM191" s="24177"/>
      <c r="DN191" s="24177"/>
      <c r="DO191" s="24177"/>
      <c r="DP191" s="24178"/>
      <c r="DQ191" s="24176"/>
      <c r="DR191" s="24177"/>
      <c r="DS191" s="24177"/>
      <c r="DT191" s="24177"/>
      <c r="DU191" s="24177"/>
      <c r="DV191" s="24177"/>
      <c r="DW191" s="24177"/>
      <c r="DX191" s="24177"/>
      <c r="DY191" s="24177"/>
      <c r="DZ191" s="24177"/>
      <c r="EA191" s="24178"/>
      <c r="EB191" s="24176"/>
      <c r="EC191" s="24177"/>
      <c r="ED191" s="24177"/>
      <c r="EE191" s="24177"/>
      <c r="EF191" s="24177"/>
      <c r="EG191" s="24177"/>
      <c r="EH191" s="24177"/>
      <c r="EI191" s="24177"/>
      <c r="EJ191" s="24177"/>
      <c r="EK191" s="24177"/>
      <c r="EL191" s="24178"/>
      <c r="EM191" s="24176"/>
      <c r="EN191" s="24177"/>
      <c r="EO191" s="24177"/>
      <c r="EP191" s="24177"/>
      <c r="EQ191" s="24177"/>
      <c r="ER191" s="24177"/>
      <c r="ES191" s="24177"/>
      <c r="ET191" s="24177"/>
      <c r="EU191" s="24177"/>
      <c r="EV191" s="24177"/>
      <c r="EW191" s="24178"/>
      <c r="EX191" s="24156"/>
      <c r="EY191" s="24157"/>
      <c r="EZ191" s="24177"/>
      <c r="FA191" s="24177"/>
      <c r="FB191" s="24157"/>
      <c r="FC191" s="24177"/>
      <c r="FD191" s="24177"/>
      <c r="FE191" s="24177"/>
      <c r="FF191" s="24177"/>
      <c r="FG191" s="24177"/>
      <c r="FH191" s="24178"/>
      <c r="FI191" s="24156"/>
      <c r="FJ191" s="24157"/>
      <c r="FK191" s="24177"/>
      <c r="FL191" s="24177"/>
      <c r="FM191" s="24157"/>
      <c r="FN191" s="24177"/>
      <c r="FO191" s="24177"/>
      <c r="FP191" s="24157"/>
      <c r="FQ191" s="24157"/>
      <c r="FR191" s="24157"/>
      <c r="FS191" s="24178"/>
      <c r="FT191" s="24161"/>
      <c r="FU191" s="1184" t="s">
        <v>710</v>
      </c>
      <c r="FV191" s="1568"/>
      <c r="FW191" s="1550"/>
      <c r="FX191" s="1550" t="str">
        <f t="shared" si="3"/>
        <v>Наименование признака дифференциации</v>
      </c>
      <c r="FY191" s="1550"/>
      <c r="FZ191" s="1550"/>
      <c r="GA191" s="1561">
        <v>0</v>
      </c>
    </row>
    <row r="192" spans="1:183" s="1747" customFormat="1" ht="23.25" customHeight="1">
      <c r="A192" s="1289"/>
      <c r="B192" s="1289"/>
      <c r="C192" s="1289"/>
      <c r="D192" s="1289"/>
      <c r="E192" s="24089"/>
      <c r="F192" s="24089" t="s">
        <v>109</v>
      </c>
      <c r="G192" s="24089"/>
      <c r="H192" s="24089"/>
      <c r="I192" s="24091"/>
      <c r="J192" s="24090" t="str">
        <f>I191&amp;".1"</f>
        <v>1.6.1.1.1</v>
      </c>
      <c r="K192" s="1289"/>
      <c r="L192" s="1295" t="s">
        <v>635</v>
      </c>
      <c r="M192" s="1674"/>
      <c r="N192" s="1674"/>
      <c r="O192" s="1674"/>
      <c r="P192" s="24092"/>
      <c r="Q192" s="24092">
        <v>1</v>
      </c>
      <c r="R192" s="293"/>
      <c r="S192" s="1976" t="str">
        <f>$J192</f>
        <v>1.6.1.1.1</v>
      </c>
      <c r="T192" s="222" t="s">
        <v>636</v>
      </c>
      <c r="U192" s="236"/>
      <c r="V192" s="24076"/>
      <c r="W192" s="24077"/>
      <c r="X192" s="24077"/>
      <c r="Y192" s="24077"/>
      <c r="Z192" s="24077"/>
      <c r="AA192" s="24077"/>
      <c r="AB192" s="24077"/>
      <c r="AC192" s="24077"/>
      <c r="AD192" s="24077"/>
      <c r="AE192" s="24077"/>
      <c r="AF192" s="24078"/>
      <c r="AG192" s="24076" t="s">
        <v>769</v>
      </c>
      <c r="AH192" s="24077"/>
      <c r="AI192" s="24077"/>
      <c r="AJ192" s="24077"/>
      <c r="AK192" s="24077"/>
      <c r="AL192" s="24077"/>
      <c r="AM192" s="24077"/>
      <c r="AN192" s="24077"/>
      <c r="AO192" s="24077"/>
      <c r="AP192" s="24077"/>
      <c r="AQ192" s="24077"/>
      <c r="AR192" s="24179"/>
      <c r="AS192" s="24180"/>
      <c r="AT192" s="24180"/>
      <c r="AU192" s="24180"/>
      <c r="AV192" s="24180"/>
      <c r="AW192" s="24180"/>
      <c r="AX192" s="24180"/>
      <c r="AY192" s="24180"/>
      <c r="AZ192" s="24180"/>
      <c r="BA192" s="24180"/>
      <c r="BB192" s="24181"/>
      <c r="BC192" s="24179"/>
      <c r="BD192" s="24180"/>
      <c r="BE192" s="24180"/>
      <c r="BF192" s="24180"/>
      <c r="BG192" s="24180"/>
      <c r="BH192" s="24180"/>
      <c r="BI192" s="24180"/>
      <c r="BJ192" s="24180"/>
      <c r="BK192" s="24180"/>
      <c r="BL192" s="24180"/>
      <c r="BM192" s="24181"/>
      <c r="BN192" s="24076"/>
      <c r="BO192" s="24077"/>
      <c r="BP192" s="24180"/>
      <c r="BQ192" s="24180"/>
      <c r="BR192" s="24077"/>
      <c r="BS192" s="24180"/>
      <c r="BT192" s="24180"/>
      <c r="BU192" s="24180"/>
      <c r="BV192" s="24180"/>
      <c r="BW192" s="24180"/>
      <c r="BX192" s="24181"/>
      <c r="BY192" s="24179"/>
      <c r="BZ192" s="24180"/>
      <c r="CA192" s="24180"/>
      <c r="CB192" s="24180"/>
      <c r="CC192" s="24180"/>
      <c r="CD192" s="24180"/>
      <c r="CE192" s="24180"/>
      <c r="CF192" s="24180"/>
      <c r="CG192" s="24180"/>
      <c r="CH192" s="24180"/>
      <c r="CI192" s="24181"/>
      <c r="CJ192" s="24179"/>
      <c r="CK192" s="24180"/>
      <c r="CL192" s="24180"/>
      <c r="CM192" s="24180"/>
      <c r="CN192" s="24180"/>
      <c r="CO192" s="24180"/>
      <c r="CP192" s="24180"/>
      <c r="CQ192" s="24180"/>
      <c r="CR192" s="24180"/>
      <c r="CS192" s="24180"/>
      <c r="CT192" s="24181"/>
      <c r="CU192" s="24179"/>
      <c r="CV192" s="24180"/>
      <c r="CW192" s="24180"/>
      <c r="CX192" s="24180"/>
      <c r="CY192" s="24180"/>
      <c r="CZ192" s="24180"/>
      <c r="DA192" s="24180"/>
      <c r="DB192" s="24180"/>
      <c r="DC192" s="24180"/>
      <c r="DD192" s="24180"/>
      <c r="DE192" s="24181"/>
      <c r="DF192" s="24179"/>
      <c r="DG192" s="24180"/>
      <c r="DH192" s="24180"/>
      <c r="DI192" s="24180"/>
      <c r="DJ192" s="24180"/>
      <c r="DK192" s="24180"/>
      <c r="DL192" s="24180"/>
      <c r="DM192" s="24180"/>
      <c r="DN192" s="24180"/>
      <c r="DO192" s="24180"/>
      <c r="DP192" s="24181"/>
      <c r="DQ192" s="24179"/>
      <c r="DR192" s="24180"/>
      <c r="DS192" s="24180"/>
      <c r="DT192" s="24180"/>
      <c r="DU192" s="24180"/>
      <c r="DV192" s="24180"/>
      <c r="DW192" s="24180"/>
      <c r="DX192" s="24180"/>
      <c r="DY192" s="24180"/>
      <c r="DZ192" s="24180"/>
      <c r="EA192" s="24181"/>
      <c r="EB192" s="24179"/>
      <c r="EC192" s="24180"/>
      <c r="ED192" s="24180"/>
      <c r="EE192" s="24180"/>
      <c r="EF192" s="24180"/>
      <c r="EG192" s="24180"/>
      <c r="EH192" s="24180"/>
      <c r="EI192" s="24180"/>
      <c r="EJ192" s="24180"/>
      <c r="EK192" s="24180"/>
      <c r="EL192" s="24181"/>
      <c r="EM192" s="24179"/>
      <c r="EN192" s="24180"/>
      <c r="EO192" s="24180"/>
      <c r="EP192" s="24180"/>
      <c r="EQ192" s="24180"/>
      <c r="ER192" s="24180"/>
      <c r="ES192" s="24180"/>
      <c r="ET192" s="24180"/>
      <c r="EU192" s="24180"/>
      <c r="EV192" s="24180"/>
      <c r="EW192" s="24181"/>
      <c r="EX192" s="24076"/>
      <c r="EY192" s="24077"/>
      <c r="EZ192" s="24180"/>
      <c r="FA192" s="24180"/>
      <c r="FB192" s="24077"/>
      <c r="FC192" s="24180"/>
      <c r="FD192" s="24180"/>
      <c r="FE192" s="24180"/>
      <c r="FF192" s="24180"/>
      <c r="FG192" s="24180"/>
      <c r="FH192" s="24181"/>
      <c r="FI192" s="24076"/>
      <c r="FJ192" s="24077"/>
      <c r="FK192" s="24180"/>
      <c r="FL192" s="24180"/>
      <c r="FM192" s="24077"/>
      <c r="FN192" s="24180"/>
      <c r="FO192" s="24180"/>
      <c r="FP192" s="24077"/>
      <c r="FQ192" s="24077"/>
      <c r="FR192" s="24077"/>
      <c r="FS192" s="24181"/>
      <c r="FT192" s="24078"/>
      <c r="FU192" s="1233" t="s">
        <v>711</v>
      </c>
      <c r="FV192" s="1568"/>
      <c r="FW192" s="1550"/>
      <c r="FX192" s="1550" t="str">
        <f t="shared" si="3"/>
        <v>Группа потребителей</v>
      </c>
      <c r="FY192" s="1550"/>
      <c r="FZ192" s="1550"/>
      <c r="GA192" s="1561">
        <v>0</v>
      </c>
    </row>
    <row r="193" spans="1:183" s="1747" customFormat="1" ht="23.25" customHeight="1">
      <c r="A193" s="1289"/>
      <c r="B193" s="1289"/>
      <c r="C193" s="1289"/>
      <c r="D193" s="1289"/>
      <c r="E193" s="24089"/>
      <c r="F193" s="24089" t="s">
        <v>109</v>
      </c>
      <c r="G193" s="24089"/>
      <c r="H193" s="24089"/>
      <c r="I193" s="24091"/>
      <c r="J193" s="24091"/>
      <c r="K193" s="24090" t="str">
        <f>J192&amp;".1"</f>
        <v>1.6.1.1.1.1</v>
      </c>
      <c r="L193" s="1295"/>
      <c r="M193" s="1674"/>
      <c r="N193" s="1674"/>
      <c r="O193" s="1674"/>
      <c r="P193" s="24092"/>
      <c r="Q193" s="24092"/>
      <c r="R193" s="293">
        <v>1</v>
      </c>
      <c r="S193" s="1976" t="str">
        <f>$K193</f>
        <v>1.6.1.1.1.1</v>
      </c>
      <c r="T193" s="1363"/>
      <c r="U193" s="236"/>
      <c r="V193" s="1286"/>
      <c r="W193" s="1286"/>
      <c r="X193" s="1286"/>
      <c r="Y193" s="1286"/>
      <c r="Z193" s="1286"/>
      <c r="AA193" s="1286"/>
      <c r="AB193" s="1286"/>
      <c r="AC193" s="24086"/>
      <c r="AD193" s="24085" t="s">
        <v>59</v>
      </c>
      <c r="AE193" s="24086"/>
      <c r="AF193" s="24085" t="s">
        <v>59</v>
      </c>
      <c r="AG193" s="687">
        <v>243.62</v>
      </c>
      <c r="AH193" s="687">
        <v>27.69</v>
      </c>
      <c r="AI193" s="687"/>
      <c r="AJ193" s="687"/>
      <c r="AK193" s="687">
        <v>3263.74</v>
      </c>
      <c r="AL193" s="687">
        <v>3916.49</v>
      </c>
      <c r="AM193" s="687"/>
      <c r="AN193" s="24093" t="s">
        <v>9</v>
      </c>
      <c r="AO193" s="23957" t="s">
        <v>59</v>
      </c>
      <c r="AP193" s="24095" t="s">
        <v>770</v>
      </c>
      <c r="AQ193" s="23957" t="s">
        <v>59</v>
      </c>
      <c r="AR193" s="687">
        <v>271.54000000000002</v>
      </c>
      <c r="AS193" s="687">
        <v>30.35</v>
      </c>
      <c r="AT193" s="687"/>
      <c r="AU193" s="687"/>
      <c r="AV193" s="687">
        <v>3645.6</v>
      </c>
      <c r="AW193" s="687"/>
      <c r="AX193" s="687"/>
      <c r="AY193" s="24093" t="s">
        <v>772</v>
      </c>
      <c r="AZ193" s="23957" t="s">
        <v>59</v>
      </c>
      <c r="BA193" s="24093" t="s">
        <v>773</v>
      </c>
      <c r="BB193" s="23957" t="s">
        <v>59</v>
      </c>
      <c r="BC193" s="687">
        <v>281.42</v>
      </c>
      <c r="BD193" s="687">
        <v>40.229999999999997</v>
      </c>
      <c r="BE193" s="687"/>
      <c r="BF193" s="687"/>
      <c r="BG193" s="687">
        <v>3645.06</v>
      </c>
      <c r="BH193" s="687"/>
      <c r="BI193" s="687"/>
      <c r="BJ193" s="24093" t="s">
        <v>774</v>
      </c>
      <c r="BK193" s="23957" t="s">
        <v>59</v>
      </c>
      <c r="BL193" s="24093" t="s">
        <v>775</v>
      </c>
      <c r="BM193" s="23957" t="s">
        <v>59</v>
      </c>
      <c r="BN193" s="687">
        <v>310.08999999999997</v>
      </c>
      <c r="BO193" s="687">
        <v>40.229999999999997</v>
      </c>
      <c r="BP193" s="687"/>
      <c r="BQ193" s="687"/>
      <c r="BR193" s="687">
        <v>4078.94</v>
      </c>
      <c r="BS193" s="687"/>
      <c r="BT193" s="687"/>
      <c r="BU193" s="24093" t="s">
        <v>776</v>
      </c>
      <c r="BV193" s="23957" t="s">
        <v>59</v>
      </c>
      <c r="BW193" s="24093" t="s">
        <v>777</v>
      </c>
      <c r="BX193" s="23957" t="s">
        <v>59</v>
      </c>
      <c r="BY193" s="687">
        <v>310.77</v>
      </c>
      <c r="BZ193" s="687">
        <v>40.909999999999997</v>
      </c>
      <c r="CA193" s="687"/>
      <c r="CB193" s="687"/>
      <c r="CC193" s="687">
        <v>4078.94</v>
      </c>
      <c r="CD193" s="687"/>
      <c r="CE193" s="687"/>
      <c r="CF193" s="24093" t="s">
        <v>778</v>
      </c>
      <c r="CG193" s="23957" t="s">
        <v>59</v>
      </c>
      <c r="CH193" s="24185">
        <v>46295</v>
      </c>
      <c r="CI193" s="23957" t="s">
        <v>59</v>
      </c>
      <c r="CJ193" s="687">
        <v>342.6</v>
      </c>
      <c r="CK193" s="687">
        <v>45.83</v>
      </c>
      <c r="CL193" s="687"/>
      <c r="CM193" s="687"/>
      <c r="CN193" s="687">
        <v>4485.6000000000004</v>
      </c>
      <c r="CO193" s="687"/>
      <c r="CP193" s="687"/>
      <c r="CQ193" s="24185">
        <v>46296</v>
      </c>
      <c r="CR193" s="23957" t="s">
        <v>59</v>
      </c>
      <c r="CS193" s="24093" t="s">
        <v>779</v>
      </c>
      <c r="CT193" s="23957" t="s">
        <v>59</v>
      </c>
      <c r="CU193" s="687">
        <f>CJ193</f>
        <v>342.6</v>
      </c>
      <c r="CV193" s="687">
        <f>CK193</f>
        <v>45.83</v>
      </c>
      <c r="CW193" s="687"/>
      <c r="CX193" s="687"/>
      <c r="CY193" s="687">
        <f>CN193</f>
        <v>4485.6000000000004</v>
      </c>
      <c r="CZ193" s="687"/>
      <c r="DA193" s="687"/>
      <c r="DB193" s="24093" t="s">
        <v>780</v>
      </c>
      <c r="DC193" s="23957" t="s">
        <v>59</v>
      </c>
      <c r="DD193" s="24093" t="s">
        <v>781</v>
      </c>
      <c r="DE193" s="23957" t="s">
        <v>59</v>
      </c>
      <c r="DF193" s="687">
        <v>368.95</v>
      </c>
      <c r="DG193" s="687">
        <v>46.36</v>
      </c>
      <c r="DH193" s="687"/>
      <c r="DI193" s="687"/>
      <c r="DJ193" s="687">
        <v>4875.8500000000004</v>
      </c>
      <c r="DK193" s="687"/>
      <c r="DL193" s="687"/>
      <c r="DM193" s="24093" t="s">
        <v>782</v>
      </c>
      <c r="DN193" s="23957" t="s">
        <v>59</v>
      </c>
      <c r="DO193" s="24093" t="s">
        <v>783</v>
      </c>
      <c r="DP193" s="23957" t="s">
        <v>59</v>
      </c>
      <c r="DQ193" s="687">
        <f>DF193</f>
        <v>368.95</v>
      </c>
      <c r="DR193" s="687">
        <f>DG193</f>
        <v>46.36</v>
      </c>
      <c r="DS193" s="687"/>
      <c r="DT193" s="687"/>
      <c r="DU193" s="687">
        <f>DJ193</f>
        <v>4875.8500000000004</v>
      </c>
      <c r="DV193" s="687"/>
      <c r="DW193" s="687"/>
      <c r="DX193" s="24093" t="s">
        <v>784</v>
      </c>
      <c r="DY193" s="23957" t="s">
        <v>59</v>
      </c>
      <c r="DZ193" s="24093" t="s">
        <v>785</v>
      </c>
      <c r="EA193" s="23957" t="s">
        <v>59</v>
      </c>
      <c r="EB193" s="687">
        <v>391.4</v>
      </c>
      <c r="EC193" s="687">
        <v>46.75</v>
      </c>
      <c r="ED193" s="687"/>
      <c r="EE193" s="687"/>
      <c r="EF193" s="687">
        <v>5209.29</v>
      </c>
      <c r="EG193" s="687"/>
      <c r="EH193" s="687"/>
      <c r="EI193" s="24093" t="s">
        <v>786</v>
      </c>
      <c r="EJ193" s="23957" t="s">
        <v>59</v>
      </c>
      <c r="EK193" s="24093" t="s">
        <v>787</v>
      </c>
      <c r="EL193" s="23957" t="s">
        <v>6</v>
      </c>
      <c r="EM193" s="1286"/>
      <c r="EN193" s="1286"/>
      <c r="EO193" s="1286"/>
      <c r="EP193" s="1286"/>
      <c r="EQ193" s="1286"/>
      <c r="ER193" s="1286"/>
      <c r="ES193" s="1286"/>
      <c r="ET193" s="24086"/>
      <c r="EU193" s="24085" t="s">
        <v>59</v>
      </c>
      <c r="EV193" s="24086"/>
      <c r="EW193" s="24085" t="s">
        <v>59</v>
      </c>
      <c r="EX193" s="1286"/>
      <c r="EY193" s="1286"/>
      <c r="EZ193" s="1286"/>
      <c r="FA193" s="1286"/>
      <c r="FB193" s="1286"/>
      <c r="FC193" s="1286"/>
      <c r="FD193" s="1286"/>
      <c r="FE193" s="24086"/>
      <c r="FF193" s="24085" t="s">
        <v>59</v>
      </c>
      <c r="FG193" s="24086"/>
      <c r="FH193" s="24085" t="s">
        <v>59</v>
      </c>
      <c r="FI193" s="1286"/>
      <c r="FJ193" s="1286"/>
      <c r="FK193" s="1286"/>
      <c r="FL193" s="1286"/>
      <c r="FM193" s="1286"/>
      <c r="FN193" s="1286"/>
      <c r="FO193" s="1286"/>
      <c r="FP193" s="24086"/>
      <c r="FQ193" s="24085" t="s">
        <v>59</v>
      </c>
      <c r="FR193" s="24086"/>
      <c r="FS193" s="24085" t="s">
        <v>59</v>
      </c>
      <c r="FT193" s="1364"/>
      <c r="FU19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93" s="1568" t="e">
        <f ca="1">STRCHECKDATE(V194:FT194)</f>
        <v>#NAME?</v>
      </c>
      <c r="FW193" s="1550"/>
      <c r="FX193" s="1550" t="str">
        <f t="shared" si="3"/>
        <v/>
      </c>
      <c r="FY193" s="1550"/>
      <c r="FZ193" s="1550"/>
      <c r="GA193" s="1561">
        <v>0</v>
      </c>
    </row>
    <row r="194" spans="1:183" s="1747" customFormat="1" ht="14.25" customHeight="1">
      <c r="A194" s="1289"/>
      <c r="B194" s="1289"/>
      <c r="C194" s="1289"/>
      <c r="D194" s="1289"/>
      <c r="E194" s="24089"/>
      <c r="F194" s="24089" t="s">
        <v>109</v>
      </c>
      <c r="G194" s="24089"/>
      <c r="H194" s="24089"/>
      <c r="I194" s="24091"/>
      <c r="J194" s="24091"/>
      <c r="K194" s="24090"/>
      <c r="L194" s="1295"/>
      <c r="M194" s="1674"/>
      <c r="N194" s="1674"/>
      <c r="O194" s="1674"/>
      <c r="P194" s="24092"/>
      <c r="Q194" s="24092"/>
      <c r="R194" s="293"/>
      <c r="S194" s="1982"/>
      <c r="T194" s="236"/>
      <c r="U194" s="236"/>
      <c r="V194" s="1286"/>
      <c r="W194" s="1286"/>
      <c r="X194" s="1286"/>
      <c r="Y194" s="1286"/>
      <c r="Z194" s="1286"/>
      <c r="AA194" s="1286"/>
      <c r="AB194" s="1286"/>
      <c r="AC194" s="24085"/>
      <c r="AD194" s="24085"/>
      <c r="AE194" s="24085"/>
      <c r="AF194" s="24085"/>
      <c r="AG194" s="261"/>
      <c r="AH194" s="261"/>
      <c r="AI194" s="261"/>
      <c r="AJ194" s="261"/>
      <c r="AK194" s="261"/>
      <c r="AL194" s="261"/>
      <c r="AM194" s="261"/>
      <c r="AN194" s="24094"/>
      <c r="AO194" s="23957"/>
      <c r="AP194" s="24096"/>
      <c r="AQ194" s="23957"/>
      <c r="AR194" s="261"/>
      <c r="AS194" s="261"/>
      <c r="AT194" s="261"/>
      <c r="AU194" s="261"/>
      <c r="AV194" s="261"/>
      <c r="AW194" s="261"/>
      <c r="AX194" s="261"/>
      <c r="AY194" s="24094"/>
      <c r="AZ194" s="23957"/>
      <c r="BA194" s="24094"/>
      <c r="BB194" s="23957"/>
      <c r="BC194" s="261"/>
      <c r="BD194" s="261"/>
      <c r="BE194" s="261"/>
      <c r="BF194" s="261"/>
      <c r="BG194" s="261"/>
      <c r="BH194" s="261"/>
      <c r="BI194" s="261"/>
      <c r="BJ194" s="24094"/>
      <c r="BK194" s="23957"/>
      <c r="BL194" s="24094"/>
      <c r="BM194" s="23957"/>
      <c r="BN194" s="261"/>
      <c r="BO194" s="261"/>
      <c r="BP194" s="261"/>
      <c r="BQ194" s="261"/>
      <c r="BR194" s="261"/>
      <c r="BS194" s="261"/>
      <c r="BT194" s="261"/>
      <c r="BU194" s="24094"/>
      <c r="BV194" s="23957"/>
      <c r="BW194" s="24094"/>
      <c r="BX194" s="23957"/>
      <c r="BY194" s="261"/>
      <c r="BZ194" s="261"/>
      <c r="CA194" s="261"/>
      <c r="CB194" s="261"/>
      <c r="CC194" s="261"/>
      <c r="CD194" s="261"/>
      <c r="CE194" s="261"/>
      <c r="CF194" s="24094"/>
      <c r="CG194" s="23957"/>
      <c r="CH194" s="24094"/>
      <c r="CI194" s="23957"/>
      <c r="CJ194" s="261"/>
      <c r="CK194" s="261"/>
      <c r="CL194" s="261"/>
      <c r="CM194" s="261"/>
      <c r="CN194" s="261"/>
      <c r="CO194" s="261"/>
      <c r="CP194" s="261"/>
      <c r="CQ194" s="24094"/>
      <c r="CR194" s="23957"/>
      <c r="CS194" s="24094"/>
      <c r="CT194" s="23957"/>
      <c r="CU194" s="261"/>
      <c r="CV194" s="261"/>
      <c r="CW194" s="261"/>
      <c r="CX194" s="261"/>
      <c r="CY194" s="261"/>
      <c r="CZ194" s="261"/>
      <c r="DA194" s="261"/>
      <c r="DB194" s="24094"/>
      <c r="DC194" s="23957"/>
      <c r="DD194" s="24094"/>
      <c r="DE194" s="23957"/>
      <c r="DF194" s="261"/>
      <c r="DG194" s="261"/>
      <c r="DH194" s="261"/>
      <c r="DI194" s="261"/>
      <c r="DJ194" s="261"/>
      <c r="DK194" s="261"/>
      <c r="DL194" s="261"/>
      <c r="DM194" s="24094"/>
      <c r="DN194" s="23957"/>
      <c r="DO194" s="24094"/>
      <c r="DP194" s="23957"/>
      <c r="DQ194" s="261"/>
      <c r="DR194" s="261"/>
      <c r="DS194" s="261"/>
      <c r="DT194" s="261"/>
      <c r="DU194" s="261"/>
      <c r="DV194" s="261"/>
      <c r="DW194" s="261"/>
      <c r="DX194" s="24094"/>
      <c r="DY194" s="23957"/>
      <c r="DZ194" s="24094"/>
      <c r="EA194" s="23957"/>
      <c r="EB194" s="261"/>
      <c r="EC194" s="261"/>
      <c r="ED194" s="261"/>
      <c r="EE194" s="261"/>
      <c r="EF194" s="261"/>
      <c r="EG194" s="261"/>
      <c r="EH194" s="261"/>
      <c r="EI194" s="24094"/>
      <c r="EJ194" s="23957"/>
      <c r="EK194" s="24094"/>
      <c r="EL194" s="23957"/>
      <c r="EM194" s="1286"/>
      <c r="EN194" s="1286"/>
      <c r="EO194" s="1286"/>
      <c r="EP194" s="1286"/>
      <c r="EQ194" s="1286"/>
      <c r="ER194" s="1286"/>
      <c r="ES194" s="1286"/>
      <c r="ET194" s="24085"/>
      <c r="EU194" s="24085"/>
      <c r="EV194" s="24085"/>
      <c r="EW194" s="24085"/>
      <c r="EX194" s="1286"/>
      <c r="EY194" s="1286"/>
      <c r="EZ194" s="1286"/>
      <c r="FA194" s="1286"/>
      <c r="FB194" s="1286"/>
      <c r="FC194" s="1286"/>
      <c r="FD194" s="1286"/>
      <c r="FE194" s="24085"/>
      <c r="FF194" s="24085"/>
      <c r="FG194" s="24085"/>
      <c r="FH194" s="24085"/>
      <c r="FI194" s="1286"/>
      <c r="FJ194" s="1286"/>
      <c r="FK194" s="1286"/>
      <c r="FL194" s="1286"/>
      <c r="FM194" s="1286"/>
      <c r="FN194" s="1286"/>
      <c r="FO194" s="1286"/>
      <c r="FP194" s="24085"/>
      <c r="FQ194" s="24085"/>
      <c r="FR194" s="24085"/>
      <c r="FS194" s="24085"/>
      <c r="FT194" s="1365"/>
      <c r="FU194" s="24162"/>
      <c r="FV194" s="1568"/>
      <c r="FW194" s="1550"/>
      <c r="FX194" s="1550" t="str">
        <f t="shared" si="3"/>
        <v/>
      </c>
      <c r="FY194" s="1550"/>
      <c r="FZ194" s="1550"/>
      <c r="GA194" s="1561">
        <v>0</v>
      </c>
    </row>
    <row r="195" spans="1:183" s="1747" customFormat="1" ht="21" customHeight="1">
      <c r="A195" s="1289"/>
      <c r="B195" s="1289"/>
      <c r="C195" s="1289"/>
      <c r="D195" s="1289"/>
      <c r="E195" s="24089"/>
      <c r="F195" s="24089" t="s">
        <v>109</v>
      </c>
      <c r="G195" s="24089"/>
      <c r="H195" s="24089"/>
      <c r="I195" s="24091"/>
      <c r="J195" s="24090"/>
      <c r="K195" s="1289"/>
      <c r="L195" s="1295"/>
      <c r="M195" s="1674"/>
      <c r="N195" s="1674"/>
      <c r="O195" s="1674"/>
      <c r="P195" s="24092"/>
      <c r="Q195" s="24092"/>
      <c r="R195" s="292"/>
      <c r="S195" s="3341"/>
      <c r="T195" s="3342" t="s">
        <v>712</v>
      </c>
      <c r="U195" s="3343"/>
      <c r="V195" s="3344"/>
      <c r="W195" s="3345"/>
      <c r="X195" s="3346"/>
      <c r="Y195" s="3347"/>
      <c r="Z195" s="3348"/>
      <c r="AA195" s="3349"/>
      <c r="AB195" s="3350"/>
      <c r="AC195" s="3351"/>
      <c r="AD195" s="3352"/>
      <c r="AE195" s="3353"/>
      <c r="AF195" s="3354"/>
      <c r="AG195" s="3355"/>
      <c r="AH195" s="3356"/>
      <c r="AI195" s="3357"/>
      <c r="AJ195" s="3358"/>
      <c r="AK195" s="3359"/>
      <c r="AL195" s="3360"/>
      <c r="AM195" s="3361"/>
      <c r="AN195" s="3362"/>
      <c r="AO195" s="3363"/>
      <c r="AP195" s="3364"/>
      <c r="AQ195" s="3365"/>
      <c r="AR195" s="7087"/>
      <c r="AS195" s="7088"/>
      <c r="AT195" s="7089"/>
      <c r="AU195" s="7090"/>
      <c r="AV195" s="7091"/>
      <c r="AW195" s="7092"/>
      <c r="AX195" s="7093"/>
      <c r="AY195" s="7094"/>
      <c r="AZ195" s="7095"/>
      <c r="BA195" s="7096"/>
      <c r="BB195" s="7097"/>
      <c r="BC195" s="7098"/>
      <c r="BD195" s="7099"/>
      <c r="BE195" s="12971"/>
      <c r="BF195" s="12972"/>
      <c r="BG195" s="21867"/>
      <c r="BH195" s="12973"/>
      <c r="BI195" s="12974"/>
      <c r="BJ195" s="12975"/>
      <c r="BK195" s="12976"/>
      <c r="BL195" s="12977"/>
      <c r="BM195" s="12978"/>
      <c r="BN195" s="3366"/>
      <c r="BO195" s="3367"/>
      <c r="BP195" s="12979"/>
      <c r="BQ195" s="12980"/>
      <c r="BR195" s="3368"/>
      <c r="BS195" s="12981"/>
      <c r="BT195" s="12982"/>
      <c r="BU195" s="12983"/>
      <c r="BV195" s="12984"/>
      <c r="BW195" s="12985"/>
      <c r="BX195" s="12986"/>
      <c r="BY195" s="12987"/>
      <c r="BZ195" s="12988"/>
      <c r="CA195" s="12989"/>
      <c r="CB195" s="12990"/>
      <c r="CC195" s="12991"/>
      <c r="CD195" s="12992"/>
      <c r="CE195" s="12993"/>
      <c r="CF195" s="12994"/>
      <c r="CG195" s="12995"/>
      <c r="CH195" s="12996"/>
      <c r="CI195" s="12997"/>
      <c r="CJ195" s="12998"/>
      <c r="CK195" s="12999"/>
      <c r="CL195" s="13000"/>
      <c r="CM195" s="13001"/>
      <c r="CN195" s="13002"/>
      <c r="CO195" s="13003"/>
      <c r="CP195" s="13004"/>
      <c r="CQ195" s="13005"/>
      <c r="CR195" s="13006"/>
      <c r="CS195" s="13007"/>
      <c r="CT195" s="13008"/>
      <c r="CU195" s="13009"/>
      <c r="CV195" s="13010"/>
      <c r="CW195" s="13011"/>
      <c r="CX195" s="13012"/>
      <c r="CY195" s="13013"/>
      <c r="CZ195" s="13014"/>
      <c r="DA195" s="13015"/>
      <c r="DB195" s="13016"/>
      <c r="DC195" s="13017"/>
      <c r="DD195" s="13018"/>
      <c r="DE195" s="13019"/>
      <c r="DF195" s="13020"/>
      <c r="DG195" s="13021"/>
      <c r="DH195" s="13022"/>
      <c r="DI195" s="13023"/>
      <c r="DJ195" s="13024"/>
      <c r="DK195" s="13025"/>
      <c r="DL195" s="13026"/>
      <c r="DM195" s="13027"/>
      <c r="DN195" s="13028"/>
      <c r="DO195" s="13029"/>
      <c r="DP195" s="13030"/>
      <c r="DQ195" s="13031"/>
      <c r="DR195" s="13032"/>
      <c r="DS195" s="13033"/>
      <c r="DT195" s="13034"/>
      <c r="DU195" s="13035"/>
      <c r="DV195" s="13036"/>
      <c r="DW195" s="13037"/>
      <c r="DX195" s="13038"/>
      <c r="DY195" s="13039"/>
      <c r="DZ195" s="13040"/>
      <c r="EA195" s="13041"/>
      <c r="EB195" s="13042"/>
      <c r="EC195" s="13043"/>
      <c r="ED195" s="13044"/>
      <c r="EE195" s="13045"/>
      <c r="EF195" s="13046"/>
      <c r="EG195" s="13047"/>
      <c r="EH195" s="13048"/>
      <c r="EI195" s="13049"/>
      <c r="EJ195" s="13050"/>
      <c r="EK195" s="13051"/>
      <c r="EL195" s="13052"/>
      <c r="EM195" s="21557"/>
      <c r="EN195" s="21558"/>
      <c r="EO195" s="13053"/>
      <c r="EP195" s="13054"/>
      <c r="EQ195" s="21559"/>
      <c r="ER195" s="13055"/>
      <c r="ES195" s="13056"/>
      <c r="ET195" s="13057"/>
      <c r="EU195" s="13058"/>
      <c r="EV195" s="13059"/>
      <c r="EW195" s="13060"/>
      <c r="EX195" s="3369"/>
      <c r="EY195" s="3370"/>
      <c r="EZ195" s="13061"/>
      <c r="FA195" s="13062"/>
      <c r="FB195" s="3371"/>
      <c r="FC195" s="13063"/>
      <c r="FD195" s="13064"/>
      <c r="FE195" s="13065"/>
      <c r="FF195" s="13066"/>
      <c r="FG195" s="13067"/>
      <c r="FH195" s="5703"/>
      <c r="FI195" s="22692"/>
      <c r="FJ195" s="22693"/>
      <c r="FK195" s="23477"/>
      <c r="FL195" s="23478"/>
      <c r="FM195" s="22694"/>
      <c r="FN195" s="23479"/>
      <c r="FO195" s="23480"/>
      <c r="FP195" s="22695"/>
      <c r="FQ195" s="22696"/>
      <c r="FR195" s="22697"/>
      <c r="FS195" s="23481"/>
      <c r="FT195" s="3372"/>
      <c r="FU195" s="1184" t="s">
        <v>713</v>
      </c>
      <c r="FV195" s="1568"/>
      <c r="FW195" s="1550"/>
      <c r="FX195" s="1550" t="str">
        <f t="shared" si="3"/>
        <v>Добавить значение признака дифференциации</v>
      </c>
      <c r="FY195" s="1550"/>
      <c r="FZ195" s="1550"/>
      <c r="GA195" s="1561">
        <v>0</v>
      </c>
    </row>
    <row r="196" spans="1:183" s="1747" customFormat="1" ht="23.25" customHeight="1">
      <c r="A196" s="1289"/>
      <c r="B196" s="1289"/>
      <c r="C196" s="1289"/>
      <c r="D196" s="1289"/>
      <c r="E196" s="24089"/>
      <c r="F196" s="24089"/>
      <c r="G196" s="24089"/>
      <c r="H196" s="24089"/>
      <c r="I196" s="24091"/>
      <c r="J196" s="24090" t="str">
        <f>I191&amp;".2"</f>
        <v>1.6.1.1.2</v>
      </c>
      <c r="K196" s="1289"/>
      <c r="L196" s="1295" t="s">
        <v>635</v>
      </c>
      <c r="M196" s="1674"/>
      <c r="N196" s="1674"/>
      <c r="O196" s="1674"/>
      <c r="P196" s="24092"/>
      <c r="Q196" s="24206" t="s">
        <v>96</v>
      </c>
      <c r="R196" s="293"/>
      <c r="S196" s="1976" t="str">
        <f>$J196</f>
        <v>1.6.1.1.2</v>
      </c>
      <c r="T196" s="222" t="s">
        <v>636</v>
      </c>
      <c r="U196" s="236"/>
      <c r="V196" s="24076"/>
      <c r="W196" s="24077"/>
      <c r="X196" s="24077"/>
      <c r="Y196" s="24077"/>
      <c r="Z196" s="24077"/>
      <c r="AA196" s="24077"/>
      <c r="AB196" s="24077"/>
      <c r="AC196" s="24077"/>
      <c r="AD196" s="24077"/>
      <c r="AE196" s="24077"/>
      <c r="AF196" s="24078"/>
      <c r="AG196" s="24076" t="s">
        <v>771</v>
      </c>
      <c r="AH196" s="24077"/>
      <c r="AI196" s="24077"/>
      <c r="AJ196" s="24077"/>
      <c r="AK196" s="24077"/>
      <c r="AL196" s="24077"/>
      <c r="AM196" s="24077"/>
      <c r="AN196" s="24077"/>
      <c r="AO196" s="24077"/>
      <c r="AP196" s="24077"/>
      <c r="AQ196" s="24077"/>
      <c r="AR196" s="24179"/>
      <c r="AS196" s="24180"/>
      <c r="AT196" s="24180"/>
      <c r="AU196" s="24180"/>
      <c r="AV196" s="24180"/>
      <c r="AW196" s="24180"/>
      <c r="AX196" s="24180"/>
      <c r="AY196" s="24180"/>
      <c r="AZ196" s="24180"/>
      <c r="BA196" s="24180"/>
      <c r="BB196" s="24181"/>
      <c r="BC196" s="24179"/>
      <c r="BD196" s="24180"/>
      <c r="BE196" s="24180"/>
      <c r="BF196" s="24180"/>
      <c r="BG196" s="24180"/>
      <c r="BH196" s="24180"/>
      <c r="BI196" s="24180"/>
      <c r="BJ196" s="24180"/>
      <c r="BK196" s="24180"/>
      <c r="BL196" s="24180"/>
      <c r="BM196" s="24181"/>
      <c r="BN196" s="24076"/>
      <c r="BO196" s="24077"/>
      <c r="BP196" s="24180"/>
      <c r="BQ196" s="24180"/>
      <c r="BR196" s="24077"/>
      <c r="BS196" s="24180"/>
      <c r="BT196" s="24180"/>
      <c r="BU196" s="24180"/>
      <c r="BV196" s="24180"/>
      <c r="BW196" s="24180"/>
      <c r="BX196" s="24181"/>
      <c r="BY196" s="24179"/>
      <c r="BZ196" s="24180"/>
      <c r="CA196" s="24180"/>
      <c r="CB196" s="24180"/>
      <c r="CC196" s="24180"/>
      <c r="CD196" s="24180"/>
      <c r="CE196" s="24180"/>
      <c r="CF196" s="24180"/>
      <c r="CG196" s="24180"/>
      <c r="CH196" s="24180"/>
      <c r="CI196" s="24181"/>
      <c r="CJ196" s="24179"/>
      <c r="CK196" s="24180"/>
      <c r="CL196" s="24180"/>
      <c r="CM196" s="24180"/>
      <c r="CN196" s="24180"/>
      <c r="CO196" s="24180"/>
      <c r="CP196" s="24180"/>
      <c r="CQ196" s="24180"/>
      <c r="CR196" s="24180"/>
      <c r="CS196" s="24180"/>
      <c r="CT196" s="24181"/>
      <c r="CU196" s="24179"/>
      <c r="CV196" s="24180"/>
      <c r="CW196" s="24180"/>
      <c r="CX196" s="24180"/>
      <c r="CY196" s="24180"/>
      <c r="CZ196" s="24180"/>
      <c r="DA196" s="24180"/>
      <c r="DB196" s="24180"/>
      <c r="DC196" s="24180"/>
      <c r="DD196" s="24180"/>
      <c r="DE196" s="24181"/>
      <c r="DF196" s="24179"/>
      <c r="DG196" s="24180"/>
      <c r="DH196" s="24180"/>
      <c r="DI196" s="24180"/>
      <c r="DJ196" s="24180"/>
      <c r="DK196" s="24180"/>
      <c r="DL196" s="24180"/>
      <c r="DM196" s="24180"/>
      <c r="DN196" s="24180"/>
      <c r="DO196" s="24180"/>
      <c r="DP196" s="24181"/>
      <c r="DQ196" s="24179"/>
      <c r="DR196" s="24180"/>
      <c r="DS196" s="24180"/>
      <c r="DT196" s="24180"/>
      <c r="DU196" s="24180"/>
      <c r="DV196" s="24180"/>
      <c r="DW196" s="24180"/>
      <c r="DX196" s="24180"/>
      <c r="DY196" s="24180"/>
      <c r="DZ196" s="24180"/>
      <c r="EA196" s="24181"/>
      <c r="EB196" s="24179"/>
      <c r="EC196" s="24180"/>
      <c r="ED196" s="24180"/>
      <c r="EE196" s="24180"/>
      <c r="EF196" s="24180"/>
      <c r="EG196" s="24180"/>
      <c r="EH196" s="24180"/>
      <c r="EI196" s="24180"/>
      <c r="EJ196" s="24180"/>
      <c r="EK196" s="24180"/>
      <c r="EL196" s="24181"/>
      <c r="EM196" s="24179"/>
      <c r="EN196" s="24180"/>
      <c r="EO196" s="24180"/>
      <c r="EP196" s="24180"/>
      <c r="EQ196" s="24180"/>
      <c r="ER196" s="24180"/>
      <c r="ES196" s="24180"/>
      <c r="ET196" s="24180"/>
      <c r="EU196" s="24180"/>
      <c r="EV196" s="24180"/>
      <c r="EW196" s="24181"/>
      <c r="EX196" s="24076"/>
      <c r="EY196" s="24077"/>
      <c r="EZ196" s="24180"/>
      <c r="FA196" s="24180"/>
      <c r="FB196" s="24077"/>
      <c r="FC196" s="24180"/>
      <c r="FD196" s="24180"/>
      <c r="FE196" s="24180"/>
      <c r="FF196" s="24180"/>
      <c r="FG196" s="24180"/>
      <c r="FH196" s="24181"/>
      <c r="FI196" s="24076"/>
      <c r="FJ196" s="24077"/>
      <c r="FK196" s="24180"/>
      <c r="FL196" s="24180"/>
      <c r="FM196" s="24077"/>
      <c r="FN196" s="24180"/>
      <c r="FO196" s="24180"/>
      <c r="FP196" s="24077"/>
      <c r="FQ196" s="24077"/>
      <c r="FR196" s="24077"/>
      <c r="FS196" s="24181"/>
      <c r="FT196" s="24078"/>
      <c r="FU196" s="1233" t="s">
        <v>711</v>
      </c>
      <c r="FV196" s="1568"/>
      <c r="FW196" s="1550"/>
      <c r="FX196" s="1550" t="str">
        <f t="shared" si="3"/>
        <v>Группа потребителей</v>
      </c>
      <c r="FY196" s="1550"/>
      <c r="FZ196" s="1550"/>
      <c r="GA196" s="1561">
        <v>0</v>
      </c>
    </row>
    <row r="197" spans="1:183" s="1747" customFormat="1" ht="23.25" customHeight="1">
      <c r="A197" s="1289"/>
      <c r="B197" s="1289"/>
      <c r="C197" s="1289"/>
      <c r="D197" s="1289"/>
      <c r="E197" s="24089"/>
      <c r="F197" s="24089"/>
      <c r="G197" s="24089"/>
      <c r="H197" s="24089"/>
      <c r="I197" s="24091"/>
      <c r="J197" s="24091" t="str">
        <f>I191&amp;".1"</f>
        <v>1.6.1.1.1</v>
      </c>
      <c r="K197" s="24090" t="str">
        <f>J196&amp;".1"</f>
        <v>1.6.1.1.2.1</v>
      </c>
      <c r="L197" s="1295"/>
      <c r="M197" s="1674"/>
      <c r="N197" s="1674"/>
      <c r="O197" s="1674"/>
      <c r="P197" s="24092"/>
      <c r="Q197" s="24092"/>
      <c r="R197" s="293">
        <v>1</v>
      </c>
      <c r="S197" s="1976" t="str">
        <f>$K197</f>
        <v>1.6.1.1.2.1</v>
      </c>
      <c r="T197" s="1363"/>
      <c r="U197" s="236"/>
      <c r="V197" s="1286"/>
      <c r="W197" s="1286"/>
      <c r="X197" s="1286"/>
      <c r="Y197" s="1286"/>
      <c r="Z197" s="1286"/>
      <c r="AA197" s="1286"/>
      <c r="AB197" s="1286"/>
      <c r="AC197" s="24086"/>
      <c r="AD197" s="24085" t="s">
        <v>59</v>
      </c>
      <c r="AE197" s="24086"/>
      <c r="AF197" s="24085" t="s">
        <v>59</v>
      </c>
      <c r="AG197" s="687">
        <v>204.28</v>
      </c>
      <c r="AH197" s="687">
        <v>27.69</v>
      </c>
      <c r="AI197" s="687"/>
      <c r="AJ197" s="687"/>
      <c r="AK197" s="687">
        <v>2585.3200000000002</v>
      </c>
      <c r="AL197" s="687"/>
      <c r="AM197" s="687"/>
      <c r="AN197" s="24093" t="s">
        <v>9</v>
      </c>
      <c r="AO197" s="23957" t="s">
        <v>59</v>
      </c>
      <c r="AP197" s="24095" t="s">
        <v>770</v>
      </c>
      <c r="AQ197" s="23957" t="s">
        <v>59</v>
      </c>
      <c r="AR197" s="687">
        <v>224.57</v>
      </c>
      <c r="AS197" s="687">
        <v>30.35</v>
      </c>
      <c r="AT197" s="687"/>
      <c r="AU197" s="687"/>
      <c r="AV197" s="687">
        <v>2843.84</v>
      </c>
      <c r="AW197" s="687"/>
      <c r="AX197" s="687"/>
      <c r="AY197" s="24093" t="s">
        <v>772</v>
      </c>
      <c r="AZ197" s="23957" t="s">
        <v>59</v>
      </c>
      <c r="BA197" s="24093" t="s">
        <v>773</v>
      </c>
      <c r="BB197" s="23957" t="s">
        <v>59</v>
      </c>
      <c r="BC197" s="687">
        <v>224.57</v>
      </c>
      <c r="BD197" s="687">
        <v>30.35</v>
      </c>
      <c r="BE197" s="687"/>
      <c r="BF197" s="687"/>
      <c r="BG197" s="687">
        <v>2870.14</v>
      </c>
      <c r="BH197" s="687"/>
      <c r="BI197" s="687"/>
      <c r="BJ197" s="24093" t="s">
        <v>774</v>
      </c>
      <c r="BK197" s="23957" t="s">
        <v>59</v>
      </c>
      <c r="BL197" s="24093" t="s">
        <v>775</v>
      </c>
      <c r="BM197" s="23957" t="s">
        <v>59</v>
      </c>
      <c r="BN197" s="687">
        <v>250.27</v>
      </c>
      <c r="BO197" s="687">
        <v>36.409999999999997</v>
      </c>
      <c r="BP197" s="687"/>
      <c r="BQ197" s="687"/>
      <c r="BR197" s="687">
        <v>3157.15</v>
      </c>
      <c r="BS197" s="687"/>
      <c r="BT197" s="687"/>
      <c r="BU197" s="24093" t="s">
        <v>776</v>
      </c>
      <c r="BV197" s="23957" t="s">
        <v>59</v>
      </c>
      <c r="BW197" s="24093" t="s">
        <v>777</v>
      </c>
      <c r="BX197" s="23957" t="s">
        <v>59</v>
      </c>
      <c r="BY197" s="687">
        <v>254.75</v>
      </c>
      <c r="BZ197" s="687">
        <v>37.03</v>
      </c>
      <c r="CA197" s="687"/>
      <c r="CB197" s="687"/>
      <c r="CC197" s="687">
        <v>3200.11</v>
      </c>
      <c r="CD197" s="687"/>
      <c r="CE197" s="687"/>
      <c r="CF197" s="24093" t="s">
        <v>778</v>
      </c>
      <c r="CG197" s="23957" t="s">
        <v>59</v>
      </c>
      <c r="CH197" s="24185">
        <v>46295</v>
      </c>
      <c r="CI197" s="23957" t="s">
        <v>59</v>
      </c>
      <c r="CJ197" s="687">
        <v>285.31</v>
      </c>
      <c r="CK197" s="687">
        <v>41.48</v>
      </c>
      <c r="CL197" s="687"/>
      <c r="CM197" s="687"/>
      <c r="CN197" s="687">
        <v>3584.12</v>
      </c>
      <c r="CO197" s="687"/>
      <c r="CP197" s="687"/>
      <c r="CQ197" s="24185">
        <v>46296</v>
      </c>
      <c r="CR197" s="23957" t="s">
        <v>59</v>
      </c>
      <c r="CS197" s="24093" t="s">
        <v>779</v>
      </c>
      <c r="CT197" s="23957" t="s">
        <v>59</v>
      </c>
      <c r="CU197" s="687">
        <f>CJ197</f>
        <v>285.31</v>
      </c>
      <c r="CV197" s="687">
        <f>CK197</f>
        <v>41.48</v>
      </c>
      <c r="CW197" s="687"/>
      <c r="CX197" s="687"/>
      <c r="CY197" s="687">
        <f>CN197</f>
        <v>3584.12</v>
      </c>
      <c r="CZ197" s="687"/>
      <c r="DA197" s="687"/>
      <c r="DB197" s="24093" t="s">
        <v>780</v>
      </c>
      <c r="DC197" s="23957" t="s">
        <v>59</v>
      </c>
      <c r="DD197" s="24093" t="s">
        <v>781</v>
      </c>
      <c r="DE197" s="23957" t="s">
        <v>59</v>
      </c>
      <c r="DF197" s="687">
        <v>310.14</v>
      </c>
      <c r="DG197" s="687">
        <v>45.09</v>
      </c>
      <c r="DH197" s="687"/>
      <c r="DI197" s="687"/>
      <c r="DJ197" s="687">
        <v>3895.94</v>
      </c>
      <c r="DK197" s="687"/>
      <c r="DL197" s="687"/>
      <c r="DM197" s="24093" t="s">
        <v>782</v>
      </c>
      <c r="DN197" s="23957" t="s">
        <v>59</v>
      </c>
      <c r="DO197" s="24093" t="s">
        <v>783</v>
      </c>
      <c r="DP197" s="23957" t="s">
        <v>59</v>
      </c>
      <c r="DQ197" s="687">
        <f>DF197</f>
        <v>310.14</v>
      </c>
      <c r="DR197" s="687">
        <f>DG197</f>
        <v>45.09</v>
      </c>
      <c r="DS197" s="687"/>
      <c r="DT197" s="687"/>
      <c r="DU197" s="687">
        <f>DJ197</f>
        <v>3895.94</v>
      </c>
      <c r="DV197" s="687"/>
      <c r="DW197" s="687"/>
      <c r="DX197" s="24093" t="s">
        <v>784</v>
      </c>
      <c r="DY197" s="23957" t="s">
        <v>59</v>
      </c>
      <c r="DZ197" s="24093" t="s">
        <v>785</v>
      </c>
      <c r="EA197" s="23957" t="s">
        <v>59</v>
      </c>
      <c r="EB197" s="687">
        <v>332.17</v>
      </c>
      <c r="EC197" s="687">
        <v>48.29</v>
      </c>
      <c r="ED197" s="687"/>
      <c r="EE197" s="687"/>
      <c r="EF197" s="687">
        <v>4172.55</v>
      </c>
      <c r="EG197" s="687"/>
      <c r="EH197" s="687"/>
      <c r="EI197" s="24093" t="s">
        <v>786</v>
      </c>
      <c r="EJ197" s="23957" t="s">
        <v>59</v>
      </c>
      <c r="EK197" s="24093" t="s">
        <v>787</v>
      </c>
      <c r="EL197" s="23957" t="s">
        <v>6</v>
      </c>
      <c r="EM197" s="1286"/>
      <c r="EN197" s="1286"/>
      <c r="EO197" s="1286"/>
      <c r="EP197" s="1286"/>
      <c r="EQ197" s="1286"/>
      <c r="ER197" s="1286"/>
      <c r="ES197" s="1286"/>
      <c r="ET197" s="24086"/>
      <c r="EU197" s="24085" t="s">
        <v>59</v>
      </c>
      <c r="EV197" s="24086"/>
      <c r="EW197" s="24085" t="s">
        <v>59</v>
      </c>
      <c r="EX197" s="1286"/>
      <c r="EY197" s="1286"/>
      <c r="EZ197" s="1286"/>
      <c r="FA197" s="1286"/>
      <c r="FB197" s="1286"/>
      <c r="FC197" s="1286"/>
      <c r="FD197" s="1286"/>
      <c r="FE197" s="24086"/>
      <c r="FF197" s="24085" t="s">
        <v>59</v>
      </c>
      <c r="FG197" s="24086"/>
      <c r="FH197" s="24085" t="s">
        <v>59</v>
      </c>
      <c r="FI197" s="1286"/>
      <c r="FJ197" s="1286"/>
      <c r="FK197" s="1286"/>
      <c r="FL197" s="1286"/>
      <c r="FM197" s="1286"/>
      <c r="FN197" s="1286"/>
      <c r="FO197" s="1286"/>
      <c r="FP197" s="24086"/>
      <c r="FQ197" s="24085" t="s">
        <v>59</v>
      </c>
      <c r="FR197" s="24086"/>
      <c r="FS197" s="24085" t="s">
        <v>59</v>
      </c>
      <c r="FT197" s="1364"/>
      <c r="FU19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197" s="1568" t="e">
        <f ca="1">STRCHECKDATE(V198:FT198)</f>
        <v>#NAME?</v>
      </c>
      <c r="FW197" s="1550"/>
      <c r="FX197" s="1550" t="str">
        <f t="shared" si="3"/>
        <v/>
      </c>
      <c r="FY197" s="1550"/>
      <c r="FZ197" s="1550"/>
      <c r="GA197" s="1561">
        <v>0</v>
      </c>
    </row>
    <row r="198" spans="1:183" s="1747" customFormat="1" ht="14.25" customHeight="1">
      <c r="A198" s="1289"/>
      <c r="B198" s="1289"/>
      <c r="C198" s="1289"/>
      <c r="D198" s="1289"/>
      <c r="E198" s="24089"/>
      <c r="F198" s="24089"/>
      <c r="G198" s="24089"/>
      <c r="H198" s="24089"/>
      <c r="I198" s="24091"/>
      <c r="J198" s="24091" t="str">
        <f>I191&amp;".1"</f>
        <v>1.6.1.1.1</v>
      </c>
      <c r="K198" s="24090"/>
      <c r="L198" s="1295"/>
      <c r="M198" s="1674"/>
      <c r="N198" s="1674"/>
      <c r="O198" s="1674"/>
      <c r="P198" s="24092"/>
      <c r="Q198" s="24092"/>
      <c r="R198" s="293"/>
      <c r="S198" s="1982"/>
      <c r="T198" s="236"/>
      <c r="U198" s="236"/>
      <c r="V198" s="1286"/>
      <c r="W198" s="1286"/>
      <c r="X198" s="1286"/>
      <c r="Y198" s="1286"/>
      <c r="Z198" s="1286"/>
      <c r="AA198" s="1286"/>
      <c r="AB198" s="1286"/>
      <c r="AC198" s="24085"/>
      <c r="AD198" s="24085"/>
      <c r="AE198" s="24085"/>
      <c r="AF198" s="24085"/>
      <c r="AG198" s="261"/>
      <c r="AH198" s="261"/>
      <c r="AI198" s="261"/>
      <c r="AJ198" s="261"/>
      <c r="AK198" s="261"/>
      <c r="AL198" s="261"/>
      <c r="AM198" s="261"/>
      <c r="AN198" s="24094"/>
      <c r="AO198" s="23957"/>
      <c r="AP198" s="24096"/>
      <c r="AQ198" s="23957"/>
      <c r="AR198" s="261"/>
      <c r="AS198" s="261"/>
      <c r="AT198" s="261"/>
      <c r="AU198" s="261"/>
      <c r="AV198" s="261"/>
      <c r="AW198" s="261"/>
      <c r="AX198" s="261"/>
      <c r="AY198" s="24094"/>
      <c r="AZ198" s="23957"/>
      <c r="BA198" s="24094"/>
      <c r="BB198" s="23957"/>
      <c r="BC198" s="261"/>
      <c r="BD198" s="261"/>
      <c r="BE198" s="261"/>
      <c r="BF198" s="261"/>
      <c r="BG198" s="261"/>
      <c r="BH198" s="261"/>
      <c r="BI198" s="261"/>
      <c r="BJ198" s="24094"/>
      <c r="BK198" s="23957"/>
      <c r="BL198" s="24094"/>
      <c r="BM198" s="23957"/>
      <c r="BN198" s="261"/>
      <c r="BO198" s="261"/>
      <c r="BP198" s="261"/>
      <c r="BQ198" s="261"/>
      <c r="BR198" s="261"/>
      <c r="BS198" s="261"/>
      <c r="BT198" s="261"/>
      <c r="BU198" s="24094"/>
      <c r="BV198" s="23957"/>
      <c r="BW198" s="24094"/>
      <c r="BX198" s="23957"/>
      <c r="BY198" s="261"/>
      <c r="BZ198" s="261"/>
      <c r="CA198" s="261"/>
      <c r="CB198" s="261"/>
      <c r="CC198" s="261"/>
      <c r="CD198" s="261"/>
      <c r="CE198" s="261"/>
      <c r="CF198" s="24094"/>
      <c r="CG198" s="23957"/>
      <c r="CH198" s="24094"/>
      <c r="CI198" s="23957"/>
      <c r="CJ198" s="261"/>
      <c r="CK198" s="261"/>
      <c r="CL198" s="261"/>
      <c r="CM198" s="261"/>
      <c r="CN198" s="261"/>
      <c r="CO198" s="261"/>
      <c r="CP198" s="261"/>
      <c r="CQ198" s="24094"/>
      <c r="CR198" s="23957"/>
      <c r="CS198" s="24094"/>
      <c r="CT198" s="23957"/>
      <c r="CU198" s="261"/>
      <c r="CV198" s="261"/>
      <c r="CW198" s="261"/>
      <c r="CX198" s="261"/>
      <c r="CY198" s="261"/>
      <c r="CZ198" s="261"/>
      <c r="DA198" s="261"/>
      <c r="DB198" s="24094"/>
      <c r="DC198" s="23957"/>
      <c r="DD198" s="24094"/>
      <c r="DE198" s="23957"/>
      <c r="DF198" s="261"/>
      <c r="DG198" s="261"/>
      <c r="DH198" s="261"/>
      <c r="DI198" s="261"/>
      <c r="DJ198" s="261"/>
      <c r="DK198" s="261"/>
      <c r="DL198" s="261"/>
      <c r="DM198" s="24094"/>
      <c r="DN198" s="23957"/>
      <c r="DO198" s="24094"/>
      <c r="DP198" s="23957"/>
      <c r="DQ198" s="261"/>
      <c r="DR198" s="261"/>
      <c r="DS198" s="261"/>
      <c r="DT198" s="261"/>
      <c r="DU198" s="261"/>
      <c r="DV198" s="261"/>
      <c r="DW198" s="261"/>
      <c r="DX198" s="24094"/>
      <c r="DY198" s="23957"/>
      <c r="DZ198" s="24094"/>
      <c r="EA198" s="23957"/>
      <c r="EB198" s="261"/>
      <c r="EC198" s="261"/>
      <c r="ED198" s="261"/>
      <c r="EE198" s="261"/>
      <c r="EF198" s="261"/>
      <c r="EG198" s="261"/>
      <c r="EH198" s="261"/>
      <c r="EI198" s="24094"/>
      <c r="EJ198" s="23957"/>
      <c r="EK198" s="24094"/>
      <c r="EL198" s="23957"/>
      <c r="EM198" s="1286"/>
      <c r="EN198" s="1286"/>
      <c r="EO198" s="1286"/>
      <c r="EP198" s="1286"/>
      <c r="EQ198" s="1286"/>
      <c r="ER198" s="1286"/>
      <c r="ES198" s="1286"/>
      <c r="ET198" s="24085"/>
      <c r="EU198" s="24085"/>
      <c r="EV198" s="24085"/>
      <c r="EW198" s="24085"/>
      <c r="EX198" s="1286"/>
      <c r="EY198" s="1286"/>
      <c r="EZ198" s="1286"/>
      <c r="FA198" s="1286"/>
      <c r="FB198" s="1286"/>
      <c r="FC198" s="1286"/>
      <c r="FD198" s="1286"/>
      <c r="FE198" s="24085"/>
      <c r="FF198" s="24085"/>
      <c r="FG198" s="24085"/>
      <c r="FH198" s="24085"/>
      <c r="FI198" s="1286"/>
      <c r="FJ198" s="1286"/>
      <c r="FK198" s="1286"/>
      <c r="FL198" s="1286"/>
      <c r="FM198" s="1286"/>
      <c r="FN198" s="1286"/>
      <c r="FO198" s="1286"/>
      <c r="FP198" s="24085"/>
      <c r="FQ198" s="24085"/>
      <c r="FR198" s="24085"/>
      <c r="FS198" s="24085"/>
      <c r="FT198" s="1365"/>
      <c r="FU198" s="24162"/>
      <c r="FV198" s="1568"/>
      <c r="FW198" s="1550"/>
      <c r="FX198" s="1550" t="str">
        <f t="shared" si="3"/>
        <v/>
      </c>
      <c r="FY198" s="1550"/>
      <c r="FZ198" s="1550"/>
      <c r="GA198" s="1561">
        <v>0</v>
      </c>
    </row>
    <row r="199" spans="1:183" s="1747" customFormat="1" ht="21" customHeight="1">
      <c r="A199" s="1289"/>
      <c r="B199" s="1289"/>
      <c r="C199" s="1289"/>
      <c r="D199" s="1289"/>
      <c r="E199" s="24089"/>
      <c r="F199" s="24089"/>
      <c r="G199" s="24089"/>
      <c r="H199" s="24089"/>
      <c r="I199" s="24091"/>
      <c r="J199" s="24090" t="str">
        <f>I191&amp;".1"</f>
        <v>1.6.1.1.1</v>
      </c>
      <c r="K199" s="1289"/>
      <c r="L199" s="1295"/>
      <c r="M199" s="1674"/>
      <c r="N199" s="1674"/>
      <c r="O199" s="1674"/>
      <c r="P199" s="24092"/>
      <c r="Q199" s="24092"/>
      <c r="R199" s="292"/>
      <c r="S199" s="3373"/>
      <c r="T199" s="3374" t="s">
        <v>712</v>
      </c>
      <c r="U199" s="3375"/>
      <c r="V199" s="3376"/>
      <c r="W199" s="3377"/>
      <c r="X199" s="3378"/>
      <c r="Y199" s="3379"/>
      <c r="Z199" s="3380"/>
      <c r="AA199" s="3381"/>
      <c r="AB199" s="3382"/>
      <c r="AC199" s="3383"/>
      <c r="AD199" s="3384"/>
      <c r="AE199" s="3385"/>
      <c r="AF199" s="3386"/>
      <c r="AG199" s="3387"/>
      <c r="AH199" s="3388"/>
      <c r="AI199" s="3389"/>
      <c r="AJ199" s="3390"/>
      <c r="AK199" s="3391"/>
      <c r="AL199" s="3392"/>
      <c r="AM199" s="3393"/>
      <c r="AN199" s="3394"/>
      <c r="AO199" s="3395"/>
      <c r="AP199" s="3396"/>
      <c r="AQ199" s="3397"/>
      <c r="AR199" s="7100"/>
      <c r="AS199" s="7101"/>
      <c r="AT199" s="7102"/>
      <c r="AU199" s="7103"/>
      <c r="AV199" s="7104"/>
      <c r="AW199" s="7105"/>
      <c r="AX199" s="7106"/>
      <c r="AY199" s="7107"/>
      <c r="AZ199" s="7108"/>
      <c r="BA199" s="7109"/>
      <c r="BB199" s="7110"/>
      <c r="BC199" s="7111"/>
      <c r="BD199" s="7112"/>
      <c r="BE199" s="13068"/>
      <c r="BF199" s="13069"/>
      <c r="BG199" s="21868"/>
      <c r="BH199" s="13070"/>
      <c r="BI199" s="13071"/>
      <c r="BJ199" s="13072"/>
      <c r="BK199" s="13073"/>
      <c r="BL199" s="13074"/>
      <c r="BM199" s="13075"/>
      <c r="BN199" s="3398"/>
      <c r="BO199" s="3399"/>
      <c r="BP199" s="13076"/>
      <c r="BQ199" s="13077"/>
      <c r="BR199" s="3400"/>
      <c r="BS199" s="13078"/>
      <c r="BT199" s="13079"/>
      <c r="BU199" s="13080"/>
      <c r="BV199" s="13081"/>
      <c r="BW199" s="13082"/>
      <c r="BX199" s="13083"/>
      <c r="BY199" s="13084"/>
      <c r="BZ199" s="13085"/>
      <c r="CA199" s="13086"/>
      <c r="CB199" s="13087"/>
      <c r="CC199" s="13088"/>
      <c r="CD199" s="13089"/>
      <c r="CE199" s="13090"/>
      <c r="CF199" s="13091"/>
      <c r="CG199" s="13092"/>
      <c r="CH199" s="13093"/>
      <c r="CI199" s="13094"/>
      <c r="CJ199" s="13095"/>
      <c r="CK199" s="13096"/>
      <c r="CL199" s="13097"/>
      <c r="CM199" s="13098"/>
      <c r="CN199" s="13099"/>
      <c r="CO199" s="13100"/>
      <c r="CP199" s="13101"/>
      <c r="CQ199" s="13102"/>
      <c r="CR199" s="13103"/>
      <c r="CS199" s="13104"/>
      <c r="CT199" s="13105"/>
      <c r="CU199" s="13106"/>
      <c r="CV199" s="13107"/>
      <c r="CW199" s="13108"/>
      <c r="CX199" s="13109"/>
      <c r="CY199" s="13110"/>
      <c r="CZ199" s="13111"/>
      <c r="DA199" s="13112"/>
      <c r="DB199" s="13113"/>
      <c r="DC199" s="13114"/>
      <c r="DD199" s="13115"/>
      <c r="DE199" s="13116"/>
      <c r="DF199" s="13117"/>
      <c r="DG199" s="13118"/>
      <c r="DH199" s="13119"/>
      <c r="DI199" s="13120"/>
      <c r="DJ199" s="13121"/>
      <c r="DK199" s="13122"/>
      <c r="DL199" s="13123"/>
      <c r="DM199" s="13124"/>
      <c r="DN199" s="13125"/>
      <c r="DO199" s="13126"/>
      <c r="DP199" s="13127"/>
      <c r="DQ199" s="13128"/>
      <c r="DR199" s="13129"/>
      <c r="DS199" s="13130"/>
      <c r="DT199" s="13131"/>
      <c r="DU199" s="13132"/>
      <c r="DV199" s="13133"/>
      <c r="DW199" s="13134"/>
      <c r="DX199" s="13135"/>
      <c r="DY199" s="13136"/>
      <c r="DZ199" s="13137"/>
      <c r="EA199" s="13138"/>
      <c r="EB199" s="13139"/>
      <c r="EC199" s="13140"/>
      <c r="ED199" s="13141"/>
      <c r="EE199" s="13142"/>
      <c r="EF199" s="13143"/>
      <c r="EG199" s="13144"/>
      <c r="EH199" s="13145"/>
      <c r="EI199" s="13146"/>
      <c r="EJ199" s="13147"/>
      <c r="EK199" s="13148"/>
      <c r="EL199" s="13149"/>
      <c r="EM199" s="21560"/>
      <c r="EN199" s="21561"/>
      <c r="EO199" s="13150"/>
      <c r="EP199" s="13151"/>
      <c r="EQ199" s="21562"/>
      <c r="ER199" s="13152"/>
      <c r="ES199" s="13153"/>
      <c r="ET199" s="13154"/>
      <c r="EU199" s="13155"/>
      <c r="EV199" s="13156"/>
      <c r="EW199" s="13157"/>
      <c r="EX199" s="3401"/>
      <c r="EY199" s="3402"/>
      <c r="EZ199" s="13158"/>
      <c r="FA199" s="13159"/>
      <c r="FB199" s="3403"/>
      <c r="FC199" s="13160"/>
      <c r="FD199" s="13161"/>
      <c r="FE199" s="13162"/>
      <c r="FF199" s="13163"/>
      <c r="FG199" s="13164"/>
      <c r="FH199" s="5704"/>
      <c r="FI199" s="22698"/>
      <c r="FJ199" s="22699"/>
      <c r="FK199" s="23482"/>
      <c r="FL199" s="23483"/>
      <c r="FM199" s="22700"/>
      <c r="FN199" s="23484"/>
      <c r="FO199" s="23485"/>
      <c r="FP199" s="22701"/>
      <c r="FQ199" s="22702"/>
      <c r="FR199" s="22703"/>
      <c r="FS199" s="23486"/>
      <c r="FT199" s="3404"/>
      <c r="FU199" s="1184" t="s">
        <v>713</v>
      </c>
      <c r="FV199" s="1568"/>
      <c r="FW199" s="1550"/>
      <c r="FX199" s="1550" t="str">
        <f t="shared" si="3"/>
        <v>Добавить значение признака дифференциации</v>
      </c>
      <c r="FY199" s="1550"/>
      <c r="FZ199" s="1550"/>
      <c r="GA199" s="1561">
        <v>0</v>
      </c>
    </row>
    <row r="200" spans="1:183" s="1747" customFormat="1" ht="21" customHeight="1">
      <c r="A200" s="1289"/>
      <c r="B200" s="1289"/>
      <c r="C200" s="1289"/>
      <c r="D200" s="1289"/>
      <c r="E200" s="24089"/>
      <c r="F200" s="24089" t="s">
        <v>109</v>
      </c>
      <c r="G200" s="24089"/>
      <c r="H200" s="24089"/>
      <c r="I200" s="24090"/>
      <c r="J200" s="1289"/>
      <c r="K200" s="1289"/>
      <c r="L200" s="1295"/>
      <c r="M200" s="1674"/>
      <c r="N200" s="1674"/>
      <c r="O200" s="1674"/>
      <c r="P200" s="24092"/>
      <c r="Q200" s="1978"/>
      <c r="R200" s="292"/>
      <c r="S200" s="3405"/>
      <c r="T200" s="3406" t="s">
        <v>641</v>
      </c>
      <c r="U200" s="3407"/>
      <c r="V200" s="3408"/>
      <c r="W200" s="3409"/>
      <c r="X200" s="3410"/>
      <c r="Y200" s="3411"/>
      <c r="Z200" s="3412"/>
      <c r="AA200" s="3413"/>
      <c r="AB200" s="3414"/>
      <c r="AC200" s="3415"/>
      <c r="AD200" s="3416"/>
      <c r="AE200" s="3417"/>
      <c r="AF200" s="3418"/>
      <c r="AG200" s="3419"/>
      <c r="AH200" s="3420"/>
      <c r="AI200" s="3421"/>
      <c r="AJ200" s="3422"/>
      <c r="AK200" s="3423"/>
      <c r="AL200" s="3424"/>
      <c r="AM200" s="3425"/>
      <c r="AN200" s="3426"/>
      <c r="AO200" s="3427"/>
      <c r="AP200" s="3428"/>
      <c r="AQ200" s="3429"/>
      <c r="AR200" s="7113"/>
      <c r="AS200" s="7114"/>
      <c r="AT200" s="7115"/>
      <c r="AU200" s="7116"/>
      <c r="AV200" s="7117"/>
      <c r="AW200" s="7118"/>
      <c r="AX200" s="7119"/>
      <c r="AY200" s="7120"/>
      <c r="AZ200" s="7121"/>
      <c r="BA200" s="7122"/>
      <c r="BB200" s="7123"/>
      <c r="BC200" s="7124"/>
      <c r="BD200" s="7125"/>
      <c r="BE200" s="13165"/>
      <c r="BF200" s="13166"/>
      <c r="BG200" s="21869"/>
      <c r="BH200" s="13167"/>
      <c r="BI200" s="13168"/>
      <c r="BJ200" s="13169"/>
      <c r="BK200" s="13170"/>
      <c r="BL200" s="13171"/>
      <c r="BM200" s="13172"/>
      <c r="BN200" s="3430"/>
      <c r="BO200" s="3431"/>
      <c r="BP200" s="13173"/>
      <c r="BQ200" s="13174"/>
      <c r="BR200" s="3432"/>
      <c r="BS200" s="13175"/>
      <c r="BT200" s="13176"/>
      <c r="BU200" s="13177"/>
      <c r="BV200" s="13178"/>
      <c r="BW200" s="13179"/>
      <c r="BX200" s="13180"/>
      <c r="BY200" s="13181"/>
      <c r="BZ200" s="13182"/>
      <c r="CA200" s="13183"/>
      <c r="CB200" s="13184"/>
      <c r="CC200" s="13185"/>
      <c r="CD200" s="13186"/>
      <c r="CE200" s="13187"/>
      <c r="CF200" s="13188"/>
      <c r="CG200" s="13189"/>
      <c r="CH200" s="13190"/>
      <c r="CI200" s="13191"/>
      <c r="CJ200" s="13192"/>
      <c r="CK200" s="13193"/>
      <c r="CL200" s="13194"/>
      <c r="CM200" s="13195"/>
      <c r="CN200" s="13196"/>
      <c r="CO200" s="13197"/>
      <c r="CP200" s="13198"/>
      <c r="CQ200" s="13199"/>
      <c r="CR200" s="13200"/>
      <c r="CS200" s="13201"/>
      <c r="CT200" s="13202"/>
      <c r="CU200" s="13203"/>
      <c r="CV200" s="13204"/>
      <c r="CW200" s="13205"/>
      <c r="CX200" s="13206"/>
      <c r="CY200" s="13207"/>
      <c r="CZ200" s="13208"/>
      <c r="DA200" s="13209"/>
      <c r="DB200" s="13210"/>
      <c r="DC200" s="13211"/>
      <c r="DD200" s="13212"/>
      <c r="DE200" s="13213"/>
      <c r="DF200" s="13214"/>
      <c r="DG200" s="13215"/>
      <c r="DH200" s="13216"/>
      <c r="DI200" s="13217"/>
      <c r="DJ200" s="13218"/>
      <c r="DK200" s="13219"/>
      <c r="DL200" s="13220"/>
      <c r="DM200" s="13221"/>
      <c r="DN200" s="13222"/>
      <c r="DO200" s="13223"/>
      <c r="DP200" s="13224"/>
      <c r="DQ200" s="13225"/>
      <c r="DR200" s="13226"/>
      <c r="DS200" s="13227"/>
      <c r="DT200" s="13228"/>
      <c r="DU200" s="13229"/>
      <c r="DV200" s="13230"/>
      <c r="DW200" s="13231"/>
      <c r="DX200" s="13232"/>
      <c r="DY200" s="13233"/>
      <c r="DZ200" s="13234"/>
      <c r="EA200" s="13235"/>
      <c r="EB200" s="13236"/>
      <c r="EC200" s="13237"/>
      <c r="ED200" s="13238"/>
      <c r="EE200" s="13239"/>
      <c r="EF200" s="13240"/>
      <c r="EG200" s="13241"/>
      <c r="EH200" s="13242"/>
      <c r="EI200" s="13243"/>
      <c r="EJ200" s="13244"/>
      <c r="EK200" s="13245"/>
      <c r="EL200" s="13246"/>
      <c r="EM200" s="21563"/>
      <c r="EN200" s="21564"/>
      <c r="EO200" s="13247"/>
      <c r="EP200" s="13248"/>
      <c r="EQ200" s="21565"/>
      <c r="ER200" s="13249"/>
      <c r="ES200" s="13250"/>
      <c r="ET200" s="13251"/>
      <c r="EU200" s="13252"/>
      <c r="EV200" s="13253"/>
      <c r="EW200" s="13254"/>
      <c r="EX200" s="3433"/>
      <c r="EY200" s="3434"/>
      <c r="EZ200" s="13255"/>
      <c r="FA200" s="13256"/>
      <c r="FB200" s="3435"/>
      <c r="FC200" s="13257"/>
      <c r="FD200" s="13258"/>
      <c r="FE200" s="13259"/>
      <c r="FF200" s="13260"/>
      <c r="FG200" s="13261"/>
      <c r="FH200" s="5705"/>
      <c r="FI200" s="22704"/>
      <c r="FJ200" s="22705"/>
      <c r="FK200" s="23487"/>
      <c r="FL200" s="23488"/>
      <c r="FM200" s="22706"/>
      <c r="FN200" s="23489"/>
      <c r="FO200" s="23490"/>
      <c r="FP200" s="22707"/>
      <c r="FQ200" s="22708"/>
      <c r="FR200" s="22709"/>
      <c r="FS200" s="23491"/>
      <c r="FT200" s="3436"/>
      <c r="FU200" s="3437"/>
      <c r="FV200" s="1568"/>
      <c r="FW200" s="1550"/>
      <c r="FX200" s="1550" t="str">
        <f t="shared" si="3"/>
        <v>Добавить группу потребителей</v>
      </c>
      <c r="FY200" s="1550"/>
      <c r="FZ200" s="1550"/>
      <c r="GA200" s="1561">
        <v>0</v>
      </c>
    </row>
    <row r="201" spans="1:183" s="1747" customFormat="1" ht="21" customHeight="1">
      <c r="A201" s="1289"/>
      <c r="B201" s="1289"/>
      <c r="C201" s="1289"/>
      <c r="D201" s="1289"/>
      <c r="E201" s="24089"/>
      <c r="F201" s="24089" t="s">
        <v>109</v>
      </c>
      <c r="G201" s="24089"/>
      <c r="H201" s="24088"/>
      <c r="I201" s="1289"/>
      <c r="J201" s="1289"/>
      <c r="K201" s="1289"/>
      <c r="L201" s="1295"/>
      <c r="M201" s="1291"/>
      <c r="N201" s="1291"/>
      <c r="O201" s="1292"/>
      <c r="P201" s="1720"/>
      <c r="Q201" s="311"/>
      <c r="R201" s="291"/>
      <c r="S201" s="3438"/>
      <c r="T201" s="3439" t="s">
        <v>714</v>
      </c>
      <c r="U201" s="3440"/>
      <c r="V201" s="3441"/>
      <c r="W201" s="3442"/>
      <c r="X201" s="3443"/>
      <c r="Y201" s="3444"/>
      <c r="Z201" s="3445"/>
      <c r="AA201" s="3446"/>
      <c r="AB201" s="3447"/>
      <c r="AC201" s="3448"/>
      <c r="AD201" s="3449"/>
      <c r="AE201" s="3450"/>
      <c r="AF201" s="3451"/>
      <c r="AG201" s="3452"/>
      <c r="AH201" s="3453"/>
      <c r="AI201" s="3454"/>
      <c r="AJ201" s="3455"/>
      <c r="AK201" s="3456"/>
      <c r="AL201" s="3457"/>
      <c r="AM201" s="3458"/>
      <c r="AN201" s="3459"/>
      <c r="AO201" s="3460"/>
      <c r="AP201" s="3461"/>
      <c r="AQ201" s="3462"/>
      <c r="AR201" s="7126"/>
      <c r="AS201" s="7127"/>
      <c r="AT201" s="7128"/>
      <c r="AU201" s="7129"/>
      <c r="AV201" s="7130"/>
      <c r="AW201" s="7131"/>
      <c r="AX201" s="7132"/>
      <c r="AY201" s="7133"/>
      <c r="AZ201" s="7134"/>
      <c r="BA201" s="7135"/>
      <c r="BB201" s="7136"/>
      <c r="BC201" s="7137"/>
      <c r="BD201" s="7138"/>
      <c r="BE201" s="13262"/>
      <c r="BF201" s="13263"/>
      <c r="BG201" s="21870"/>
      <c r="BH201" s="13264"/>
      <c r="BI201" s="13265"/>
      <c r="BJ201" s="13266"/>
      <c r="BK201" s="13267"/>
      <c r="BL201" s="13268"/>
      <c r="BM201" s="13269"/>
      <c r="BN201" s="3463"/>
      <c r="BO201" s="3464"/>
      <c r="BP201" s="13270"/>
      <c r="BQ201" s="13271"/>
      <c r="BR201" s="3465"/>
      <c r="BS201" s="13272"/>
      <c r="BT201" s="13273"/>
      <c r="BU201" s="13274"/>
      <c r="BV201" s="13275"/>
      <c r="BW201" s="13276"/>
      <c r="BX201" s="13277"/>
      <c r="BY201" s="13278"/>
      <c r="BZ201" s="13279"/>
      <c r="CA201" s="13280"/>
      <c r="CB201" s="13281"/>
      <c r="CC201" s="13282"/>
      <c r="CD201" s="13283"/>
      <c r="CE201" s="13284"/>
      <c r="CF201" s="13285"/>
      <c r="CG201" s="13286"/>
      <c r="CH201" s="13287"/>
      <c r="CI201" s="13288"/>
      <c r="CJ201" s="13289"/>
      <c r="CK201" s="13290"/>
      <c r="CL201" s="13291"/>
      <c r="CM201" s="13292"/>
      <c r="CN201" s="13293"/>
      <c r="CO201" s="13294"/>
      <c r="CP201" s="13295"/>
      <c r="CQ201" s="13296"/>
      <c r="CR201" s="13297"/>
      <c r="CS201" s="13298"/>
      <c r="CT201" s="13299"/>
      <c r="CU201" s="13300"/>
      <c r="CV201" s="13301"/>
      <c r="CW201" s="13302"/>
      <c r="CX201" s="13303"/>
      <c r="CY201" s="13304"/>
      <c r="CZ201" s="13305"/>
      <c r="DA201" s="13306"/>
      <c r="DB201" s="13307"/>
      <c r="DC201" s="13308"/>
      <c r="DD201" s="13309"/>
      <c r="DE201" s="13310"/>
      <c r="DF201" s="13311"/>
      <c r="DG201" s="13312"/>
      <c r="DH201" s="13313"/>
      <c r="DI201" s="13314"/>
      <c r="DJ201" s="13315"/>
      <c r="DK201" s="13316"/>
      <c r="DL201" s="13317"/>
      <c r="DM201" s="13318"/>
      <c r="DN201" s="13319"/>
      <c r="DO201" s="13320"/>
      <c r="DP201" s="13321"/>
      <c r="DQ201" s="13322"/>
      <c r="DR201" s="13323"/>
      <c r="DS201" s="13324"/>
      <c r="DT201" s="13325"/>
      <c r="DU201" s="13326"/>
      <c r="DV201" s="13327"/>
      <c r="DW201" s="13328"/>
      <c r="DX201" s="13329"/>
      <c r="DY201" s="13330"/>
      <c r="DZ201" s="13331"/>
      <c r="EA201" s="13332"/>
      <c r="EB201" s="13333"/>
      <c r="EC201" s="13334"/>
      <c r="ED201" s="13335"/>
      <c r="EE201" s="13336"/>
      <c r="EF201" s="13337"/>
      <c r="EG201" s="13338"/>
      <c r="EH201" s="13339"/>
      <c r="EI201" s="13340"/>
      <c r="EJ201" s="13341"/>
      <c r="EK201" s="13342"/>
      <c r="EL201" s="13343"/>
      <c r="EM201" s="21566"/>
      <c r="EN201" s="21567"/>
      <c r="EO201" s="13344"/>
      <c r="EP201" s="13345"/>
      <c r="EQ201" s="21568"/>
      <c r="ER201" s="13346"/>
      <c r="ES201" s="13347"/>
      <c r="ET201" s="13348"/>
      <c r="EU201" s="13349"/>
      <c r="EV201" s="13350"/>
      <c r="EW201" s="13351"/>
      <c r="EX201" s="3466"/>
      <c r="EY201" s="3467"/>
      <c r="EZ201" s="13352"/>
      <c r="FA201" s="13353"/>
      <c r="FB201" s="3468"/>
      <c r="FC201" s="13354"/>
      <c r="FD201" s="13355"/>
      <c r="FE201" s="13356"/>
      <c r="FF201" s="13357"/>
      <c r="FG201" s="13358"/>
      <c r="FH201" s="5706"/>
      <c r="FI201" s="22710"/>
      <c r="FJ201" s="22711"/>
      <c r="FK201" s="23492"/>
      <c r="FL201" s="23493"/>
      <c r="FM201" s="22712"/>
      <c r="FN201" s="23494"/>
      <c r="FO201" s="23495"/>
      <c r="FP201" s="22713"/>
      <c r="FQ201" s="22714"/>
      <c r="FR201" s="22715"/>
      <c r="FS201" s="23496"/>
      <c r="FT201" s="3469"/>
      <c r="FU201" s="3470"/>
      <c r="FV201" s="1568"/>
      <c r="FW201" s="1550"/>
      <c r="FX201" s="1550" t="str">
        <f t="shared" si="3"/>
        <v>Добавить наименование признака дифференциации</v>
      </c>
      <c r="FY201" s="1550"/>
      <c r="FZ201" s="1550"/>
      <c r="GA201" s="1561">
        <v>0</v>
      </c>
    </row>
    <row r="202" spans="1:183" s="1747" customFormat="1" ht="23.25" customHeight="1">
      <c r="A202" s="1289"/>
      <c r="B202" s="1289"/>
      <c r="C202" s="1289" t="s">
        <v>398</v>
      </c>
      <c r="D202" s="1289"/>
      <c r="E202" s="24089"/>
      <c r="F202" s="24089"/>
      <c r="G202" s="24088" t="s">
        <v>95</v>
      </c>
      <c r="H202" s="1289"/>
      <c r="I202" s="1289"/>
      <c r="J202" s="1289"/>
      <c r="K202" s="1289"/>
      <c r="L202" s="1295"/>
      <c r="M202" s="1291"/>
      <c r="N202" s="1291"/>
      <c r="O202" s="1291"/>
      <c r="P202" s="290"/>
      <c r="Q202" s="288"/>
      <c r="R202" s="289"/>
      <c r="S202" s="1976" t="str">
        <f>INDEX(PT_DIFFERENTIATION_NUM_CS,MATCH(C202,PT_DIFFERENTIATION_CS_ID,0))</f>
        <v>1.6.2</v>
      </c>
      <c r="T202" s="245" t="s">
        <v>756</v>
      </c>
      <c r="U202" s="236"/>
      <c r="V202" s="24082"/>
      <c r="W202" s="24083"/>
      <c r="X202" s="24083"/>
      <c r="Y202" s="24083"/>
      <c r="Z202" s="24083"/>
      <c r="AA202" s="24083"/>
      <c r="AB202" s="24083"/>
      <c r="AC202" s="24083"/>
      <c r="AD202" s="24083"/>
      <c r="AE202" s="24083"/>
      <c r="AF202" s="24084"/>
      <c r="AG202" s="24082" t="str">
        <f>INDEX(PT_DIFFERENTIATION_CS,MATCH(C202,PT_DIFFERENTIATION_CS_ID,0))</f>
        <v>г. Рославль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v>
      </c>
      <c r="AH202" s="24083"/>
      <c r="AI202" s="24083"/>
      <c r="AJ202" s="24083"/>
      <c r="AK202" s="24083"/>
      <c r="AL202" s="24083"/>
      <c r="AM202" s="24083"/>
      <c r="AN202" s="24083"/>
      <c r="AO202" s="24083"/>
      <c r="AP202" s="24083"/>
      <c r="AQ202" s="24083"/>
      <c r="AR202" s="24173"/>
      <c r="AS202" s="24174"/>
      <c r="AT202" s="24174"/>
      <c r="AU202" s="24174"/>
      <c r="AV202" s="24174"/>
      <c r="AW202" s="24174"/>
      <c r="AX202" s="24174"/>
      <c r="AY202" s="24174"/>
      <c r="AZ202" s="24174"/>
      <c r="BA202" s="24174"/>
      <c r="BB202" s="24175"/>
      <c r="BC202" s="24173"/>
      <c r="BD202" s="24174"/>
      <c r="BE202" s="24174"/>
      <c r="BF202" s="24174"/>
      <c r="BG202" s="24174"/>
      <c r="BH202" s="24174"/>
      <c r="BI202" s="24174"/>
      <c r="BJ202" s="24174"/>
      <c r="BK202" s="24174"/>
      <c r="BL202" s="24174"/>
      <c r="BM202" s="24175"/>
      <c r="BN202" s="24082"/>
      <c r="BO202" s="24083"/>
      <c r="BP202" s="24174"/>
      <c r="BQ202" s="24174"/>
      <c r="BR202" s="24083"/>
      <c r="BS202" s="24174"/>
      <c r="BT202" s="24174"/>
      <c r="BU202" s="24174"/>
      <c r="BV202" s="24174"/>
      <c r="BW202" s="24174"/>
      <c r="BX202" s="24175"/>
      <c r="BY202" s="24173"/>
      <c r="BZ202" s="24174"/>
      <c r="CA202" s="24174"/>
      <c r="CB202" s="24174"/>
      <c r="CC202" s="24174"/>
      <c r="CD202" s="24174"/>
      <c r="CE202" s="24174"/>
      <c r="CF202" s="24174"/>
      <c r="CG202" s="24174"/>
      <c r="CH202" s="24174"/>
      <c r="CI202" s="24175"/>
      <c r="CJ202" s="24173"/>
      <c r="CK202" s="24174"/>
      <c r="CL202" s="24174"/>
      <c r="CM202" s="24174"/>
      <c r="CN202" s="24174"/>
      <c r="CO202" s="24174"/>
      <c r="CP202" s="24174"/>
      <c r="CQ202" s="24174"/>
      <c r="CR202" s="24174"/>
      <c r="CS202" s="24174"/>
      <c r="CT202" s="24175"/>
      <c r="CU202" s="24173"/>
      <c r="CV202" s="24174"/>
      <c r="CW202" s="24174"/>
      <c r="CX202" s="24174"/>
      <c r="CY202" s="24174"/>
      <c r="CZ202" s="24174"/>
      <c r="DA202" s="24174"/>
      <c r="DB202" s="24174"/>
      <c r="DC202" s="24174"/>
      <c r="DD202" s="24174"/>
      <c r="DE202" s="24175"/>
      <c r="DF202" s="24173"/>
      <c r="DG202" s="24174"/>
      <c r="DH202" s="24174"/>
      <c r="DI202" s="24174"/>
      <c r="DJ202" s="24174"/>
      <c r="DK202" s="24174"/>
      <c r="DL202" s="24174"/>
      <c r="DM202" s="24174"/>
      <c r="DN202" s="24174"/>
      <c r="DO202" s="24174"/>
      <c r="DP202" s="24175"/>
      <c r="DQ202" s="24173"/>
      <c r="DR202" s="24174"/>
      <c r="DS202" s="24174"/>
      <c r="DT202" s="24174"/>
      <c r="DU202" s="24174"/>
      <c r="DV202" s="24174"/>
      <c r="DW202" s="24174"/>
      <c r="DX202" s="24174"/>
      <c r="DY202" s="24174"/>
      <c r="DZ202" s="24174"/>
      <c r="EA202" s="24175"/>
      <c r="EB202" s="24173"/>
      <c r="EC202" s="24174"/>
      <c r="ED202" s="24174"/>
      <c r="EE202" s="24174"/>
      <c r="EF202" s="24174"/>
      <c r="EG202" s="24174"/>
      <c r="EH202" s="24174"/>
      <c r="EI202" s="24174"/>
      <c r="EJ202" s="24174"/>
      <c r="EK202" s="24174"/>
      <c r="EL202" s="24175"/>
      <c r="EM202" s="24173"/>
      <c r="EN202" s="24174"/>
      <c r="EO202" s="24174"/>
      <c r="EP202" s="24174"/>
      <c r="EQ202" s="24174"/>
      <c r="ER202" s="24174"/>
      <c r="ES202" s="24174"/>
      <c r="ET202" s="24174"/>
      <c r="EU202" s="24174"/>
      <c r="EV202" s="24174"/>
      <c r="EW202" s="24175"/>
      <c r="EX202" s="24082"/>
      <c r="EY202" s="24083"/>
      <c r="EZ202" s="24174"/>
      <c r="FA202" s="24174"/>
      <c r="FB202" s="24083"/>
      <c r="FC202" s="24174"/>
      <c r="FD202" s="24174"/>
      <c r="FE202" s="24174"/>
      <c r="FF202" s="24174"/>
      <c r="FG202" s="24174"/>
      <c r="FH202" s="24175"/>
      <c r="FI202" s="24082"/>
      <c r="FJ202" s="24083"/>
      <c r="FK202" s="24174"/>
      <c r="FL202" s="24174"/>
      <c r="FM202" s="24083"/>
      <c r="FN202" s="24174"/>
      <c r="FO202" s="24174"/>
      <c r="FP202" s="24083"/>
      <c r="FQ202" s="24083"/>
      <c r="FR202" s="24083"/>
      <c r="FS202" s="24175"/>
      <c r="FT202" s="24084"/>
      <c r="FU202" s="1184" t="s">
        <v>757</v>
      </c>
      <c r="FV202" s="1568"/>
      <c r="FW202" s="1550"/>
      <c r="FX202" s="1550" t="str">
        <f t="shared" si="3"/>
        <v>Наименование централизованной системы горячего водоснабжения</v>
      </c>
      <c r="FY202" s="1550"/>
      <c r="FZ202" s="1550"/>
      <c r="GA202" s="1561">
        <v>0</v>
      </c>
    </row>
    <row r="203" spans="1:183" s="1747" customFormat="1" ht="23.25" customHeight="1">
      <c r="A203" s="1289"/>
      <c r="B203" s="1289"/>
      <c r="C203" s="1289"/>
      <c r="D203" s="1289"/>
      <c r="E203" s="24089"/>
      <c r="F203" s="24089"/>
      <c r="G203" s="24089">
        <v>1</v>
      </c>
      <c r="H203" s="24089"/>
      <c r="I203" s="24090" t="str">
        <f>S202&amp;".1"</f>
        <v>1.6.2.1</v>
      </c>
      <c r="J203" s="1289"/>
      <c r="K203" s="1289"/>
      <c r="L203" s="1295"/>
      <c r="M203" s="1674"/>
      <c r="N203" s="1674"/>
      <c r="O203" s="1674"/>
      <c r="P203" s="24092">
        <v>1</v>
      </c>
      <c r="Q203" s="1978"/>
      <c r="R203" s="292"/>
      <c r="S203" s="1976" t="str">
        <f>$I203</f>
        <v>1.6.2.1</v>
      </c>
      <c r="T203" s="221" t="s">
        <v>709</v>
      </c>
      <c r="U203" s="236"/>
      <c r="V203" s="24156"/>
      <c r="W203" s="24157"/>
      <c r="X203" s="24157"/>
      <c r="Y203" s="24157"/>
      <c r="Z203" s="24157"/>
      <c r="AA203" s="24157"/>
      <c r="AB203" s="24157"/>
      <c r="AC203" s="24157"/>
      <c r="AD203" s="24157"/>
      <c r="AE203" s="24157"/>
      <c r="AF203" s="24158"/>
      <c r="AG203" s="24159"/>
      <c r="AH203" s="24160"/>
      <c r="AI203" s="24160"/>
      <c r="AJ203" s="24160"/>
      <c r="AK203" s="24160"/>
      <c r="AL203" s="24160"/>
      <c r="AM203" s="24160"/>
      <c r="AN203" s="24160"/>
      <c r="AO203" s="24160"/>
      <c r="AP203" s="24160"/>
      <c r="AQ203" s="24160"/>
      <c r="AR203" s="24176"/>
      <c r="AS203" s="24177"/>
      <c r="AT203" s="24177"/>
      <c r="AU203" s="24177"/>
      <c r="AV203" s="24177"/>
      <c r="AW203" s="24177"/>
      <c r="AX203" s="24177"/>
      <c r="AY203" s="24177"/>
      <c r="AZ203" s="24177"/>
      <c r="BA203" s="24177"/>
      <c r="BB203" s="24178"/>
      <c r="BC203" s="24176"/>
      <c r="BD203" s="24177"/>
      <c r="BE203" s="24177"/>
      <c r="BF203" s="24177"/>
      <c r="BG203" s="24177"/>
      <c r="BH203" s="24177"/>
      <c r="BI203" s="24177"/>
      <c r="BJ203" s="24177"/>
      <c r="BK203" s="24177"/>
      <c r="BL203" s="24177"/>
      <c r="BM203" s="24178"/>
      <c r="BN203" s="24156"/>
      <c r="BO203" s="24157"/>
      <c r="BP203" s="24177"/>
      <c r="BQ203" s="24177"/>
      <c r="BR203" s="24157"/>
      <c r="BS203" s="24177"/>
      <c r="BT203" s="24177"/>
      <c r="BU203" s="24177"/>
      <c r="BV203" s="24177"/>
      <c r="BW203" s="24177"/>
      <c r="BX203" s="24178"/>
      <c r="BY203" s="24176"/>
      <c r="BZ203" s="24177"/>
      <c r="CA203" s="24177"/>
      <c r="CB203" s="24177"/>
      <c r="CC203" s="24177"/>
      <c r="CD203" s="24177"/>
      <c r="CE203" s="24177"/>
      <c r="CF203" s="24177"/>
      <c r="CG203" s="24177"/>
      <c r="CH203" s="24177"/>
      <c r="CI203" s="24178"/>
      <c r="CJ203" s="24176"/>
      <c r="CK203" s="24177"/>
      <c r="CL203" s="24177"/>
      <c r="CM203" s="24177"/>
      <c r="CN203" s="24177"/>
      <c r="CO203" s="24177"/>
      <c r="CP203" s="24177"/>
      <c r="CQ203" s="24177"/>
      <c r="CR203" s="24177"/>
      <c r="CS203" s="24177"/>
      <c r="CT203" s="24178"/>
      <c r="CU203" s="24176"/>
      <c r="CV203" s="24177"/>
      <c r="CW203" s="24177"/>
      <c r="CX203" s="24177"/>
      <c r="CY203" s="24177"/>
      <c r="CZ203" s="24177"/>
      <c r="DA203" s="24177"/>
      <c r="DB203" s="24177"/>
      <c r="DC203" s="24177"/>
      <c r="DD203" s="24177"/>
      <c r="DE203" s="24178"/>
      <c r="DF203" s="24176"/>
      <c r="DG203" s="24177"/>
      <c r="DH203" s="24177"/>
      <c r="DI203" s="24177"/>
      <c r="DJ203" s="24177"/>
      <c r="DK203" s="24177"/>
      <c r="DL203" s="24177"/>
      <c r="DM203" s="24177"/>
      <c r="DN203" s="24177"/>
      <c r="DO203" s="24177"/>
      <c r="DP203" s="24178"/>
      <c r="DQ203" s="24176"/>
      <c r="DR203" s="24177"/>
      <c r="DS203" s="24177"/>
      <c r="DT203" s="24177"/>
      <c r="DU203" s="24177"/>
      <c r="DV203" s="24177"/>
      <c r="DW203" s="24177"/>
      <c r="DX203" s="24177"/>
      <c r="DY203" s="24177"/>
      <c r="DZ203" s="24177"/>
      <c r="EA203" s="24178"/>
      <c r="EB203" s="24176"/>
      <c r="EC203" s="24177"/>
      <c r="ED203" s="24177"/>
      <c r="EE203" s="24177"/>
      <c r="EF203" s="24177"/>
      <c r="EG203" s="24177"/>
      <c r="EH203" s="24177"/>
      <c r="EI203" s="24177"/>
      <c r="EJ203" s="24177"/>
      <c r="EK203" s="24177"/>
      <c r="EL203" s="24178"/>
      <c r="EM203" s="24176"/>
      <c r="EN203" s="24177"/>
      <c r="EO203" s="24177"/>
      <c r="EP203" s="24177"/>
      <c r="EQ203" s="24177"/>
      <c r="ER203" s="24177"/>
      <c r="ES203" s="24177"/>
      <c r="ET203" s="24177"/>
      <c r="EU203" s="24177"/>
      <c r="EV203" s="24177"/>
      <c r="EW203" s="24178"/>
      <c r="EX203" s="24156"/>
      <c r="EY203" s="24157"/>
      <c r="EZ203" s="24177"/>
      <c r="FA203" s="24177"/>
      <c r="FB203" s="24157"/>
      <c r="FC203" s="24177"/>
      <c r="FD203" s="24177"/>
      <c r="FE203" s="24177"/>
      <c r="FF203" s="24177"/>
      <c r="FG203" s="24177"/>
      <c r="FH203" s="24178"/>
      <c r="FI203" s="24156"/>
      <c r="FJ203" s="24157"/>
      <c r="FK203" s="24177"/>
      <c r="FL203" s="24177"/>
      <c r="FM203" s="24157"/>
      <c r="FN203" s="24177"/>
      <c r="FO203" s="24177"/>
      <c r="FP203" s="24157"/>
      <c r="FQ203" s="24157"/>
      <c r="FR203" s="24157"/>
      <c r="FS203" s="24178"/>
      <c r="FT203" s="24161"/>
      <c r="FU203" s="1184" t="s">
        <v>710</v>
      </c>
      <c r="FV203" s="1568"/>
      <c r="FW203" s="1550"/>
      <c r="FX203" s="1550" t="str">
        <f t="shared" si="3"/>
        <v>Наименование признака дифференциации</v>
      </c>
      <c r="FY203" s="1550"/>
      <c r="FZ203" s="1550"/>
      <c r="GA203" s="1561">
        <v>0</v>
      </c>
    </row>
    <row r="204" spans="1:183" s="1747" customFormat="1" ht="23.25" customHeight="1">
      <c r="A204" s="1289"/>
      <c r="B204" s="1289"/>
      <c r="C204" s="1289"/>
      <c r="D204" s="1289"/>
      <c r="E204" s="24089"/>
      <c r="F204" s="24089"/>
      <c r="G204" s="24089">
        <v>1</v>
      </c>
      <c r="H204" s="24089"/>
      <c r="I204" s="24091"/>
      <c r="J204" s="24090" t="str">
        <f>I203&amp;".1"</f>
        <v>1.6.2.1.1</v>
      </c>
      <c r="K204" s="1289"/>
      <c r="L204" s="1295" t="s">
        <v>635</v>
      </c>
      <c r="M204" s="1674"/>
      <c r="N204" s="1674"/>
      <c r="O204" s="1674"/>
      <c r="P204" s="24092"/>
      <c r="Q204" s="24092">
        <v>1</v>
      </c>
      <c r="R204" s="293"/>
      <c r="S204" s="1976" t="str">
        <f>$J204</f>
        <v>1.6.2.1.1</v>
      </c>
      <c r="T204" s="222" t="s">
        <v>636</v>
      </c>
      <c r="U204" s="236"/>
      <c r="V204" s="24076"/>
      <c r="W204" s="24077"/>
      <c r="X204" s="24077"/>
      <c r="Y204" s="24077"/>
      <c r="Z204" s="24077"/>
      <c r="AA204" s="24077"/>
      <c r="AB204" s="24077"/>
      <c r="AC204" s="24077"/>
      <c r="AD204" s="24077"/>
      <c r="AE204" s="24077"/>
      <c r="AF204" s="24078"/>
      <c r="AG204" s="24076" t="s">
        <v>769</v>
      </c>
      <c r="AH204" s="24077"/>
      <c r="AI204" s="24077"/>
      <c r="AJ204" s="24077"/>
      <c r="AK204" s="24077"/>
      <c r="AL204" s="24077"/>
      <c r="AM204" s="24077"/>
      <c r="AN204" s="24077"/>
      <c r="AO204" s="24077"/>
      <c r="AP204" s="24077"/>
      <c r="AQ204" s="24077"/>
      <c r="AR204" s="24179"/>
      <c r="AS204" s="24180"/>
      <c r="AT204" s="24180"/>
      <c r="AU204" s="24180"/>
      <c r="AV204" s="24180"/>
      <c r="AW204" s="24180"/>
      <c r="AX204" s="24180"/>
      <c r="AY204" s="24180"/>
      <c r="AZ204" s="24180"/>
      <c r="BA204" s="24180"/>
      <c r="BB204" s="24181"/>
      <c r="BC204" s="24179"/>
      <c r="BD204" s="24180"/>
      <c r="BE204" s="24180"/>
      <c r="BF204" s="24180"/>
      <c r="BG204" s="24180"/>
      <c r="BH204" s="24180"/>
      <c r="BI204" s="24180"/>
      <c r="BJ204" s="24180"/>
      <c r="BK204" s="24180"/>
      <c r="BL204" s="24180"/>
      <c r="BM204" s="24181"/>
      <c r="BN204" s="24076"/>
      <c r="BO204" s="24077"/>
      <c r="BP204" s="24180"/>
      <c r="BQ204" s="24180"/>
      <c r="BR204" s="24077"/>
      <c r="BS204" s="24180"/>
      <c r="BT204" s="24180"/>
      <c r="BU204" s="24180"/>
      <c r="BV204" s="24180"/>
      <c r="BW204" s="24180"/>
      <c r="BX204" s="24181"/>
      <c r="BY204" s="24179"/>
      <c r="BZ204" s="24180"/>
      <c r="CA204" s="24180"/>
      <c r="CB204" s="24180"/>
      <c r="CC204" s="24180"/>
      <c r="CD204" s="24180"/>
      <c r="CE204" s="24180"/>
      <c r="CF204" s="24180"/>
      <c r="CG204" s="24180"/>
      <c r="CH204" s="24180"/>
      <c r="CI204" s="24181"/>
      <c r="CJ204" s="24179"/>
      <c r="CK204" s="24180"/>
      <c r="CL204" s="24180"/>
      <c r="CM204" s="24180"/>
      <c r="CN204" s="24180"/>
      <c r="CO204" s="24180"/>
      <c r="CP204" s="24180"/>
      <c r="CQ204" s="24180"/>
      <c r="CR204" s="24180"/>
      <c r="CS204" s="24180"/>
      <c r="CT204" s="24181"/>
      <c r="CU204" s="24179"/>
      <c r="CV204" s="24180"/>
      <c r="CW204" s="24180"/>
      <c r="CX204" s="24180"/>
      <c r="CY204" s="24180"/>
      <c r="CZ204" s="24180"/>
      <c r="DA204" s="24180"/>
      <c r="DB204" s="24180"/>
      <c r="DC204" s="24180"/>
      <c r="DD204" s="24180"/>
      <c r="DE204" s="24181"/>
      <c r="DF204" s="24179"/>
      <c r="DG204" s="24180"/>
      <c r="DH204" s="24180"/>
      <c r="DI204" s="24180"/>
      <c r="DJ204" s="24180"/>
      <c r="DK204" s="24180"/>
      <c r="DL204" s="24180"/>
      <c r="DM204" s="24180"/>
      <c r="DN204" s="24180"/>
      <c r="DO204" s="24180"/>
      <c r="DP204" s="24181"/>
      <c r="DQ204" s="24179"/>
      <c r="DR204" s="24180"/>
      <c r="DS204" s="24180"/>
      <c r="DT204" s="24180"/>
      <c r="DU204" s="24180"/>
      <c r="DV204" s="24180"/>
      <c r="DW204" s="24180"/>
      <c r="DX204" s="24180"/>
      <c r="DY204" s="24180"/>
      <c r="DZ204" s="24180"/>
      <c r="EA204" s="24181"/>
      <c r="EB204" s="24179"/>
      <c r="EC204" s="24180"/>
      <c r="ED204" s="24180"/>
      <c r="EE204" s="24180"/>
      <c r="EF204" s="24180"/>
      <c r="EG204" s="24180"/>
      <c r="EH204" s="24180"/>
      <c r="EI204" s="24180"/>
      <c r="EJ204" s="24180"/>
      <c r="EK204" s="24180"/>
      <c r="EL204" s="24181"/>
      <c r="EM204" s="24179"/>
      <c r="EN204" s="24180"/>
      <c r="EO204" s="24180"/>
      <c r="EP204" s="24180"/>
      <c r="EQ204" s="24180"/>
      <c r="ER204" s="24180"/>
      <c r="ES204" s="24180"/>
      <c r="ET204" s="24180"/>
      <c r="EU204" s="24180"/>
      <c r="EV204" s="24180"/>
      <c r="EW204" s="24181"/>
      <c r="EX204" s="24076"/>
      <c r="EY204" s="24077"/>
      <c r="EZ204" s="24180"/>
      <c r="FA204" s="24180"/>
      <c r="FB204" s="24077"/>
      <c r="FC204" s="24180"/>
      <c r="FD204" s="24180"/>
      <c r="FE204" s="24180"/>
      <c r="FF204" s="24180"/>
      <c r="FG204" s="24180"/>
      <c r="FH204" s="24181"/>
      <c r="FI204" s="24076"/>
      <c r="FJ204" s="24077"/>
      <c r="FK204" s="24180"/>
      <c r="FL204" s="24180"/>
      <c r="FM204" s="24077"/>
      <c r="FN204" s="24180"/>
      <c r="FO204" s="24180"/>
      <c r="FP204" s="24077"/>
      <c r="FQ204" s="24077"/>
      <c r="FR204" s="24077"/>
      <c r="FS204" s="24181"/>
      <c r="FT204" s="24078"/>
      <c r="FU204" s="1233" t="s">
        <v>711</v>
      </c>
      <c r="FV204" s="1568"/>
      <c r="FW204" s="1550"/>
      <c r="FX204" s="1550" t="str">
        <f t="shared" si="3"/>
        <v>Группа потребителей</v>
      </c>
      <c r="FY204" s="1550"/>
      <c r="FZ204" s="1550"/>
      <c r="GA204" s="1561">
        <v>0</v>
      </c>
    </row>
    <row r="205" spans="1:183" s="1747" customFormat="1" ht="23.25" customHeight="1">
      <c r="A205" s="1289"/>
      <c r="B205" s="1289"/>
      <c r="C205" s="1289"/>
      <c r="D205" s="1289"/>
      <c r="E205" s="24089"/>
      <c r="F205" s="24089"/>
      <c r="G205" s="24089">
        <v>1</v>
      </c>
      <c r="H205" s="24089"/>
      <c r="I205" s="24091"/>
      <c r="J205" s="24091"/>
      <c r="K205" s="24090" t="str">
        <f>J204&amp;".1"</f>
        <v>1.6.2.1.1.1</v>
      </c>
      <c r="L205" s="1295"/>
      <c r="M205" s="1674"/>
      <c r="N205" s="1674"/>
      <c r="O205" s="1674"/>
      <c r="P205" s="24092"/>
      <c r="Q205" s="24092"/>
      <c r="R205" s="293">
        <v>1</v>
      </c>
      <c r="S205" s="1976" t="str">
        <f>$K205</f>
        <v>1.6.2.1.1.1</v>
      </c>
      <c r="T205" s="1363"/>
      <c r="U205" s="236"/>
      <c r="V205" s="1286"/>
      <c r="W205" s="1286"/>
      <c r="X205" s="1286"/>
      <c r="Y205" s="1286"/>
      <c r="Z205" s="1286"/>
      <c r="AA205" s="1286"/>
      <c r="AB205" s="1286"/>
      <c r="AC205" s="24086"/>
      <c r="AD205" s="24085" t="s">
        <v>59</v>
      </c>
      <c r="AE205" s="24086"/>
      <c r="AF205" s="24085" t="s">
        <v>59</v>
      </c>
      <c r="AG205" s="687">
        <v>248.65</v>
      </c>
      <c r="AH205" s="687">
        <v>27.69</v>
      </c>
      <c r="AI205" s="687"/>
      <c r="AJ205" s="687"/>
      <c r="AK205" s="687">
        <v>3263.74</v>
      </c>
      <c r="AL205" s="687"/>
      <c r="AM205" s="687"/>
      <c r="AN205" s="24093" t="s">
        <v>9</v>
      </c>
      <c r="AO205" s="23957" t="s">
        <v>59</v>
      </c>
      <c r="AP205" s="24095" t="s">
        <v>770</v>
      </c>
      <c r="AQ205" s="23957" t="s">
        <v>59</v>
      </c>
      <c r="AR205" s="687">
        <v>277.16000000000003</v>
      </c>
      <c r="AS205" s="687">
        <v>30.35</v>
      </c>
      <c r="AT205" s="687"/>
      <c r="AU205" s="687"/>
      <c r="AV205" s="687">
        <v>3645.6</v>
      </c>
      <c r="AW205" s="687"/>
      <c r="AX205" s="687"/>
      <c r="AY205" s="24093" t="s">
        <v>772</v>
      </c>
      <c r="AZ205" s="23957" t="s">
        <v>59</v>
      </c>
      <c r="BA205" s="24093" t="s">
        <v>773</v>
      </c>
      <c r="BB205" s="23957" t="s">
        <v>59</v>
      </c>
      <c r="BC205" s="687">
        <v>287.04000000000002</v>
      </c>
      <c r="BD205" s="687">
        <v>40.229999999999997</v>
      </c>
      <c r="BE205" s="687"/>
      <c r="BF205" s="687"/>
      <c r="BG205" s="687">
        <v>3645.6</v>
      </c>
      <c r="BH205" s="687"/>
      <c r="BI205" s="687"/>
      <c r="BJ205" s="24093" t="s">
        <v>774</v>
      </c>
      <c r="BK205" s="23957" t="s">
        <v>59</v>
      </c>
      <c r="BL205" s="24093" t="s">
        <v>775</v>
      </c>
      <c r="BM205" s="23957" t="s">
        <v>59</v>
      </c>
      <c r="BN205" s="687">
        <v>316.37</v>
      </c>
      <c r="BO205" s="687">
        <v>40.229999999999997</v>
      </c>
      <c r="BP205" s="687"/>
      <c r="BQ205" s="687"/>
      <c r="BR205" s="687">
        <v>4078.94</v>
      </c>
      <c r="BS205" s="687"/>
      <c r="BT205" s="687"/>
      <c r="BU205" s="24093" t="s">
        <v>776</v>
      </c>
      <c r="BV205" s="23957" t="s">
        <v>59</v>
      </c>
      <c r="BW205" s="24093" t="s">
        <v>777</v>
      </c>
      <c r="BX205" s="23957" t="s">
        <v>59</v>
      </c>
      <c r="BY205" s="687">
        <v>317.05</v>
      </c>
      <c r="BZ205" s="687">
        <v>40.909999999999997</v>
      </c>
      <c r="CA205" s="687"/>
      <c r="CB205" s="687"/>
      <c r="CC205" s="687">
        <v>4078.94</v>
      </c>
      <c r="CD205" s="687"/>
      <c r="CE205" s="687"/>
      <c r="CF205" s="24093" t="s">
        <v>778</v>
      </c>
      <c r="CG205" s="23957" t="s">
        <v>59</v>
      </c>
      <c r="CH205" s="24185">
        <v>46295</v>
      </c>
      <c r="CI205" s="23957" t="s">
        <v>59</v>
      </c>
      <c r="CJ205" s="687">
        <v>349.51</v>
      </c>
      <c r="CK205" s="687">
        <v>45.83</v>
      </c>
      <c r="CL205" s="687"/>
      <c r="CM205" s="687"/>
      <c r="CN205" s="687">
        <v>4485.6000000000004</v>
      </c>
      <c r="CO205" s="687"/>
      <c r="CP205" s="687"/>
      <c r="CQ205" s="24185">
        <v>46296</v>
      </c>
      <c r="CR205" s="23957" t="s">
        <v>59</v>
      </c>
      <c r="CS205" s="24093" t="s">
        <v>779</v>
      </c>
      <c r="CT205" s="23957" t="s">
        <v>59</v>
      </c>
      <c r="CU205" s="687">
        <f>CJ205</f>
        <v>349.51</v>
      </c>
      <c r="CV205" s="687">
        <f>CK205</f>
        <v>45.83</v>
      </c>
      <c r="CW205" s="687"/>
      <c r="CX205" s="687"/>
      <c r="CY205" s="687">
        <f>CN205</f>
        <v>4485.6000000000004</v>
      </c>
      <c r="CZ205" s="687"/>
      <c r="DA205" s="687"/>
      <c r="DB205" s="24093" t="s">
        <v>780</v>
      </c>
      <c r="DC205" s="23957" t="s">
        <v>59</v>
      </c>
      <c r="DD205" s="24093" t="s">
        <v>781</v>
      </c>
      <c r="DE205" s="23957" t="s">
        <v>59</v>
      </c>
      <c r="DF205" s="687">
        <v>376.46</v>
      </c>
      <c r="DG205" s="687">
        <v>46.36</v>
      </c>
      <c r="DH205" s="687"/>
      <c r="DI205" s="687"/>
      <c r="DJ205" s="687">
        <v>4875.8500000000004</v>
      </c>
      <c r="DK205" s="687"/>
      <c r="DL205" s="687"/>
      <c r="DM205" s="24093" t="s">
        <v>782</v>
      </c>
      <c r="DN205" s="23957" t="s">
        <v>59</v>
      </c>
      <c r="DO205" s="24093" t="s">
        <v>783</v>
      </c>
      <c r="DP205" s="23957" t="s">
        <v>59</v>
      </c>
      <c r="DQ205" s="687">
        <f>DF205</f>
        <v>376.46</v>
      </c>
      <c r="DR205" s="687">
        <f>DG205</f>
        <v>46.36</v>
      </c>
      <c r="DS205" s="687"/>
      <c r="DT205" s="687"/>
      <c r="DU205" s="687">
        <f>DJ205</f>
        <v>4875.8500000000004</v>
      </c>
      <c r="DV205" s="687"/>
      <c r="DW205" s="687"/>
      <c r="DX205" s="24093" t="s">
        <v>784</v>
      </c>
      <c r="DY205" s="23957" t="s">
        <v>59</v>
      </c>
      <c r="DZ205" s="24093" t="s">
        <v>785</v>
      </c>
      <c r="EA205" s="23957" t="s">
        <v>59</v>
      </c>
      <c r="EB205" s="687">
        <v>399.42</v>
      </c>
      <c r="EC205" s="687">
        <v>46.75</v>
      </c>
      <c r="ED205" s="687"/>
      <c r="EE205" s="687"/>
      <c r="EF205" s="687">
        <v>5209.29</v>
      </c>
      <c r="EG205" s="687"/>
      <c r="EH205" s="687"/>
      <c r="EI205" s="24093" t="s">
        <v>786</v>
      </c>
      <c r="EJ205" s="23957" t="s">
        <v>59</v>
      </c>
      <c r="EK205" s="24093" t="s">
        <v>787</v>
      </c>
      <c r="EL205" s="23957" t="s">
        <v>6</v>
      </c>
      <c r="EM205" s="1286"/>
      <c r="EN205" s="1286"/>
      <c r="EO205" s="1286"/>
      <c r="EP205" s="1286"/>
      <c r="EQ205" s="1286"/>
      <c r="ER205" s="1286"/>
      <c r="ES205" s="1286"/>
      <c r="ET205" s="24086"/>
      <c r="EU205" s="24085" t="s">
        <v>59</v>
      </c>
      <c r="EV205" s="24086"/>
      <c r="EW205" s="24085" t="s">
        <v>59</v>
      </c>
      <c r="EX205" s="1286"/>
      <c r="EY205" s="1286"/>
      <c r="EZ205" s="1286"/>
      <c r="FA205" s="1286"/>
      <c r="FB205" s="1286"/>
      <c r="FC205" s="1286"/>
      <c r="FD205" s="1286"/>
      <c r="FE205" s="24086"/>
      <c r="FF205" s="24085" t="s">
        <v>59</v>
      </c>
      <c r="FG205" s="24086"/>
      <c r="FH205" s="24085" t="s">
        <v>59</v>
      </c>
      <c r="FI205" s="1286"/>
      <c r="FJ205" s="1286"/>
      <c r="FK205" s="1286"/>
      <c r="FL205" s="1286"/>
      <c r="FM205" s="1286"/>
      <c r="FN205" s="1286"/>
      <c r="FO205" s="1286"/>
      <c r="FP205" s="24086"/>
      <c r="FQ205" s="24085" t="s">
        <v>59</v>
      </c>
      <c r="FR205" s="24086"/>
      <c r="FS205" s="24085" t="s">
        <v>59</v>
      </c>
      <c r="FT205" s="1364"/>
      <c r="FU20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05" s="1568" t="e">
        <f ca="1">STRCHECKDATE(V206:FT206)</f>
        <v>#NAME?</v>
      </c>
      <c r="FW205" s="1550"/>
      <c r="FX205" s="1550" t="str">
        <f t="shared" si="3"/>
        <v/>
      </c>
      <c r="FY205" s="1550"/>
      <c r="FZ205" s="1550"/>
      <c r="GA205" s="1561">
        <v>0</v>
      </c>
    </row>
    <row r="206" spans="1:183" s="1747" customFormat="1" ht="14.25" customHeight="1">
      <c r="A206" s="1289"/>
      <c r="B206" s="1289"/>
      <c r="C206" s="1289"/>
      <c r="D206" s="1289"/>
      <c r="E206" s="24089"/>
      <c r="F206" s="24089"/>
      <c r="G206" s="24089">
        <v>1</v>
      </c>
      <c r="H206" s="24089"/>
      <c r="I206" s="24091"/>
      <c r="J206" s="24091"/>
      <c r="K206" s="24090"/>
      <c r="L206" s="1295"/>
      <c r="M206" s="1674"/>
      <c r="N206" s="1674"/>
      <c r="O206" s="1674"/>
      <c r="P206" s="24092"/>
      <c r="Q206" s="24092"/>
      <c r="R206" s="293"/>
      <c r="S206" s="1982"/>
      <c r="T206" s="236"/>
      <c r="U206" s="236"/>
      <c r="V206" s="1286"/>
      <c r="W206" s="1286"/>
      <c r="X206" s="1286"/>
      <c r="Y206" s="1286"/>
      <c r="Z206" s="1286"/>
      <c r="AA206" s="1286"/>
      <c r="AB206" s="1286"/>
      <c r="AC206" s="24085"/>
      <c r="AD206" s="24085"/>
      <c r="AE206" s="24085"/>
      <c r="AF206" s="24085"/>
      <c r="AG206" s="261"/>
      <c r="AH206" s="261"/>
      <c r="AI206" s="261"/>
      <c r="AJ206" s="261"/>
      <c r="AK206" s="261"/>
      <c r="AL206" s="261"/>
      <c r="AM206" s="261"/>
      <c r="AN206" s="24094"/>
      <c r="AO206" s="23957"/>
      <c r="AP206" s="24096"/>
      <c r="AQ206" s="23957"/>
      <c r="AR206" s="261"/>
      <c r="AS206" s="261"/>
      <c r="AT206" s="261"/>
      <c r="AU206" s="261"/>
      <c r="AV206" s="261"/>
      <c r="AW206" s="261"/>
      <c r="AX206" s="261"/>
      <c r="AY206" s="24094"/>
      <c r="AZ206" s="23957"/>
      <c r="BA206" s="24094"/>
      <c r="BB206" s="23957"/>
      <c r="BC206" s="261"/>
      <c r="BD206" s="261"/>
      <c r="BE206" s="261"/>
      <c r="BF206" s="261"/>
      <c r="BG206" s="261"/>
      <c r="BH206" s="261"/>
      <c r="BI206" s="261"/>
      <c r="BJ206" s="24094"/>
      <c r="BK206" s="23957"/>
      <c r="BL206" s="24094"/>
      <c r="BM206" s="23957"/>
      <c r="BN206" s="261"/>
      <c r="BO206" s="261"/>
      <c r="BP206" s="261"/>
      <c r="BQ206" s="261"/>
      <c r="BR206" s="261"/>
      <c r="BS206" s="261"/>
      <c r="BT206" s="261"/>
      <c r="BU206" s="24094"/>
      <c r="BV206" s="23957"/>
      <c r="BW206" s="24094"/>
      <c r="BX206" s="23957"/>
      <c r="BY206" s="261"/>
      <c r="BZ206" s="261"/>
      <c r="CA206" s="261"/>
      <c r="CB206" s="261"/>
      <c r="CC206" s="261"/>
      <c r="CD206" s="261"/>
      <c r="CE206" s="261"/>
      <c r="CF206" s="24094"/>
      <c r="CG206" s="23957"/>
      <c r="CH206" s="24094"/>
      <c r="CI206" s="23957"/>
      <c r="CJ206" s="261"/>
      <c r="CK206" s="261"/>
      <c r="CL206" s="261"/>
      <c r="CM206" s="261"/>
      <c r="CN206" s="261"/>
      <c r="CO206" s="261"/>
      <c r="CP206" s="261"/>
      <c r="CQ206" s="24094"/>
      <c r="CR206" s="23957"/>
      <c r="CS206" s="24094"/>
      <c r="CT206" s="23957"/>
      <c r="CU206" s="261"/>
      <c r="CV206" s="261"/>
      <c r="CW206" s="261"/>
      <c r="CX206" s="261"/>
      <c r="CY206" s="261"/>
      <c r="CZ206" s="261"/>
      <c r="DA206" s="261"/>
      <c r="DB206" s="24094"/>
      <c r="DC206" s="23957"/>
      <c r="DD206" s="24094"/>
      <c r="DE206" s="23957"/>
      <c r="DF206" s="261"/>
      <c r="DG206" s="261"/>
      <c r="DH206" s="261"/>
      <c r="DI206" s="261"/>
      <c r="DJ206" s="261"/>
      <c r="DK206" s="261"/>
      <c r="DL206" s="261"/>
      <c r="DM206" s="24094"/>
      <c r="DN206" s="23957"/>
      <c r="DO206" s="24094"/>
      <c r="DP206" s="23957"/>
      <c r="DQ206" s="261"/>
      <c r="DR206" s="261"/>
      <c r="DS206" s="261"/>
      <c r="DT206" s="261"/>
      <c r="DU206" s="261"/>
      <c r="DV206" s="261"/>
      <c r="DW206" s="261"/>
      <c r="DX206" s="24094"/>
      <c r="DY206" s="23957"/>
      <c r="DZ206" s="24094"/>
      <c r="EA206" s="23957"/>
      <c r="EB206" s="261"/>
      <c r="EC206" s="261"/>
      <c r="ED206" s="261"/>
      <c r="EE206" s="261"/>
      <c r="EF206" s="261"/>
      <c r="EG206" s="261"/>
      <c r="EH206" s="261"/>
      <c r="EI206" s="24094"/>
      <c r="EJ206" s="23957"/>
      <c r="EK206" s="24094"/>
      <c r="EL206" s="23957"/>
      <c r="EM206" s="1286"/>
      <c r="EN206" s="1286"/>
      <c r="EO206" s="1286"/>
      <c r="EP206" s="1286"/>
      <c r="EQ206" s="1286"/>
      <c r="ER206" s="1286"/>
      <c r="ES206" s="1286"/>
      <c r="ET206" s="24085"/>
      <c r="EU206" s="24085"/>
      <c r="EV206" s="24085"/>
      <c r="EW206" s="24085"/>
      <c r="EX206" s="1286"/>
      <c r="EY206" s="1286"/>
      <c r="EZ206" s="1286"/>
      <c r="FA206" s="1286"/>
      <c r="FB206" s="1286"/>
      <c r="FC206" s="1286"/>
      <c r="FD206" s="1286"/>
      <c r="FE206" s="24085"/>
      <c r="FF206" s="24085"/>
      <c r="FG206" s="24085"/>
      <c r="FH206" s="24085"/>
      <c r="FI206" s="1286"/>
      <c r="FJ206" s="1286"/>
      <c r="FK206" s="1286"/>
      <c r="FL206" s="1286"/>
      <c r="FM206" s="1286"/>
      <c r="FN206" s="1286"/>
      <c r="FO206" s="1286"/>
      <c r="FP206" s="24085"/>
      <c r="FQ206" s="24085"/>
      <c r="FR206" s="24085"/>
      <c r="FS206" s="24085"/>
      <c r="FT206" s="1365"/>
      <c r="FU206" s="24162"/>
      <c r="FV206" s="1568"/>
      <c r="FW206" s="1550"/>
      <c r="FX206" s="1550" t="str">
        <f t="shared" si="3"/>
        <v/>
      </c>
      <c r="FY206" s="1550"/>
      <c r="FZ206" s="1550"/>
      <c r="GA206" s="1561">
        <v>0</v>
      </c>
    </row>
    <row r="207" spans="1:183" s="1747" customFormat="1" ht="21" customHeight="1">
      <c r="A207" s="1289"/>
      <c r="B207" s="1289"/>
      <c r="C207" s="1289"/>
      <c r="D207" s="1289"/>
      <c r="E207" s="24089"/>
      <c r="F207" s="24089"/>
      <c r="G207" s="24089">
        <v>1</v>
      </c>
      <c r="H207" s="24089"/>
      <c r="I207" s="24091"/>
      <c r="J207" s="24090"/>
      <c r="K207" s="1289"/>
      <c r="L207" s="1295"/>
      <c r="M207" s="1674"/>
      <c r="N207" s="1674"/>
      <c r="O207" s="1674"/>
      <c r="P207" s="24092"/>
      <c r="Q207" s="24092"/>
      <c r="R207" s="292"/>
      <c r="S207" s="3471"/>
      <c r="T207" s="3472" t="s">
        <v>712</v>
      </c>
      <c r="U207" s="3473"/>
      <c r="V207" s="3474"/>
      <c r="W207" s="3475"/>
      <c r="X207" s="3476"/>
      <c r="Y207" s="3477"/>
      <c r="Z207" s="3478"/>
      <c r="AA207" s="3479"/>
      <c r="AB207" s="3480"/>
      <c r="AC207" s="3481"/>
      <c r="AD207" s="3482"/>
      <c r="AE207" s="3483"/>
      <c r="AF207" s="3484"/>
      <c r="AG207" s="3485"/>
      <c r="AH207" s="3486"/>
      <c r="AI207" s="3487"/>
      <c r="AJ207" s="3488"/>
      <c r="AK207" s="3489"/>
      <c r="AL207" s="3490"/>
      <c r="AM207" s="3491"/>
      <c r="AN207" s="3492"/>
      <c r="AO207" s="3493"/>
      <c r="AP207" s="3494"/>
      <c r="AQ207" s="3495"/>
      <c r="AR207" s="7139"/>
      <c r="AS207" s="7140"/>
      <c r="AT207" s="7141"/>
      <c r="AU207" s="7142"/>
      <c r="AV207" s="7143"/>
      <c r="AW207" s="7144"/>
      <c r="AX207" s="7145"/>
      <c r="AY207" s="7146"/>
      <c r="AZ207" s="7147"/>
      <c r="BA207" s="7148"/>
      <c r="BB207" s="7149"/>
      <c r="BC207" s="7150"/>
      <c r="BD207" s="7151"/>
      <c r="BE207" s="13359"/>
      <c r="BF207" s="13360"/>
      <c r="BG207" s="21871"/>
      <c r="BH207" s="13361"/>
      <c r="BI207" s="13362"/>
      <c r="BJ207" s="13363"/>
      <c r="BK207" s="13364"/>
      <c r="BL207" s="13365"/>
      <c r="BM207" s="13366"/>
      <c r="BN207" s="3496"/>
      <c r="BO207" s="3497"/>
      <c r="BP207" s="13367"/>
      <c r="BQ207" s="13368"/>
      <c r="BR207" s="3498"/>
      <c r="BS207" s="13369"/>
      <c r="BT207" s="13370"/>
      <c r="BU207" s="13371"/>
      <c r="BV207" s="13372"/>
      <c r="BW207" s="13373"/>
      <c r="BX207" s="13374"/>
      <c r="BY207" s="13375"/>
      <c r="BZ207" s="13376"/>
      <c r="CA207" s="13377"/>
      <c r="CB207" s="13378"/>
      <c r="CC207" s="13379"/>
      <c r="CD207" s="13380"/>
      <c r="CE207" s="13381"/>
      <c r="CF207" s="13382"/>
      <c r="CG207" s="13383"/>
      <c r="CH207" s="13384"/>
      <c r="CI207" s="13385"/>
      <c r="CJ207" s="13386"/>
      <c r="CK207" s="13387"/>
      <c r="CL207" s="13388"/>
      <c r="CM207" s="13389"/>
      <c r="CN207" s="13390"/>
      <c r="CO207" s="13391"/>
      <c r="CP207" s="13392"/>
      <c r="CQ207" s="13393"/>
      <c r="CR207" s="13394"/>
      <c r="CS207" s="13395"/>
      <c r="CT207" s="13396"/>
      <c r="CU207" s="13397"/>
      <c r="CV207" s="13398"/>
      <c r="CW207" s="13399"/>
      <c r="CX207" s="13400"/>
      <c r="CY207" s="13401"/>
      <c r="CZ207" s="13402"/>
      <c r="DA207" s="13403"/>
      <c r="DB207" s="13404"/>
      <c r="DC207" s="13405"/>
      <c r="DD207" s="13406"/>
      <c r="DE207" s="13407"/>
      <c r="DF207" s="13408"/>
      <c r="DG207" s="13409"/>
      <c r="DH207" s="13410"/>
      <c r="DI207" s="13411"/>
      <c r="DJ207" s="13412"/>
      <c r="DK207" s="13413"/>
      <c r="DL207" s="13414"/>
      <c r="DM207" s="13415"/>
      <c r="DN207" s="13416"/>
      <c r="DO207" s="13417"/>
      <c r="DP207" s="13418"/>
      <c r="DQ207" s="13419"/>
      <c r="DR207" s="13420"/>
      <c r="DS207" s="13421"/>
      <c r="DT207" s="13422"/>
      <c r="DU207" s="13423"/>
      <c r="DV207" s="13424"/>
      <c r="DW207" s="13425"/>
      <c r="DX207" s="13426"/>
      <c r="DY207" s="13427"/>
      <c r="DZ207" s="13428"/>
      <c r="EA207" s="13429"/>
      <c r="EB207" s="13430"/>
      <c r="EC207" s="13431"/>
      <c r="ED207" s="13432"/>
      <c r="EE207" s="13433"/>
      <c r="EF207" s="13434"/>
      <c r="EG207" s="13435"/>
      <c r="EH207" s="13436"/>
      <c r="EI207" s="13437"/>
      <c r="EJ207" s="13438"/>
      <c r="EK207" s="13439"/>
      <c r="EL207" s="13440"/>
      <c r="EM207" s="21569"/>
      <c r="EN207" s="21570"/>
      <c r="EO207" s="13441"/>
      <c r="EP207" s="13442"/>
      <c r="EQ207" s="21571"/>
      <c r="ER207" s="13443"/>
      <c r="ES207" s="13444"/>
      <c r="ET207" s="13445"/>
      <c r="EU207" s="13446"/>
      <c r="EV207" s="13447"/>
      <c r="EW207" s="13448"/>
      <c r="EX207" s="3499"/>
      <c r="EY207" s="3500"/>
      <c r="EZ207" s="13449"/>
      <c r="FA207" s="13450"/>
      <c r="FB207" s="3501"/>
      <c r="FC207" s="13451"/>
      <c r="FD207" s="13452"/>
      <c r="FE207" s="13453"/>
      <c r="FF207" s="13454"/>
      <c r="FG207" s="13455"/>
      <c r="FH207" s="5707"/>
      <c r="FI207" s="22716"/>
      <c r="FJ207" s="22717"/>
      <c r="FK207" s="23497"/>
      <c r="FL207" s="23498"/>
      <c r="FM207" s="22718"/>
      <c r="FN207" s="23499"/>
      <c r="FO207" s="23500"/>
      <c r="FP207" s="22719"/>
      <c r="FQ207" s="22720"/>
      <c r="FR207" s="22721"/>
      <c r="FS207" s="23501"/>
      <c r="FT207" s="3502"/>
      <c r="FU207" s="1184" t="s">
        <v>713</v>
      </c>
      <c r="FV207" s="1568"/>
      <c r="FW207" s="1550"/>
      <c r="FX207" s="1550" t="str">
        <f t="shared" si="3"/>
        <v>Добавить значение признака дифференциации</v>
      </c>
      <c r="FY207" s="1550"/>
      <c r="FZ207" s="1550"/>
      <c r="GA207" s="1561">
        <v>0</v>
      </c>
    </row>
    <row r="208" spans="1:183" s="1747" customFormat="1" ht="23.25" customHeight="1">
      <c r="A208" s="1289"/>
      <c r="B208" s="1289"/>
      <c r="C208" s="1289"/>
      <c r="D208" s="1289"/>
      <c r="E208" s="24089"/>
      <c r="F208" s="24089"/>
      <c r="G208" s="24089"/>
      <c r="H208" s="24089"/>
      <c r="I208" s="24091"/>
      <c r="J208" s="24090" t="str">
        <f>I203&amp;".2"</f>
        <v>1.6.2.1.2</v>
      </c>
      <c r="K208" s="1289"/>
      <c r="L208" s="1295" t="s">
        <v>635</v>
      </c>
      <c r="M208" s="1674"/>
      <c r="N208" s="1674"/>
      <c r="O208" s="1674"/>
      <c r="P208" s="24092"/>
      <c r="Q208" s="24206" t="s">
        <v>96</v>
      </c>
      <c r="R208" s="293"/>
      <c r="S208" s="1976" t="str">
        <f>$J208</f>
        <v>1.6.2.1.2</v>
      </c>
      <c r="T208" s="222" t="s">
        <v>636</v>
      </c>
      <c r="U208" s="236"/>
      <c r="V208" s="24076"/>
      <c r="W208" s="24077"/>
      <c r="X208" s="24077"/>
      <c r="Y208" s="24077"/>
      <c r="Z208" s="24077"/>
      <c r="AA208" s="24077"/>
      <c r="AB208" s="24077"/>
      <c r="AC208" s="24077"/>
      <c r="AD208" s="24077"/>
      <c r="AE208" s="24077"/>
      <c r="AF208" s="24078"/>
      <c r="AG208" s="24076" t="s">
        <v>771</v>
      </c>
      <c r="AH208" s="24077"/>
      <c r="AI208" s="24077"/>
      <c r="AJ208" s="24077"/>
      <c r="AK208" s="24077"/>
      <c r="AL208" s="24077"/>
      <c r="AM208" s="24077"/>
      <c r="AN208" s="24077"/>
      <c r="AO208" s="24077"/>
      <c r="AP208" s="24077"/>
      <c r="AQ208" s="24077"/>
      <c r="AR208" s="24179"/>
      <c r="AS208" s="24180"/>
      <c r="AT208" s="24180"/>
      <c r="AU208" s="24180"/>
      <c r="AV208" s="24180"/>
      <c r="AW208" s="24180"/>
      <c r="AX208" s="24180"/>
      <c r="AY208" s="24180"/>
      <c r="AZ208" s="24180"/>
      <c r="BA208" s="24180"/>
      <c r="BB208" s="24181"/>
      <c r="BC208" s="24179"/>
      <c r="BD208" s="24180"/>
      <c r="BE208" s="24180"/>
      <c r="BF208" s="24180"/>
      <c r="BG208" s="24180"/>
      <c r="BH208" s="24180"/>
      <c r="BI208" s="24180"/>
      <c r="BJ208" s="24180"/>
      <c r="BK208" s="24180"/>
      <c r="BL208" s="24180"/>
      <c r="BM208" s="24181"/>
      <c r="BN208" s="24076"/>
      <c r="BO208" s="24077"/>
      <c r="BP208" s="24180"/>
      <c r="BQ208" s="24180"/>
      <c r="BR208" s="24077"/>
      <c r="BS208" s="24180"/>
      <c r="BT208" s="24180"/>
      <c r="BU208" s="24180"/>
      <c r="BV208" s="24180"/>
      <c r="BW208" s="24180"/>
      <c r="BX208" s="24181"/>
      <c r="BY208" s="24179"/>
      <c r="BZ208" s="24180"/>
      <c r="CA208" s="24180"/>
      <c r="CB208" s="24180"/>
      <c r="CC208" s="24180"/>
      <c r="CD208" s="24180"/>
      <c r="CE208" s="24180"/>
      <c r="CF208" s="24180"/>
      <c r="CG208" s="24180"/>
      <c r="CH208" s="24180"/>
      <c r="CI208" s="24181"/>
      <c r="CJ208" s="24179"/>
      <c r="CK208" s="24180"/>
      <c r="CL208" s="24180"/>
      <c r="CM208" s="24180"/>
      <c r="CN208" s="24180"/>
      <c r="CO208" s="24180"/>
      <c r="CP208" s="24180"/>
      <c r="CQ208" s="24180"/>
      <c r="CR208" s="24180"/>
      <c r="CS208" s="24180"/>
      <c r="CT208" s="24181"/>
      <c r="CU208" s="24179"/>
      <c r="CV208" s="24180"/>
      <c r="CW208" s="24180"/>
      <c r="CX208" s="24180"/>
      <c r="CY208" s="24180"/>
      <c r="CZ208" s="24180"/>
      <c r="DA208" s="24180"/>
      <c r="DB208" s="24180"/>
      <c r="DC208" s="24180"/>
      <c r="DD208" s="24180"/>
      <c r="DE208" s="24181"/>
      <c r="DF208" s="24179"/>
      <c r="DG208" s="24180"/>
      <c r="DH208" s="24180"/>
      <c r="DI208" s="24180"/>
      <c r="DJ208" s="24180"/>
      <c r="DK208" s="24180"/>
      <c r="DL208" s="24180"/>
      <c r="DM208" s="24180"/>
      <c r="DN208" s="24180"/>
      <c r="DO208" s="24180"/>
      <c r="DP208" s="24181"/>
      <c r="DQ208" s="24179"/>
      <c r="DR208" s="24180"/>
      <c r="DS208" s="24180"/>
      <c r="DT208" s="24180"/>
      <c r="DU208" s="24180"/>
      <c r="DV208" s="24180"/>
      <c r="DW208" s="24180"/>
      <c r="DX208" s="24180"/>
      <c r="DY208" s="24180"/>
      <c r="DZ208" s="24180"/>
      <c r="EA208" s="24181"/>
      <c r="EB208" s="24179"/>
      <c r="EC208" s="24180"/>
      <c r="ED208" s="24180"/>
      <c r="EE208" s="24180"/>
      <c r="EF208" s="24180"/>
      <c r="EG208" s="24180"/>
      <c r="EH208" s="24180"/>
      <c r="EI208" s="24180"/>
      <c r="EJ208" s="24180"/>
      <c r="EK208" s="24180"/>
      <c r="EL208" s="24181"/>
      <c r="EM208" s="24179"/>
      <c r="EN208" s="24180"/>
      <c r="EO208" s="24180"/>
      <c r="EP208" s="24180"/>
      <c r="EQ208" s="24180"/>
      <c r="ER208" s="24180"/>
      <c r="ES208" s="24180"/>
      <c r="ET208" s="24180"/>
      <c r="EU208" s="24180"/>
      <c r="EV208" s="24180"/>
      <c r="EW208" s="24181"/>
      <c r="EX208" s="24076"/>
      <c r="EY208" s="24077"/>
      <c r="EZ208" s="24180"/>
      <c r="FA208" s="24180"/>
      <c r="FB208" s="24077"/>
      <c r="FC208" s="24180"/>
      <c r="FD208" s="24180"/>
      <c r="FE208" s="24180"/>
      <c r="FF208" s="24180"/>
      <c r="FG208" s="24180"/>
      <c r="FH208" s="24181"/>
      <c r="FI208" s="24076"/>
      <c r="FJ208" s="24077"/>
      <c r="FK208" s="24180"/>
      <c r="FL208" s="24180"/>
      <c r="FM208" s="24077"/>
      <c r="FN208" s="24180"/>
      <c r="FO208" s="24180"/>
      <c r="FP208" s="24077"/>
      <c r="FQ208" s="24077"/>
      <c r="FR208" s="24077"/>
      <c r="FS208" s="24181"/>
      <c r="FT208" s="24078"/>
      <c r="FU208" s="1233" t="s">
        <v>711</v>
      </c>
      <c r="FV208" s="1568"/>
      <c r="FW208" s="1550"/>
      <c r="FX208" s="1550" t="str">
        <f t="shared" si="3"/>
        <v>Группа потребителей</v>
      </c>
      <c r="FY208" s="1550"/>
      <c r="FZ208" s="1550"/>
      <c r="GA208" s="1561">
        <v>0</v>
      </c>
    </row>
    <row r="209" spans="1:183" s="1747" customFormat="1" ht="23.25" customHeight="1">
      <c r="A209" s="1289"/>
      <c r="B209" s="1289"/>
      <c r="C209" s="1289"/>
      <c r="D209" s="1289"/>
      <c r="E209" s="24089"/>
      <c r="F209" s="24089"/>
      <c r="G209" s="24089"/>
      <c r="H209" s="24089"/>
      <c r="I209" s="24091"/>
      <c r="J209" s="24091" t="str">
        <f>I203&amp;".1"</f>
        <v>1.6.2.1.1</v>
      </c>
      <c r="K209" s="24090" t="str">
        <f>J208&amp;".1"</f>
        <v>1.6.2.1.2.1</v>
      </c>
      <c r="L209" s="1295"/>
      <c r="M209" s="1674"/>
      <c r="N209" s="1674"/>
      <c r="O209" s="1674"/>
      <c r="P209" s="24092"/>
      <c r="Q209" s="24092"/>
      <c r="R209" s="293">
        <v>1</v>
      </c>
      <c r="S209" s="1976" t="str">
        <f>$K209</f>
        <v>1.6.2.1.2.1</v>
      </c>
      <c r="T209" s="1363"/>
      <c r="U209" s="236"/>
      <c r="V209" s="1286"/>
      <c r="W209" s="1286"/>
      <c r="X209" s="1286"/>
      <c r="Y209" s="1286"/>
      <c r="Z209" s="1286"/>
      <c r="AA209" s="1286"/>
      <c r="AB209" s="1286"/>
      <c r="AC209" s="24086"/>
      <c r="AD209" s="24085" t="s">
        <v>59</v>
      </c>
      <c r="AE209" s="24086"/>
      <c r="AF209" s="24085" t="s">
        <v>59</v>
      </c>
      <c r="AG209" s="687">
        <v>175.19</v>
      </c>
      <c r="AH209" s="687">
        <v>27.69</v>
      </c>
      <c r="AI209" s="687"/>
      <c r="AJ209" s="687"/>
      <c r="AK209" s="687">
        <v>2096.89</v>
      </c>
      <c r="AL209" s="687"/>
      <c r="AM209" s="687"/>
      <c r="AN209" s="24093" t="s">
        <v>9</v>
      </c>
      <c r="AO209" s="23957" t="s">
        <v>59</v>
      </c>
      <c r="AP209" s="24095" t="s">
        <v>770</v>
      </c>
      <c r="AQ209" s="23957" t="s">
        <v>59</v>
      </c>
      <c r="AR209" s="687">
        <v>192.58</v>
      </c>
      <c r="AS209" s="687">
        <v>30.35</v>
      </c>
      <c r="AT209" s="687"/>
      <c r="AU209" s="687"/>
      <c r="AV209" s="687">
        <v>2306.58</v>
      </c>
      <c r="AW209" s="687"/>
      <c r="AX209" s="687"/>
      <c r="AY209" s="24093" t="s">
        <v>772</v>
      </c>
      <c r="AZ209" s="23957" t="s">
        <v>59</v>
      </c>
      <c r="BA209" s="24093" t="s">
        <v>773</v>
      </c>
      <c r="BB209" s="23957" t="s">
        <v>59</v>
      </c>
      <c r="BC209" s="687">
        <v>192.35</v>
      </c>
      <c r="BD209" s="687">
        <v>30.35</v>
      </c>
      <c r="BE209" s="687"/>
      <c r="BF209" s="687"/>
      <c r="BG209" s="687">
        <v>2332.2800000000002</v>
      </c>
      <c r="BH209" s="687"/>
      <c r="BI209" s="687"/>
      <c r="BJ209" s="24093" t="s">
        <v>774</v>
      </c>
      <c r="BK209" s="23957" t="s">
        <v>59</v>
      </c>
      <c r="BL209" s="24093" t="s">
        <v>775</v>
      </c>
      <c r="BM209" s="23957" t="s">
        <v>59</v>
      </c>
      <c r="BN209" s="687">
        <v>215.53</v>
      </c>
      <c r="BO209" s="687">
        <v>36.409999999999997</v>
      </c>
      <c r="BP209" s="687"/>
      <c r="BQ209" s="687"/>
      <c r="BR209" s="687">
        <v>2569.0100000000002</v>
      </c>
      <c r="BS209" s="687"/>
      <c r="BT209" s="687"/>
      <c r="BU209" s="24093" t="s">
        <v>776</v>
      </c>
      <c r="BV209" s="23957" t="s">
        <v>59</v>
      </c>
      <c r="BW209" s="24093" t="s">
        <v>777</v>
      </c>
      <c r="BX209" s="23957" t="s">
        <v>59</v>
      </c>
      <c r="BY209" s="687">
        <v>219.19</v>
      </c>
      <c r="BZ209" s="687">
        <v>37.03</v>
      </c>
      <c r="CA209" s="687"/>
      <c r="CB209" s="687"/>
      <c r="CC209" s="687">
        <v>2602</v>
      </c>
      <c r="CD209" s="687"/>
      <c r="CE209" s="687"/>
      <c r="CF209" s="24093" t="s">
        <v>778</v>
      </c>
      <c r="CG209" s="23957" t="s">
        <v>59</v>
      </c>
      <c r="CH209" s="24185">
        <v>46295</v>
      </c>
      <c r="CI209" s="23957" t="s">
        <v>59</v>
      </c>
      <c r="CJ209" s="687">
        <v>245.49</v>
      </c>
      <c r="CK209" s="687">
        <v>41.48</v>
      </c>
      <c r="CL209" s="687"/>
      <c r="CM209" s="687"/>
      <c r="CN209" s="687">
        <v>2914.24</v>
      </c>
      <c r="CO209" s="687"/>
      <c r="CP209" s="687"/>
      <c r="CQ209" s="24185">
        <v>46296</v>
      </c>
      <c r="CR209" s="23957" t="s">
        <v>59</v>
      </c>
      <c r="CS209" s="24093" t="s">
        <v>779</v>
      </c>
      <c r="CT209" s="23957" t="s">
        <v>59</v>
      </c>
      <c r="CU209" s="687">
        <f>CJ209</f>
        <v>245.49</v>
      </c>
      <c r="CV209" s="687">
        <f>CK209</f>
        <v>41.48</v>
      </c>
      <c r="CW209" s="687"/>
      <c r="CX209" s="687"/>
      <c r="CY209" s="687">
        <f>CN209</f>
        <v>2914.24</v>
      </c>
      <c r="CZ209" s="687"/>
      <c r="DA209" s="687"/>
      <c r="DB209" s="24093" t="s">
        <v>780</v>
      </c>
      <c r="DC209" s="23957" t="s">
        <v>59</v>
      </c>
      <c r="DD209" s="24093" t="s">
        <v>781</v>
      </c>
      <c r="DE209" s="23957" t="s">
        <v>59</v>
      </c>
      <c r="DF209" s="687">
        <v>266.85000000000002</v>
      </c>
      <c r="DG209" s="687">
        <v>45.09</v>
      </c>
      <c r="DH209" s="687"/>
      <c r="DI209" s="687"/>
      <c r="DJ209" s="687">
        <v>3167.78</v>
      </c>
      <c r="DK209" s="687"/>
      <c r="DL209" s="687"/>
      <c r="DM209" s="24093" t="s">
        <v>782</v>
      </c>
      <c r="DN209" s="23957" t="s">
        <v>59</v>
      </c>
      <c r="DO209" s="24093" t="s">
        <v>783</v>
      </c>
      <c r="DP209" s="23957" t="s">
        <v>59</v>
      </c>
      <c r="DQ209" s="687">
        <f>DF209</f>
        <v>266.85000000000002</v>
      </c>
      <c r="DR209" s="687">
        <f>DG209</f>
        <v>45.09</v>
      </c>
      <c r="DS209" s="687"/>
      <c r="DT209" s="687"/>
      <c r="DU209" s="687">
        <f>DJ209</f>
        <v>3167.78</v>
      </c>
      <c r="DV209" s="687"/>
      <c r="DW209" s="687"/>
      <c r="DX209" s="24093" t="s">
        <v>784</v>
      </c>
      <c r="DY209" s="23957" t="s">
        <v>59</v>
      </c>
      <c r="DZ209" s="24093" t="s">
        <v>785</v>
      </c>
      <c r="EA209" s="23957" t="s">
        <v>59</v>
      </c>
      <c r="EB209" s="687">
        <v>285.8</v>
      </c>
      <c r="EC209" s="687">
        <v>48.29</v>
      </c>
      <c r="ED209" s="687"/>
      <c r="EE209" s="687"/>
      <c r="EF209" s="687">
        <v>3392.69</v>
      </c>
      <c r="EG209" s="687"/>
      <c r="EH209" s="687"/>
      <c r="EI209" s="24093" t="s">
        <v>786</v>
      </c>
      <c r="EJ209" s="23957" t="s">
        <v>59</v>
      </c>
      <c r="EK209" s="24093" t="s">
        <v>787</v>
      </c>
      <c r="EL209" s="23957" t="s">
        <v>6</v>
      </c>
      <c r="EM209" s="1286"/>
      <c r="EN209" s="1286"/>
      <c r="EO209" s="1286"/>
      <c r="EP209" s="1286"/>
      <c r="EQ209" s="1286"/>
      <c r="ER209" s="1286"/>
      <c r="ES209" s="1286"/>
      <c r="ET209" s="24086"/>
      <c r="EU209" s="24085" t="s">
        <v>59</v>
      </c>
      <c r="EV209" s="24086"/>
      <c r="EW209" s="24085" t="s">
        <v>59</v>
      </c>
      <c r="EX209" s="1286"/>
      <c r="EY209" s="1286"/>
      <c r="EZ209" s="1286"/>
      <c r="FA209" s="1286"/>
      <c r="FB209" s="1286"/>
      <c r="FC209" s="1286"/>
      <c r="FD209" s="1286"/>
      <c r="FE209" s="24086"/>
      <c r="FF209" s="24085" t="s">
        <v>59</v>
      </c>
      <c r="FG209" s="24086"/>
      <c r="FH209" s="24085" t="s">
        <v>59</v>
      </c>
      <c r="FI209" s="1286"/>
      <c r="FJ209" s="1286"/>
      <c r="FK209" s="1286"/>
      <c r="FL209" s="1286"/>
      <c r="FM209" s="1286"/>
      <c r="FN209" s="1286"/>
      <c r="FO209" s="1286"/>
      <c r="FP209" s="24086"/>
      <c r="FQ209" s="24085" t="s">
        <v>59</v>
      </c>
      <c r="FR209" s="24086"/>
      <c r="FS209" s="24085" t="s">
        <v>59</v>
      </c>
      <c r="FT209" s="1364"/>
      <c r="FU20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09" s="1568" t="e">
        <f ca="1">STRCHECKDATE(V210:FT210)</f>
        <v>#NAME?</v>
      </c>
      <c r="FW209" s="1550"/>
      <c r="FX209" s="1550" t="str">
        <f t="shared" si="3"/>
        <v/>
      </c>
      <c r="FY209" s="1550"/>
      <c r="FZ209" s="1550"/>
      <c r="GA209" s="1561">
        <v>0</v>
      </c>
    </row>
    <row r="210" spans="1:183" s="1747" customFormat="1" ht="14.25" customHeight="1">
      <c r="A210" s="1289"/>
      <c r="B210" s="1289"/>
      <c r="C210" s="1289"/>
      <c r="D210" s="1289"/>
      <c r="E210" s="24089"/>
      <c r="F210" s="24089"/>
      <c r="G210" s="24089"/>
      <c r="H210" s="24089"/>
      <c r="I210" s="24091"/>
      <c r="J210" s="24091" t="str">
        <f>I203&amp;".1"</f>
        <v>1.6.2.1.1</v>
      </c>
      <c r="K210" s="24090"/>
      <c r="L210" s="1295"/>
      <c r="M210" s="1674"/>
      <c r="N210" s="1674"/>
      <c r="O210" s="1674"/>
      <c r="P210" s="24092"/>
      <c r="Q210" s="24092"/>
      <c r="R210" s="293"/>
      <c r="S210" s="1982"/>
      <c r="T210" s="236"/>
      <c r="U210" s="236"/>
      <c r="V210" s="1286"/>
      <c r="W210" s="1286"/>
      <c r="X210" s="1286"/>
      <c r="Y210" s="1286"/>
      <c r="Z210" s="1286"/>
      <c r="AA210" s="1286"/>
      <c r="AB210" s="1286"/>
      <c r="AC210" s="24085"/>
      <c r="AD210" s="24085"/>
      <c r="AE210" s="24085"/>
      <c r="AF210" s="24085"/>
      <c r="AG210" s="261"/>
      <c r="AH210" s="261"/>
      <c r="AI210" s="261"/>
      <c r="AJ210" s="261"/>
      <c r="AK210" s="261"/>
      <c r="AL210" s="261"/>
      <c r="AM210" s="261"/>
      <c r="AN210" s="24094"/>
      <c r="AO210" s="23957"/>
      <c r="AP210" s="24096"/>
      <c r="AQ210" s="23957"/>
      <c r="AR210" s="261"/>
      <c r="AS210" s="261"/>
      <c r="AT210" s="261"/>
      <c r="AU210" s="261"/>
      <c r="AV210" s="261"/>
      <c r="AW210" s="261"/>
      <c r="AX210" s="261"/>
      <c r="AY210" s="24094"/>
      <c r="AZ210" s="23957"/>
      <c r="BA210" s="24094"/>
      <c r="BB210" s="23957"/>
      <c r="BC210" s="261"/>
      <c r="BD210" s="261"/>
      <c r="BE210" s="261"/>
      <c r="BF210" s="261"/>
      <c r="BG210" s="261"/>
      <c r="BH210" s="261"/>
      <c r="BI210" s="261"/>
      <c r="BJ210" s="24094"/>
      <c r="BK210" s="23957"/>
      <c r="BL210" s="24094"/>
      <c r="BM210" s="23957"/>
      <c r="BN210" s="261"/>
      <c r="BO210" s="261"/>
      <c r="BP210" s="261"/>
      <c r="BQ210" s="261"/>
      <c r="BR210" s="261"/>
      <c r="BS210" s="261"/>
      <c r="BT210" s="261"/>
      <c r="BU210" s="24094"/>
      <c r="BV210" s="23957"/>
      <c r="BW210" s="24094"/>
      <c r="BX210" s="23957"/>
      <c r="BY210" s="261"/>
      <c r="BZ210" s="261"/>
      <c r="CA210" s="261"/>
      <c r="CB210" s="261"/>
      <c r="CC210" s="261"/>
      <c r="CD210" s="261"/>
      <c r="CE210" s="261"/>
      <c r="CF210" s="24094"/>
      <c r="CG210" s="23957"/>
      <c r="CH210" s="24094"/>
      <c r="CI210" s="23957"/>
      <c r="CJ210" s="261"/>
      <c r="CK210" s="261"/>
      <c r="CL210" s="261"/>
      <c r="CM210" s="261"/>
      <c r="CN210" s="261"/>
      <c r="CO210" s="261"/>
      <c r="CP210" s="261"/>
      <c r="CQ210" s="24094"/>
      <c r="CR210" s="23957"/>
      <c r="CS210" s="24094"/>
      <c r="CT210" s="23957"/>
      <c r="CU210" s="261"/>
      <c r="CV210" s="261"/>
      <c r="CW210" s="261"/>
      <c r="CX210" s="261"/>
      <c r="CY210" s="261"/>
      <c r="CZ210" s="261"/>
      <c r="DA210" s="261"/>
      <c r="DB210" s="24094"/>
      <c r="DC210" s="23957"/>
      <c r="DD210" s="24094"/>
      <c r="DE210" s="23957"/>
      <c r="DF210" s="261"/>
      <c r="DG210" s="261"/>
      <c r="DH210" s="261"/>
      <c r="DI210" s="261"/>
      <c r="DJ210" s="261"/>
      <c r="DK210" s="261"/>
      <c r="DL210" s="261"/>
      <c r="DM210" s="24094"/>
      <c r="DN210" s="23957"/>
      <c r="DO210" s="24094"/>
      <c r="DP210" s="23957"/>
      <c r="DQ210" s="261"/>
      <c r="DR210" s="261"/>
      <c r="DS210" s="261"/>
      <c r="DT210" s="261"/>
      <c r="DU210" s="261"/>
      <c r="DV210" s="261"/>
      <c r="DW210" s="261"/>
      <c r="DX210" s="24094"/>
      <c r="DY210" s="23957"/>
      <c r="DZ210" s="24094"/>
      <c r="EA210" s="23957"/>
      <c r="EB210" s="261"/>
      <c r="EC210" s="261"/>
      <c r="ED210" s="261"/>
      <c r="EE210" s="261"/>
      <c r="EF210" s="261"/>
      <c r="EG210" s="261"/>
      <c r="EH210" s="261"/>
      <c r="EI210" s="24094"/>
      <c r="EJ210" s="23957"/>
      <c r="EK210" s="24094"/>
      <c r="EL210" s="23957"/>
      <c r="EM210" s="1286"/>
      <c r="EN210" s="1286"/>
      <c r="EO210" s="1286"/>
      <c r="EP210" s="1286"/>
      <c r="EQ210" s="1286"/>
      <c r="ER210" s="1286"/>
      <c r="ES210" s="1286"/>
      <c r="ET210" s="24085"/>
      <c r="EU210" s="24085"/>
      <c r="EV210" s="24085"/>
      <c r="EW210" s="24085"/>
      <c r="EX210" s="1286"/>
      <c r="EY210" s="1286"/>
      <c r="EZ210" s="1286"/>
      <c r="FA210" s="1286"/>
      <c r="FB210" s="1286"/>
      <c r="FC210" s="1286"/>
      <c r="FD210" s="1286"/>
      <c r="FE210" s="24085"/>
      <c r="FF210" s="24085"/>
      <c r="FG210" s="24085"/>
      <c r="FH210" s="24085"/>
      <c r="FI210" s="1286"/>
      <c r="FJ210" s="1286"/>
      <c r="FK210" s="1286"/>
      <c r="FL210" s="1286"/>
      <c r="FM210" s="1286"/>
      <c r="FN210" s="1286"/>
      <c r="FO210" s="1286"/>
      <c r="FP210" s="24085"/>
      <c r="FQ210" s="24085"/>
      <c r="FR210" s="24085"/>
      <c r="FS210" s="24085"/>
      <c r="FT210" s="1365"/>
      <c r="FU210" s="24162"/>
      <c r="FV210" s="1568"/>
      <c r="FW210" s="1550"/>
      <c r="FX210" s="1550" t="str">
        <f t="shared" si="3"/>
        <v/>
      </c>
      <c r="FY210" s="1550"/>
      <c r="FZ210" s="1550"/>
      <c r="GA210" s="1561">
        <v>0</v>
      </c>
    </row>
    <row r="211" spans="1:183" s="1747" customFormat="1" ht="21" customHeight="1">
      <c r="A211" s="1289"/>
      <c r="B211" s="1289"/>
      <c r="C211" s="1289"/>
      <c r="D211" s="1289"/>
      <c r="E211" s="24089"/>
      <c r="F211" s="24089"/>
      <c r="G211" s="24089"/>
      <c r="H211" s="24089"/>
      <c r="I211" s="24091"/>
      <c r="J211" s="24090" t="str">
        <f>I203&amp;".1"</f>
        <v>1.6.2.1.1</v>
      </c>
      <c r="K211" s="1289"/>
      <c r="L211" s="1295"/>
      <c r="M211" s="1674"/>
      <c r="N211" s="1674"/>
      <c r="O211" s="1674"/>
      <c r="P211" s="24092"/>
      <c r="Q211" s="24092"/>
      <c r="R211" s="292"/>
      <c r="S211" s="3503"/>
      <c r="T211" s="3504" t="s">
        <v>712</v>
      </c>
      <c r="U211" s="3505"/>
      <c r="V211" s="3506"/>
      <c r="W211" s="3507"/>
      <c r="X211" s="3508"/>
      <c r="Y211" s="3509"/>
      <c r="Z211" s="3510"/>
      <c r="AA211" s="3511"/>
      <c r="AB211" s="3512"/>
      <c r="AC211" s="3513"/>
      <c r="AD211" s="3514"/>
      <c r="AE211" s="3515"/>
      <c r="AF211" s="3516"/>
      <c r="AG211" s="3517"/>
      <c r="AH211" s="3518"/>
      <c r="AI211" s="3519"/>
      <c r="AJ211" s="3520"/>
      <c r="AK211" s="3521"/>
      <c r="AL211" s="3522"/>
      <c r="AM211" s="3523"/>
      <c r="AN211" s="3524"/>
      <c r="AO211" s="3525"/>
      <c r="AP211" s="3526"/>
      <c r="AQ211" s="3527"/>
      <c r="AR211" s="7152"/>
      <c r="AS211" s="7153"/>
      <c r="AT211" s="7154"/>
      <c r="AU211" s="7155"/>
      <c r="AV211" s="7156"/>
      <c r="AW211" s="7157"/>
      <c r="AX211" s="7158"/>
      <c r="AY211" s="7159"/>
      <c r="AZ211" s="7160"/>
      <c r="BA211" s="7161"/>
      <c r="BB211" s="7162"/>
      <c r="BC211" s="7163"/>
      <c r="BD211" s="7164"/>
      <c r="BE211" s="13456"/>
      <c r="BF211" s="13457"/>
      <c r="BG211" s="21872"/>
      <c r="BH211" s="13458"/>
      <c r="BI211" s="13459"/>
      <c r="BJ211" s="13460"/>
      <c r="BK211" s="13461"/>
      <c r="BL211" s="13462"/>
      <c r="BM211" s="13463"/>
      <c r="BN211" s="3528"/>
      <c r="BO211" s="3529"/>
      <c r="BP211" s="13464"/>
      <c r="BQ211" s="13465"/>
      <c r="BR211" s="3530"/>
      <c r="BS211" s="13466"/>
      <c r="BT211" s="13467"/>
      <c r="BU211" s="13468"/>
      <c r="BV211" s="13469"/>
      <c r="BW211" s="13470"/>
      <c r="BX211" s="13471"/>
      <c r="BY211" s="13472"/>
      <c r="BZ211" s="13473"/>
      <c r="CA211" s="13474"/>
      <c r="CB211" s="13475"/>
      <c r="CC211" s="13476"/>
      <c r="CD211" s="13477"/>
      <c r="CE211" s="13478"/>
      <c r="CF211" s="13479"/>
      <c r="CG211" s="13480"/>
      <c r="CH211" s="13481"/>
      <c r="CI211" s="13482"/>
      <c r="CJ211" s="13483"/>
      <c r="CK211" s="13484"/>
      <c r="CL211" s="13485"/>
      <c r="CM211" s="13486"/>
      <c r="CN211" s="13487"/>
      <c r="CO211" s="13488"/>
      <c r="CP211" s="13489"/>
      <c r="CQ211" s="13490"/>
      <c r="CR211" s="13491"/>
      <c r="CS211" s="13492"/>
      <c r="CT211" s="13493"/>
      <c r="CU211" s="13494"/>
      <c r="CV211" s="13495"/>
      <c r="CW211" s="13496"/>
      <c r="CX211" s="13497"/>
      <c r="CY211" s="13498"/>
      <c r="CZ211" s="13499"/>
      <c r="DA211" s="13500"/>
      <c r="DB211" s="13501"/>
      <c r="DC211" s="13502"/>
      <c r="DD211" s="13503"/>
      <c r="DE211" s="13504"/>
      <c r="DF211" s="13505"/>
      <c r="DG211" s="13506"/>
      <c r="DH211" s="13507"/>
      <c r="DI211" s="13508"/>
      <c r="DJ211" s="13509"/>
      <c r="DK211" s="13510"/>
      <c r="DL211" s="13511"/>
      <c r="DM211" s="13512"/>
      <c r="DN211" s="13513"/>
      <c r="DO211" s="13514"/>
      <c r="DP211" s="13515"/>
      <c r="DQ211" s="13516"/>
      <c r="DR211" s="13517"/>
      <c r="DS211" s="13518"/>
      <c r="DT211" s="13519"/>
      <c r="DU211" s="13520"/>
      <c r="DV211" s="13521"/>
      <c r="DW211" s="13522"/>
      <c r="DX211" s="13523"/>
      <c r="DY211" s="13524"/>
      <c r="DZ211" s="13525"/>
      <c r="EA211" s="13526"/>
      <c r="EB211" s="13527"/>
      <c r="EC211" s="13528"/>
      <c r="ED211" s="13529"/>
      <c r="EE211" s="13530"/>
      <c r="EF211" s="13531"/>
      <c r="EG211" s="13532"/>
      <c r="EH211" s="13533"/>
      <c r="EI211" s="13534"/>
      <c r="EJ211" s="13535"/>
      <c r="EK211" s="13536"/>
      <c r="EL211" s="13537"/>
      <c r="EM211" s="21572"/>
      <c r="EN211" s="21573"/>
      <c r="EO211" s="13538"/>
      <c r="EP211" s="13539"/>
      <c r="EQ211" s="21574"/>
      <c r="ER211" s="13540"/>
      <c r="ES211" s="13541"/>
      <c r="ET211" s="13542"/>
      <c r="EU211" s="13543"/>
      <c r="EV211" s="13544"/>
      <c r="EW211" s="13545"/>
      <c r="EX211" s="3531"/>
      <c r="EY211" s="3532"/>
      <c r="EZ211" s="13546"/>
      <c r="FA211" s="13547"/>
      <c r="FB211" s="3533"/>
      <c r="FC211" s="13548"/>
      <c r="FD211" s="13549"/>
      <c r="FE211" s="13550"/>
      <c r="FF211" s="13551"/>
      <c r="FG211" s="13552"/>
      <c r="FH211" s="5708"/>
      <c r="FI211" s="22722"/>
      <c r="FJ211" s="22723"/>
      <c r="FK211" s="23502"/>
      <c r="FL211" s="23503"/>
      <c r="FM211" s="22724"/>
      <c r="FN211" s="23504"/>
      <c r="FO211" s="23505"/>
      <c r="FP211" s="22725"/>
      <c r="FQ211" s="22726"/>
      <c r="FR211" s="22727"/>
      <c r="FS211" s="23506"/>
      <c r="FT211" s="3534"/>
      <c r="FU211" s="1184" t="s">
        <v>713</v>
      </c>
      <c r="FV211" s="1568"/>
      <c r="FW211" s="1550"/>
      <c r="FX211" s="1550" t="str">
        <f t="shared" si="3"/>
        <v>Добавить значение признака дифференциации</v>
      </c>
      <c r="FY211" s="1550"/>
      <c r="FZ211" s="1550"/>
      <c r="GA211" s="1561">
        <v>0</v>
      </c>
    </row>
    <row r="212" spans="1:183" s="1747" customFormat="1" ht="21" customHeight="1">
      <c r="A212" s="1289"/>
      <c r="B212" s="1289"/>
      <c r="C212" s="1289"/>
      <c r="D212" s="1289"/>
      <c r="E212" s="24089"/>
      <c r="F212" s="24089"/>
      <c r="G212" s="24089">
        <v>1</v>
      </c>
      <c r="H212" s="24089"/>
      <c r="I212" s="24090"/>
      <c r="J212" s="1289"/>
      <c r="K212" s="1289"/>
      <c r="L212" s="1295"/>
      <c r="M212" s="1674"/>
      <c r="N212" s="1674"/>
      <c r="O212" s="1674"/>
      <c r="P212" s="24092"/>
      <c r="Q212" s="1978"/>
      <c r="R212" s="292"/>
      <c r="S212" s="3535"/>
      <c r="T212" s="3536" t="s">
        <v>641</v>
      </c>
      <c r="U212" s="3537"/>
      <c r="V212" s="3538"/>
      <c r="W212" s="3539"/>
      <c r="X212" s="3540"/>
      <c r="Y212" s="3541"/>
      <c r="Z212" s="3542"/>
      <c r="AA212" s="3543"/>
      <c r="AB212" s="3544"/>
      <c r="AC212" s="3545"/>
      <c r="AD212" s="3546"/>
      <c r="AE212" s="3547"/>
      <c r="AF212" s="3548"/>
      <c r="AG212" s="3549"/>
      <c r="AH212" s="3550"/>
      <c r="AI212" s="3551"/>
      <c r="AJ212" s="3552"/>
      <c r="AK212" s="3553"/>
      <c r="AL212" s="3554"/>
      <c r="AM212" s="3555"/>
      <c r="AN212" s="3556"/>
      <c r="AO212" s="3557"/>
      <c r="AP212" s="3558"/>
      <c r="AQ212" s="3559"/>
      <c r="AR212" s="7165"/>
      <c r="AS212" s="7166"/>
      <c r="AT212" s="7167"/>
      <c r="AU212" s="7168"/>
      <c r="AV212" s="7169"/>
      <c r="AW212" s="7170"/>
      <c r="AX212" s="7171"/>
      <c r="AY212" s="7172"/>
      <c r="AZ212" s="7173"/>
      <c r="BA212" s="7174"/>
      <c r="BB212" s="7175"/>
      <c r="BC212" s="7176"/>
      <c r="BD212" s="7177"/>
      <c r="BE212" s="13553"/>
      <c r="BF212" s="13554"/>
      <c r="BG212" s="21873"/>
      <c r="BH212" s="13555"/>
      <c r="BI212" s="13556"/>
      <c r="BJ212" s="13557"/>
      <c r="BK212" s="13558"/>
      <c r="BL212" s="13559"/>
      <c r="BM212" s="13560"/>
      <c r="BN212" s="3560"/>
      <c r="BO212" s="3561"/>
      <c r="BP212" s="13561"/>
      <c r="BQ212" s="13562"/>
      <c r="BR212" s="3562"/>
      <c r="BS212" s="13563"/>
      <c r="BT212" s="13564"/>
      <c r="BU212" s="13565"/>
      <c r="BV212" s="13566"/>
      <c r="BW212" s="13567"/>
      <c r="BX212" s="13568"/>
      <c r="BY212" s="13569"/>
      <c r="BZ212" s="13570"/>
      <c r="CA212" s="13571"/>
      <c r="CB212" s="13572"/>
      <c r="CC212" s="13573"/>
      <c r="CD212" s="13574"/>
      <c r="CE212" s="13575"/>
      <c r="CF212" s="13576"/>
      <c r="CG212" s="13577"/>
      <c r="CH212" s="13578"/>
      <c r="CI212" s="13579"/>
      <c r="CJ212" s="13580"/>
      <c r="CK212" s="13581"/>
      <c r="CL212" s="13582"/>
      <c r="CM212" s="13583"/>
      <c r="CN212" s="13584"/>
      <c r="CO212" s="13585"/>
      <c r="CP212" s="13586"/>
      <c r="CQ212" s="13587"/>
      <c r="CR212" s="13588"/>
      <c r="CS212" s="13589"/>
      <c r="CT212" s="13590"/>
      <c r="CU212" s="13591"/>
      <c r="CV212" s="13592"/>
      <c r="CW212" s="13593"/>
      <c r="CX212" s="13594"/>
      <c r="CY212" s="13595"/>
      <c r="CZ212" s="13596"/>
      <c r="DA212" s="13597"/>
      <c r="DB212" s="13598"/>
      <c r="DC212" s="13599"/>
      <c r="DD212" s="13600"/>
      <c r="DE212" s="13601"/>
      <c r="DF212" s="13602"/>
      <c r="DG212" s="13603"/>
      <c r="DH212" s="13604"/>
      <c r="DI212" s="13605"/>
      <c r="DJ212" s="13606"/>
      <c r="DK212" s="13607"/>
      <c r="DL212" s="13608"/>
      <c r="DM212" s="13609"/>
      <c r="DN212" s="13610"/>
      <c r="DO212" s="13611"/>
      <c r="DP212" s="13612"/>
      <c r="DQ212" s="13613"/>
      <c r="DR212" s="13614"/>
      <c r="DS212" s="13615"/>
      <c r="DT212" s="13616"/>
      <c r="DU212" s="13617"/>
      <c r="DV212" s="13618"/>
      <c r="DW212" s="13619"/>
      <c r="DX212" s="13620"/>
      <c r="DY212" s="13621"/>
      <c r="DZ212" s="13622"/>
      <c r="EA212" s="13623"/>
      <c r="EB212" s="13624"/>
      <c r="EC212" s="13625"/>
      <c r="ED212" s="13626"/>
      <c r="EE212" s="13627"/>
      <c r="EF212" s="13628"/>
      <c r="EG212" s="13629"/>
      <c r="EH212" s="13630"/>
      <c r="EI212" s="13631"/>
      <c r="EJ212" s="13632"/>
      <c r="EK212" s="13633"/>
      <c r="EL212" s="13634"/>
      <c r="EM212" s="21575"/>
      <c r="EN212" s="21576"/>
      <c r="EO212" s="13635"/>
      <c r="EP212" s="13636"/>
      <c r="EQ212" s="21577"/>
      <c r="ER212" s="13637"/>
      <c r="ES212" s="13638"/>
      <c r="ET212" s="13639"/>
      <c r="EU212" s="13640"/>
      <c r="EV212" s="13641"/>
      <c r="EW212" s="13642"/>
      <c r="EX212" s="3563"/>
      <c r="EY212" s="3564"/>
      <c r="EZ212" s="13643"/>
      <c r="FA212" s="13644"/>
      <c r="FB212" s="3565"/>
      <c r="FC212" s="13645"/>
      <c r="FD212" s="13646"/>
      <c r="FE212" s="13647"/>
      <c r="FF212" s="13648"/>
      <c r="FG212" s="13649"/>
      <c r="FH212" s="5709"/>
      <c r="FI212" s="22728"/>
      <c r="FJ212" s="22729"/>
      <c r="FK212" s="23507"/>
      <c r="FL212" s="23508"/>
      <c r="FM212" s="22730"/>
      <c r="FN212" s="23509"/>
      <c r="FO212" s="23510"/>
      <c r="FP212" s="22731"/>
      <c r="FQ212" s="22732"/>
      <c r="FR212" s="22733"/>
      <c r="FS212" s="23511"/>
      <c r="FT212" s="3566"/>
      <c r="FU212" s="3567"/>
      <c r="FV212" s="1568"/>
      <c r="FW212" s="1550"/>
      <c r="FX212" s="1550" t="str">
        <f t="shared" si="3"/>
        <v>Добавить группу потребителей</v>
      </c>
      <c r="FY212" s="1550"/>
      <c r="FZ212" s="1550"/>
      <c r="GA212" s="1561">
        <v>0</v>
      </c>
    </row>
    <row r="213" spans="1:183" s="1747" customFormat="1" ht="21" customHeight="1">
      <c r="A213" s="1289"/>
      <c r="B213" s="1289"/>
      <c r="C213" s="1289"/>
      <c r="D213" s="1289"/>
      <c r="E213" s="24089"/>
      <c r="F213" s="24089"/>
      <c r="G213" s="24089">
        <v>1</v>
      </c>
      <c r="H213" s="24088"/>
      <c r="I213" s="1289"/>
      <c r="J213" s="1289"/>
      <c r="K213" s="1289"/>
      <c r="L213" s="1295"/>
      <c r="M213" s="1291"/>
      <c r="N213" s="1291"/>
      <c r="O213" s="1292"/>
      <c r="P213" s="1720"/>
      <c r="Q213" s="311"/>
      <c r="R213" s="291"/>
      <c r="S213" s="3568"/>
      <c r="T213" s="3569" t="s">
        <v>714</v>
      </c>
      <c r="U213" s="3570"/>
      <c r="V213" s="3571"/>
      <c r="W213" s="3572"/>
      <c r="X213" s="3573"/>
      <c r="Y213" s="3574"/>
      <c r="Z213" s="3575"/>
      <c r="AA213" s="3576"/>
      <c r="AB213" s="3577"/>
      <c r="AC213" s="3578"/>
      <c r="AD213" s="3579"/>
      <c r="AE213" s="3580"/>
      <c r="AF213" s="3581"/>
      <c r="AG213" s="3582"/>
      <c r="AH213" s="3583"/>
      <c r="AI213" s="3584"/>
      <c r="AJ213" s="3585"/>
      <c r="AK213" s="3586"/>
      <c r="AL213" s="3587"/>
      <c r="AM213" s="3588"/>
      <c r="AN213" s="3589"/>
      <c r="AO213" s="3590"/>
      <c r="AP213" s="3591"/>
      <c r="AQ213" s="3592"/>
      <c r="AR213" s="7178"/>
      <c r="AS213" s="7179"/>
      <c r="AT213" s="7180"/>
      <c r="AU213" s="7181"/>
      <c r="AV213" s="7182"/>
      <c r="AW213" s="7183"/>
      <c r="AX213" s="7184"/>
      <c r="AY213" s="7185"/>
      <c r="AZ213" s="7186"/>
      <c r="BA213" s="7187"/>
      <c r="BB213" s="7188"/>
      <c r="BC213" s="7189"/>
      <c r="BD213" s="7190"/>
      <c r="BE213" s="13650"/>
      <c r="BF213" s="13651"/>
      <c r="BG213" s="21874"/>
      <c r="BH213" s="13652"/>
      <c r="BI213" s="13653"/>
      <c r="BJ213" s="13654"/>
      <c r="BK213" s="13655"/>
      <c r="BL213" s="13656"/>
      <c r="BM213" s="13657"/>
      <c r="BN213" s="3593"/>
      <c r="BO213" s="3594"/>
      <c r="BP213" s="13658"/>
      <c r="BQ213" s="13659"/>
      <c r="BR213" s="3595"/>
      <c r="BS213" s="13660"/>
      <c r="BT213" s="13661"/>
      <c r="BU213" s="13662"/>
      <c r="BV213" s="13663"/>
      <c r="BW213" s="13664"/>
      <c r="BX213" s="13665"/>
      <c r="BY213" s="13666"/>
      <c r="BZ213" s="13667"/>
      <c r="CA213" s="13668"/>
      <c r="CB213" s="13669"/>
      <c r="CC213" s="13670"/>
      <c r="CD213" s="13671"/>
      <c r="CE213" s="13672"/>
      <c r="CF213" s="13673"/>
      <c r="CG213" s="13674"/>
      <c r="CH213" s="13675"/>
      <c r="CI213" s="13676"/>
      <c r="CJ213" s="13677"/>
      <c r="CK213" s="13678"/>
      <c r="CL213" s="13679"/>
      <c r="CM213" s="13680"/>
      <c r="CN213" s="13681"/>
      <c r="CO213" s="13682"/>
      <c r="CP213" s="13683"/>
      <c r="CQ213" s="13684"/>
      <c r="CR213" s="13685"/>
      <c r="CS213" s="13686"/>
      <c r="CT213" s="13687"/>
      <c r="CU213" s="13688"/>
      <c r="CV213" s="13689"/>
      <c r="CW213" s="13690"/>
      <c r="CX213" s="13691"/>
      <c r="CY213" s="13692"/>
      <c r="CZ213" s="13693"/>
      <c r="DA213" s="13694"/>
      <c r="DB213" s="13695"/>
      <c r="DC213" s="13696"/>
      <c r="DD213" s="13697"/>
      <c r="DE213" s="13698"/>
      <c r="DF213" s="13699"/>
      <c r="DG213" s="13700"/>
      <c r="DH213" s="13701"/>
      <c r="DI213" s="13702"/>
      <c r="DJ213" s="13703"/>
      <c r="DK213" s="13704"/>
      <c r="DL213" s="13705"/>
      <c r="DM213" s="13706"/>
      <c r="DN213" s="13707"/>
      <c r="DO213" s="13708"/>
      <c r="DP213" s="13709"/>
      <c r="DQ213" s="13710"/>
      <c r="DR213" s="13711"/>
      <c r="DS213" s="13712"/>
      <c r="DT213" s="13713"/>
      <c r="DU213" s="13714"/>
      <c r="DV213" s="13715"/>
      <c r="DW213" s="13716"/>
      <c r="DX213" s="13717"/>
      <c r="DY213" s="13718"/>
      <c r="DZ213" s="13719"/>
      <c r="EA213" s="13720"/>
      <c r="EB213" s="13721"/>
      <c r="EC213" s="13722"/>
      <c r="ED213" s="13723"/>
      <c r="EE213" s="13724"/>
      <c r="EF213" s="13725"/>
      <c r="EG213" s="13726"/>
      <c r="EH213" s="13727"/>
      <c r="EI213" s="13728"/>
      <c r="EJ213" s="13729"/>
      <c r="EK213" s="13730"/>
      <c r="EL213" s="13731"/>
      <c r="EM213" s="21578"/>
      <c r="EN213" s="21579"/>
      <c r="EO213" s="13732"/>
      <c r="EP213" s="13733"/>
      <c r="EQ213" s="21580"/>
      <c r="ER213" s="13734"/>
      <c r="ES213" s="13735"/>
      <c r="ET213" s="13736"/>
      <c r="EU213" s="13737"/>
      <c r="EV213" s="13738"/>
      <c r="EW213" s="13739"/>
      <c r="EX213" s="3596"/>
      <c r="EY213" s="3597"/>
      <c r="EZ213" s="13740"/>
      <c r="FA213" s="13741"/>
      <c r="FB213" s="3598"/>
      <c r="FC213" s="13742"/>
      <c r="FD213" s="13743"/>
      <c r="FE213" s="13744"/>
      <c r="FF213" s="13745"/>
      <c r="FG213" s="13746"/>
      <c r="FH213" s="5710"/>
      <c r="FI213" s="22734"/>
      <c r="FJ213" s="22735"/>
      <c r="FK213" s="23512"/>
      <c r="FL213" s="23513"/>
      <c r="FM213" s="22736"/>
      <c r="FN213" s="23514"/>
      <c r="FO213" s="23515"/>
      <c r="FP213" s="22737"/>
      <c r="FQ213" s="22738"/>
      <c r="FR213" s="22739"/>
      <c r="FS213" s="23516"/>
      <c r="FT213" s="3599"/>
      <c r="FU213" s="3600"/>
      <c r="FV213" s="1568"/>
      <c r="FW213" s="1550"/>
      <c r="FX213" s="1550" t="str">
        <f t="shared" si="3"/>
        <v>Добавить наименование признака дифференциации</v>
      </c>
      <c r="FY213" s="1550"/>
      <c r="FZ213" s="1550"/>
      <c r="GA213" s="1561">
        <v>0</v>
      </c>
    </row>
    <row r="214" spans="1:183" s="1747" customFormat="1" ht="23.25" customHeight="1">
      <c r="A214" s="1289"/>
      <c r="B214" s="1289"/>
      <c r="C214" s="1289" t="s">
        <v>401</v>
      </c>
      <c r="D214" s="1289"/>
      <c r="E214" s="24089"/>
      <c r="F214" s="24089"/>
      <c r="G214" s="24088" t="s">
        <v>81</v>
      </c>
      <c r="H214" s="1289"/>
      <c r="I214" s="1289"/>
      <c r="J214" s="1289"/>
      <c r="K214" s="1289"/>
      <c r="L214" s="1295"/>
      <c r="M214" s="1291"/>
      <c r="N214" s="1291"/>
      <c r="O214" s="1291"/>
      <c r="P214" s="290"/>
      <c r="Q214" s="288"/>
      <c r="R214" s="289"/>
      <c r="S214" s="1976" t="str">
        <f>INDEX(PT_DIFFERENTIATION_NUM_CS,MATCH(C214,PT_DIFFERENTIATION_CS_ID,0))</f>
        <v>1.6.3</v>
      </c>
      <c r="T214" s="245" t="s">
        <v>756</v>
      </c>
      <c r="U214" s="236"/>
      <c r="V214" s="24082"/>
      <c r="W214" s="24083"/>
      <c r="X214" s="24083"/>
      <c r="Y214" s="24083"/>
      <c r="Z214" s="24083"/>
      <c r="AA214" s="24083"/>
      <c r="AB214" s="24083"/>
      <c r="AC214" s="24083"/>
      <c r="AD214" s="24083"/>
      <c r="AE214" s="24083"/>
      <c r="AF214" s="24084"/>
      <c r="AG214" s="24082" t="str">
        <f>INDEX(PT_DIFFERENTIATION_CS,MATCH(C214,PT_DIFFERENTIATION_CS_ID,0))</f>
        <v>Население, проживающее по адресу: г. Рославль, ул. Мичурина, д. 177, 179, 181, 189, 191, 193, 193а, 195, 195а; 4-й Смоленский пер. д. 49, корпус 1, 2</v>
      </c>
      <c r="AH214" s="24083"/>
      <c r="AI214" s="24083"/>
      <c r="AJ214" s="24083"/>
      <c r="AK214" s="24083"/>
      <c r="AL214" s="24083"/>
      <c r="AM214" s="24083"/>
      <c r="AN214" s="24083"/>
      <c r="AO214" s="24083"/>
      <c r="AP214" s="24083"/>
      <c r="AQ214" s="24083"/>
      <c r="AR214" s="24173"/>
      <c r="AS214" s="24174"/>
      <c r="AT214" s="24174"/>
      <c r="AU214" s="24174"/>
      <c r="AV214" s="24174"/>
      <c r="AW214" s="24174"/>
      <c r="AX214" s="24174"/>
      <c r="AY214" s="24174"/>
      <c r="AZ214" s="24174"/>
      <c r="BA214" s="24174"/>
      <c r="BB214" s="24175"/>
      <c r="BC214" s="24173"/>
      <c r="BD214" s="24174"/>
      <c r="BE214" s="24174"/>
      <c r="BF214" s="24174"/>
      <c r="BG214" s="24174"/>
      <c r="BH214" s="24174"/>
      <c r="BI214" s="24174"/>
      <c r="BJ214" s="24174"/>
      <c r="BK214" s="24174"/>
      <c r="BL214" s="24174"/>
      <c r="BM214" s="24175"/>
      <c r="BN214" s="24082"/>
      <c r="BO214" s="24083"/>
      <c r="BP214" s="24174"/>
      <c r="BQ214" s="24174"/>
      <c r="BR214" s="24083"/>
      <c r="BS214" s="24174"/>
      <c r="BT214" s="24174"/>
      <c r="BU214" s="24174"/>
      <c r="BV214" s="24174"/>
      <c r="BW214" s="24174"/>
      <c r="BX214" s="24175"/>
      <c r="BY214" s="24173"/>
      <c r="BZ214" s="24174"/>
      <c r="CA214" s="24174"/>
      <c r="CB214" s="24174"/>
      <c r="CC214" s="24174"/>
      <c r="CD214" s="24174"/>
      <c r="CE214" s="24174"/>
      <c r="CF214" s="24174"/>
      <c r="CG214" s="24174"/>
      <c r="CH214" s="24174"/>
      <c r="CI214" s="24175"/>
      <c r="CJ214" s="24173"/>
      <c r="CK214" s="24174"/>
      <c r="CL214" s="24174"/>
      <c r="CM214" s="24174"/>
      <c r="CN214" s="24174"/>
      <c r="CO214" s="24174"/>
      <c r="CP214" s="24174"/>
      <c r="CQ214" s="24174"/>
      <c r="CR214" s="24174"/>
      <c r="CS214" s="24174"/>
      <c r="CT214" s="24175"/>
      <c r="CU214" s="24173"/>
      <c r="CV214" s="24174"/>
      <c r="CW214" s="24174"/>
      <c r="CX214" s="24174"/>
      <c r="CY214" s="24174"/>
      <c r="CZ214" s="24174"/>
      <c r="DA214" s="24174"/>
      <c r="DB214" s="24174"/>
      <c r="DC214" s="24174"/>
      <c r="DD214" s="24174"/>
      <c r="DE214" s="24175"/>
      <c r="DF214" s="24173"/>
      <c r="DG214" s="24174"/>
      <c r="DH214" s="24174"/>
      <c r="DI214" s="24174"/>
      <c r="DJ214" s="24174"/>
      <c r="DK214" s="24174"/>
      <c r="DL214" s="24174"/>
      <c r="DM214" s="24174"/>
      <c r="DN214" s="24174"/>
      <c r="DO214" s="24174"/>
      <c r="DP214" s="24175"/>
      <c r="DQ214" s="24173"/>
      <c r="DR214" s="24174"/>
      <c r="DS214" s="24174"/>
      <c r="DT214" s="24174"/>
      <c r="DU214" s="24174"/>
      <c r="DV214" s="24174"/>
      <c r="DW214" s="24174"/>
      <c r="DX214" s="24174"/>
      <c r="DY214" s="24174"/>
      <c r="DZ214" s="24174"/>
      <c r="EA214" s="24175"/>
      <c r="EB214" s="24173"/>
      <c r="EC214" s="24174"/>
      <c r="ED214" s="24174"/>
      <c r="EE214" s="24174"/>
      <c r="EF214" s="24174"/>
      <c r="EG214" s="24174"/>
      <c r="EH214" s="24174"/>
      <c r="EI214" s="24174"/>
      <c r="EJ214" s="24174"/>
      <c r="EK214" s="24174"/>
      <c r="EL214" s="24175"/>
      <c r="EM214" s="24173"/>
      <c r="EN214" s="24174"/>
      <c r="EO214" s="24174"/>
      <c r="EP214" s="24174"/>
      <c r="EQ214" s="24174"/>
      <c r="ER214" s="24174"/>
      <c r="ES214" s="24174"/>
      <c r="ET214" s="24174"/>
      <c r="EU214" s="24174"/>
      <c r="EV214" s="24174"/>
      <c r="EW214" s="24175"/>
      <c r="EX214" s="24082"/>
      <c r="EY214" s="24083"/>
      <c r="EZ214" s="24174"/>
      <c r="FA214" s="24174"/>
      <c r="FB214" s="24083"/>
      <c r="FC214" s="24174"/>
      <c r="FD214" s="24174"/>
      <c r="FE214" s="24174"/>
      <c r="FF214" s="24174"/>
      <c r="FG214" s="24174"/>
      <c r="FH214" s="24175"/>
      <c r="FI214" s="24082"/>
      <c r="FJ214" s="24083"/>
      <c r="FK214" s="24174"/>
      <c r="FL214" s="24174"/>
      <c r="FM214" s="24083"/>
      <c r="FN214" s="24174"/>
      <c r="FO214" s="24174"/>
      <c r="FP214" s="24083"/>
      <c r="FQ214" s="24083"/>
      <c r="FR214" s="24083"/>
      <c r="FS214" s="24175"/>
      <c r="FT214" s="24084"/>
      <c r="FU214" s="1184" t="s">
        <v>757</v>
      </c>
      <c r="FV214" s="1568"/>
      <c r="FW214" s="1550"/>
      <c r="FX214" s="1550" t="str">
        <f t="shared" si="3"/>
        <v>Наименование централизованной системы горячего водоснабжения</v>
      </c>
      <c r="FY214" s="1550"/>
      <c r="FZ214" s="1550"/>
      <c r="GA214" s="1561">
        <v>0</v>
      </c>
    </row>
    <row r="215" spans="1:183" s="1747" customFormat="1" ht="23.25" customHeight="1">
      <c r="A215" s="1289"/>
      <c r="B215" s="1289"/>
      <c r="C215" s="1289"/>
      <c r="D215" s="1289"/>
      <c r="E215" s="24089"/>
      <c r="F215" s="24089"/>
      <c r="G215" s="24089" t="s">
        <v>95</v>
      </c>
      <c r="H215" s="24089"/>
      <c r="I215" s="24090" t="str">
        <f>S214&amp;".1"</f>
        <v>1.6.3.1</v>
      </c>
      <c r="J215" s="1289"/>
      <c r="K215" s="1289"/>
      <c r="L215" s="1295"/>
      <c r="M215" s="1674"/>
      <c r="N215" s="1674"/>
      <c r="O215" s="1674"/>
      <c r="P215" s="24092">
        <v>1</v>
      </c>
      <c r="Q215" s="1978"/>
      <c r="R215" s="292"/>
      <c r="S215" s="1976" t="str">
        <f>$I215</f>
        <v>1.6.3.1</v>
      </c>
      <c r="T215" s="221" t="s">
        <v>709</v>
      </c>
      <c r="U215" s="236"/>
      <c r="V215" s="24156"/>
      <c r="W215" s="24157"/>
      <c r="X215" s="24157"/>
      <c r="Y215" s="24157"/>
      <c r="Z215" s="24157"/>
      <c r="AA215" s="24157"/>
      <c r="AB215" s="24157"/>
      <c r="AC215" s="24157"/>
      <c r="AD215" s="24157"/>
      <c r="AE215" s="24157"/>
      <c r="AF215" s="24158"/>
      <c r="AG215" s="24159"/>
      <c r="AH215" s="24160"/>
      <c r="AI215" s="24160"/>
      <c r="AJ215" s="24160"/>
      <c r="AK215" s="24160"/>
      <c r="AL215" s="24160"/>
      <c r="AM215" s="24160"/>
      <c r="AN215" s="24160"/>
      <c r="AO215" s="24160"/>
      <c r="AP215" s="24160"/>
      <c r="AQ215" s="24160"/>
      <c r="AR215" s="24176"/>
      <c r="AS215" s="24177"/>
      <c r="AT215" s="24177"/>
      <c r="AU215" s="24177"/>
      <c r="AV215" s="24177"/>
      <c r="AW215" s="24177"/>
      <c r="AX215" s="24177"/>
      <c r="AY215" s="24177"/>
      <c r="AZ215" s="24177"/>
      <c r="BA215" s="24177"/>
      <c r="BB215" s="24178"/>
      <c r="BC215" s="24176"/>
      <c r="BD215" s="24177"/>
      <c r="BE215" s="24177"/>
      <c r="BF215" s="24177"/>
      <c r="BG215" s="24177"/>
      <c r="BH215" s="24177"/>
      <c r="BI215" s="24177"/>
      <c r="BJ215" s="24177"/>
      <c r="BK215" s="24177"/>
      <c r="BL215" s="24177"/>
      <c r="BM215" s="24178"/>
      <c r="BN215" s="24156"/>
      <c r="BO215" s="24157"/>
      <c r="BP215" s="24177"/>
      <c r="BQ215" s="24177"/>
      <c r="BR215" s="24157"/>
      <c r="BS215" s="24177"/>
      <c r="BT215" s="24177"/>
      <c r="BU215" s="24177"/>
      <c r="BV215" s="24177"/>
      <c r="BW215" s="24177"/>
      <c r="BX215" s="24178"/>
      <c r="BY215" s="24176"/>
      <c r="BZ215" s="24177"/>
      <c r="CA215" s="24177"/>
      <c r="CB215" s="24177"/>
      <c r="CC215" s="24177"/>
      <c r="CD215" s="24177"/>
      <c r="CE215" s="24177"/>
      <c r="CF215" s="24177"/>
      <c r="CG215" s="24177"/>
      <c r="CH215" s="24177"/>
      <c r="CI215" s="24178"/>
      <c r="CJ215" s="24176"/>
      <c r="CK215" s="24177"/>
      <c r="CL215" s="24177"/>
      <c r="CM215" s="24177"/>
      <c r="CN215" s="24177"/>
      <c r="CO215" s="24177"/>
      <c r="CP215" s="24177"/>
      <c r="CQ215" s="24177"/>
      <c r="CR215" s="24177"/>
      <c r="CS215" s="24177"/>
      <c r="CT215" s="24178"/>
      <c r="CU215" s="24176"/>
      <c r="CV215" s="24177"/>
      <c r="CW215" s="24177"/>
      <c r="CX215" s="24177"/>
      <c r="CY215" s="24177"/>
      <c r="CZ215" s="24177"/>
      <c r="DA215" s="24177"/>
      <c r="DB215" s="24177"/>
      <c r="DC215" s="24177"/>
      <c r="DD215" s="24177"/>
      <c r="DE215" s="24178"/>
      <c r="DF215" s="24176"/>
      <c r="DG215" s="24177"/>
      <c r="DH215" s="24177"/>
      <c r="DI215" s="24177"/>
      <c r="DJ215" s="24177"/>
      <c r="DK215" s="24177"/>
      <c r="DL215" s="24177"/>
      <c r="DM215" s="24177"/>
      <c r="DN215" s="24177"/>
      <c r="DO215" s="24177"/>
      <c r="DP215" s="24178"/>
      <c r="DQ215" s="24176"/>
      <c r="DR215" s="24177"/>
      <c r="DS215" s="24177"/>
      <c r="DT215" s="24177"/>
      <c r="DU215" s="24177"/>
      <c r="DV215" s="24177"/>
      <c r="DW215" s="24177"/>
      <c r="DX215" s="24177"/>
      <c r="DY215" s="24177"/>
      <c r="DZ215" s="24177"/>
      <c r="EA215" s="24178"/>
      <c r="EB215" s="24176"/>
      <c r="EC215" s="24177"/>
      <c r="ED215" s="24177"/>
      <c r="EE215" s="24177"/>
      <c r="EF215" s="24177"/>
      <c r="EG215" s="24177"/>
      <c r="EH215" s="24177"/>
      <c r="EI215" s="24177"/>
      <c r="EJ215" s="24177"/>
      <c r="EK215" s="24177"/>
      <c r="EL215" s="24178"/>
      <c r="EM215" s="24176"/>
      <c r="EN215" s="24177"/>
      <c r="EO215" s="24177"/>
      <c r="EP215" s="24177"/>
      <c r="EQ215" s="24177"/>
      <c r="ER215" s="24177"/>
      <c r="ES215" s="24177"/>
      <c r="ET215" s="24177"/>
      <c r="EU215" s="24177"/>
      <c r="EV215" s="24177"/>
      <c r="EW215" s="24178"/>
      <c r="EX215" s="24156"/>
      <c r="EY215" s="24157"/>
      <c r="EZ215" s="24177"/>
      <c r="FA215" s="24177"/>
      <c r="FB215" s="24157"/>
      <c r="FC215" s="24177"/>
      <c r="FD215" s="24177"/>
      <c r="FE215" s="24177"/>
      <c r="FF215" s="24177"/>
      <c r="FG215" s="24177"/>
      <c r="FH215" s="24178"/>
      <c r="FI215" s="24156"/>
      <c r="FJ215" s="24157"/>
      <c r="FK215" s="24177"/>
      <c r="FL215" s="24177"/>
      <c r="FM215" s="24157"/>
      <c r="FN215" s="24177"/>
      <c r="FO215" s="24177"/>
      <c r="FP215" s="24157"/>
      <c r="FQ215" s="24157"/>
      <c r="FR215" s="24157"/>
      <c r="FS215" s="24178"/>
      <c r="FT215" s="24161"/>
      <c r="FU215" s="1184" t="s">
        <v>710</v>
      </c>
      <c r="FV215" s="1568"/>
      <c r="FW215" s="1550"/>
      <c r="FX215" s="1550" t="str">
        <f t="shared" si="3"/>
        <v>Наименование признака дифференциации</v>
      </c>
      <c r="FY215" s="1550"/>
      <c r="FZ215" s="1550"/>
      <c r="GA215" s="1561">
        <v>0</v>
      </c>
    </row>
    <row r="216" spans="1:183" s="1747" customFormat="1" ht="23.25" customHeight="1">
      <c r="A216" s="1289"/>
      <c r="B216" s="1289"/>
      <c r="C216" s="1289"/>
      <c r="D216" s="1289"/>
      <c r="E216" s="24089"/>
      <c r="F216" s="24089"/>
      <c r="G216" s="24089" t="s">
        <v>95</v>
      </c>
      <c r="H216" s="24089"/>
      <c r="I216" s="24091"/>
      <c r="J216" s="24090" t="str">
        <f>I215&amp;".1"</f>
        <v>1.6.3.1.1</v>
      </c>
      <c r="K216" s="1289"/>
      <c r="L216" s="1295" t="s">
        <v>635</v>
      </c>
      <c r="M216" s="1674"/>
      <c r="N216" s="1674"/>
      <c r="O216" s="1674"/>
      <c r="P216" s="24092"/>
      <c r="Q216" s="24092">
        <v>1</v>
      </c>
      <c r="R216" s="293"/>
      <c r="S216" s="1976" t="str">
        <f>$J216</f>
        <v>1.6.3.1.1</v>
      </c>
      <c r="T216" s="222" t="s">
        <v>636</v>
      </c>
      <c r="U216" s="236"/>
      <c r="V216" s="24076"/>
      <c r="W216" s="24077"/>
      <c r="X216" s="24077"/>
      <c r="Y216" s="24077"/>
      <c r="Z216" s="24077"/>
      <c r="AA216" s="24077"/>
      <c r="AB216" s="24077"/>
      <c r="AC216" s="24077"/>
      <c r="AD216" s="24077"/>
      <c r="AE216" s="24077"/>
      <c r="AF216" s="24078"/>
      <c r="AG216" s="24076" t="s">
        <v>771</v>
      </c>
      <c r="AH216" s="24077"/>
      <c r="AI216" s="24077"/>
      <c r="AJ216" s="24077"/>
      <c r="AK216" s="24077"/>
      <c r="AL216" s="24077"/>
      <c r="AM216" s="24077"/>
      <c r="AN216" s="24077"/>
      <c r="AO216" s="24077"/>
      <c r="AP216" s="24077"/>
      <c r="AQ216" s="24077"/>
      <c r="AR216" s="24179"/>
      <c r="AS216" s="24180"/>
      <c r="AT216" s="24180"/>
      <c r="AU216" s="24180"/>
      <c r="AV216" s="24180"/>
      <c r="AW216" s="24180"/>
      <c r="AX216" s="24180"/>
      <c r="AY216" s="24180"/>
      <c r="AZ216" s="24180"/>
      <c r="BA216" s="24180"/>
      <c r="BB216" s="24181"/>
      <c r="BC216" s="24179"/>
      <c r="BD216" s="24180"/>
      <c r="BE216" s="24180"/>
      <c r="BF216" s="24180"/>
      <c r="BG216" s="24180"/>
      <c r="BH216" s="24180"/>
      <c r="BI216" s="24180"/>
      <c r="BJ216" s="24180"/>
      <c r="BK216" s="24180"/>
      <c r="BL216" s="24180"/>
      <c r="BM216" s="24181"/>
      <c r="BN216" s="24076"/>
      <c r="BO216" s="24077"/>
      <c r="BP216" s="24180"/>
      <c r="BQ216" s="24180"/>
      <c r="BR216" s="24077"/>
      <c r="BS216" s="24180"/>
      <c r="BT216" s="24180"/>
      <c r="BU216" s="24180"/>
      <c r="BV216" s="24180"/>
      <c r="BW216" s="24180"/>
      <c r="BX216" s="24181"/>
      <c r="BY216" s="24179"/>
      <c r="BZ216" s="24180"/>
      <c r="CA216" s="24180"/>
      <c r="CB216" s="24180"/>
      <c r="CC216" s="24180"/>
      <c r="CD216" s="24180"/>
      <c r="CE216" s="24180"/>
      <c r="CF216" s="24180"/>
      <c r="CG216" s="24180"/>
      <c r="CH216" s="24180"/>
      <c r="CI216" s="24181"/>
      <c r="CJ216" s="24179"/>
      <c r="CK216" s="24180"/>
      <c r="CL216" s="24180"/>
      <c r="CM216" s="24180"/>
      <c r="CN216" s="24180"/>
      <c r="CO216" s="24180"/>
      <c r="CP216" s="24180"/>
      <c r="CQ216" s="24180"/>
      <c r="CR216" s="24180"/>
      <c r="CS216" s="24180"/>
      <c r="CT216" s="24181"/>
      <c r="CU216" s="24179"/>
      <c r="CV216" s="24180"/>
      <c r="CW216" s="24180"/>
      <c r="CX216" s="24180"/>
      <c r="CY216" s="24180"/>
      <c r="CZ216" s="24180"/>
      <c r="DA216" s="24180"/>
      <c r="DB216" s="24180"/>
      <c r="DC216" s="24180"/>
      <c r="DD216" s="24180"/>
      <c r="DE216" s="24181"/>
      <c r="DF216" s="24179"/>
      <c r="DG216" s="24180"/>
      <c r="DH216" s="24180"/>
      <c r="DI216" s="24180"/>
      <c r="DJ216" s="24180"/>
      <c r="DK216" s="24180"/>
      <c r="DL216" s="24180"/>
      <c r="DM216" s="24180"/>
      <c r="DN216" s="24180"/>
      <c r="DO216" s="24180"/>
      <c r="DP216" s="24181"/>
      <c r="DQ216" s="24179"/>
      <c r="DR216" s="24180"/>
      <c r="DS216" s="24180"/>
      <c r="DT216" s="24180"/>
      <c r="DU216" s="24180"/>
      <c r="DV216" s="24180"/>
      <c r="DW216" s="24180"/>
      <c r="DX216" s="24180"/>
      <c r="DY216" s="24180"/>
      <c r="DZ216" s="24180"/>
      <c r="EA216" s="24181"/>
      <c r="EB216" s="24179"/>
      <c r="EC216" s="24180"/>
      <c r="ED216" s="24180"/>
      <c r="EE216" s="24180"/>
      <c r="EF216" s="24180"/>
      <c r="EG216" s="24180"/>
      <c r="EH216" s="24180"/>
      <c r="EI216" s="24180"/>
      <c r="EJ216" s="24180"/>
      <c r="EK216" s="24180"/>
      <c r="EL216" s="24181"/>
      <c r="EM216" s="24179"/>
      <c r="EN216" s="24180"/>
      <c r="EO216" s="24180"/>
      <c r="EP216" s="24180"/>
      <c r="EQ216" s="24180"/>
      <c r="ER216" s="24180"/>
      <c r="ES216" s="24180"/>
      <c r="ET216" s="24180"/>
      <c r="EU216" s="24180"/>
      <c r="EV216" s="24180"/>
      <c r="EW216" s="24181"/>
      <c r="EX216" s="24076"/>
      <c r="EY216" s="24077"/>
      <c r="EZ216" s="24180"/>
      <c r="FA216" s="24180"/>
      <c r="FB216" s="24077"/>
      <c r="FC216" s="24180"/>
      <c r="FD216" s="24180"/>
      <c r="FE216" s="24180"/>
      <c r="FF216" s="24180"/>
      <c r="FG216" s="24180"/>
      <c r="FH216" s="24181"/>
      <c r="FI216" s="24076"/>
      <c r="FJ216" s="24077"/>
      <c r="FK216" s="24180"/>
      <c r="FL216" s="24180"/>
      <c r="FM216" s="24077"/>
      <c r="FN216" s="24180"/>
      <c r="FO216" s="24180"/>
      <c r="FP216" s="24077"/>
      <c r="FQ216" s="24077"/>
      <c r="FR216" s="24077"/>
      <c r="FS216" s="24181"/>
      <c r="FT216" s="24078"/>
      <c r="FU216" s="1233" t="s">
        <v>711</v>
      </c>
      <c r="FV216" s="1568"/>
      <c r="FW216" s="1550"/>
      <c r="FX216" s="1550" t="str">
        <f t="shared" si="3"/>
        <v>Группа потребителей</v>
      </c>
      <c r="FY216" s="1550"/>
      <c r="FZ216" s="1550"/>
      <c r="GA216" s="1561">
        <v>0</v>
      </c>
    </row>
    <row r="217" spans="1:183" s="1747" customFormat="1" ht="23.25" customHeight="1">
      <c r="A217" s="1289"/>
      <c r="B217" s="1289"/>
      <c r="C217" s="1289"/>
      <c r="D217" s="1289"/>
      <c r="E217" s="24089"/>
      <c r="F217" s="24089"/>
      <c r="G217" s="24089" t="s">
        <v>95</v>
      </c>
      <c r="H217" s="24089"/>
      <c r="I217" s="24091"/>
      <c r="J217" s="24091"/>
      <c r="K217" s="24090" t="str">
        <f>J216&amp;".1"</f>
        <v>1.6.3.1.1.1</v>
      </c>
      <c r="L217" s="1295"/>
      <c r="M217" s="1674"/>
      <c r="N217" s="1674"/>
      <c r="O217" s="1674"/>
      <c r="P217" s="24092"/>
      <c r="Q217" s="24092"/>
      <c r="R217" s="293">
        <v>1</v>
      </c>
      <c r="S217" s="1976" t="str">
        <f>$K217</f>
        <v>1.6.3.1.1.1</v>
      </c>
      <c r="T217" s="1363"/>
      <c r="U217" s="236"/>
      <c r="V217" s="1286"/>
      <c r="W217" s="1286"/>
      <c r="X217" s="1286"/>
      <c r="Y217" s="1286"/>
      <c r="Z217" s="1286"/>
      <c r="AA217" s="1286"/>
      <c r="AB217" s="1286"/>
      <c r="AC217" s="24086"/>
      <c r="AD217" s="24085" t="s">
        <v>59</v>
      </c>
      <c r="AE217" s="24086"/>
      <c r="AF217" s="24085" t="s">
        <v>59</v>
      </c>
      <c r="AG217" s="687">
        <v>179.8</v>
      </c>
      <c r="AH217" s="687">
        <v>27.69</v>
      </c>
      <c r="AI217" s="687"/>
      <c r="AJ217" s="687"/>
      <c r="AK217" s="687">
        <v>2438.8200000000002</v>
      </c>
      <c r="AL217" s="687"/>
      <c r="AM217" s="687"/>
      <c r="AN217" s="24093" t="s">
        <v>9</v>
      </c>
      <c r="AO217" s="23957" t="s">
        <v>59</v>
      </c>
      <c r="AP217" s="24095" t="s">
        <v>770</v>
      </c>
      <c r="AQ217" s="23957" t="s">
        <v>59</v>
      </c>
      <c r="AR217" s="687">
        <v>197.65</v>
      </c>
      <c r="AS217" s="687">
        <v>30.35</v>
      </c>
      <c r="AT217" s="687"/>
      <c r="AU217" s="687"/>
      <c r="AV217" s="687">
        <v>2682.71</v>
      </c>
      <c r="AW217" s="687"/>
      <c r="AX217" s="687"/>
      <c r="AY217" s="24093" t="s">
        <v>772</v>
      </c>
      <c r="AZ217" s="23957" t="s">
        <v>59</v>
      </c>
      <c r="BA217" s="24093" t="s">
        <v>773</v>
      </c>
      <c r="BB217" s="23957" t="s">
        <v>59</v>
      </c>
      <c r="BC217" s="687">
        <v>197.65</v>
      </c>
      <c r="BD217" s="687">
        <v>30.35</v>
      </c>
      <c r="BE217" s="687"/>
      <c r="BF217" s="687"/>
      <c r="BG217" s="687">
        <v>2711.68</v>
      </c>
      <c r="BH217" s="687"/>
      <c r="BI217" s="687"/>
      <c r="BJ217" s="24185" t="s">
        <v>774</v>
      </c>
      <c r="BK217" s="23957" t="s">
        <v>59</v>
      </c>
      <c r="BL217" s="24093" t="s">
        <v>775</v>
      </c>
      <c r="BM217" s="23957" t="s">
        <v>59</v>
      </c>
      <c r="BN217" s="687">
        <v>223.98</v>
      </c>
      <c r="BO217" s="687">
        <v>36.409999999999997</v>
      </c>
      <c r="BP217" s="687"/>
      <c r="BQ217" s="687"/>
      <c r="BR217" s="687">
        <v>3034.37</v>
      </c>
      <c r="BS217" s="687"/>
      <c r="BT217" s="687"/>
      <c r="BU217" s="24093" t="s">
        <v>776</v>
      </c>
      <c r="BV217" s="23957" t="s">
        <v>59</v>
      </c>
      <c r="BW217" s="24093" t="s">
        <v>777</v>
      </c>
      <c r="BX217" s="23957" t="s">
        <v>59</v>
      </c>
      <c r="BY217" s="687">
        <v>227.79</v>
      </c>
      <c r="BZ217" s="687">
        <v>37.03</v>
      </c>
      <c r="CA217" s="687"/>
      <c r="CB217" s="687"/>
      <c r="CC217" s="687">
        <v>3074.16</v>
      </c>
      <c r="CD217" s="687"/>
      <c r="CE217" s="687"/>
      <c r="CF217" s="24093" t="s">
        <v>778</v>
      </c>
      <c r="CG217" s="23957" t="s">
        <v>59</v>
      </c>
      <c r="CH217" s="24185">
        <v>46295</v>
      </c>
      <c r="CI217" s="23957" t="s">
        <v>59</v>
      </c>
      <c r="CJ217" s="687">
        <v>255.11</v>
      </c>
      <c r="CK217" s="687">
        <v>41.48</v>
      </c>
      <c r="CL217" s="687"/>
      <c r="CM217" s="687"/>
      <c r="CN217" s="687">
        <v>3443.06</v>
      </c>
      <c r="CO217" s="687"/>
      <c r="CP217" s="687"/>
      <c r="CQ217" s="24185">
        <v>46296</v>
      </c>
      <c r="CR217" s="23957" t="s">
        <v>59</v>
      </c>
      <c r="CS217" s="24093" t="s">
        <v>779</v>
      </c>
      <c r="CT217" s="23957" t="s">
        <v>59</v>
      </c>
      <c r="CU217" s="687">
        <f>CJ217</f>
        <v>255.11</v>
      </c>
      <c r="CV217" s="687">
        <f>CK217</f>
        <v>41.48</v>
      </c>
      <c r="CW217" s="687"/>
      <c r="CX217" s="687"/>
      <c r="CY217" s="687">
        <f>CN217</f>
        <v>3443.06</v>
      </c>
      <c r="CZ217" s="687"/>
      <c r="DA217" s="687"/>
      <c r="DB217" s="24093" t="s">
        <v>780</v>
      </c>
      <c r="DC217" s="23957" t="s">
        <v>59</v>
      </c>
      <c r="DD217" s="24093" t="s">
        <v>781</v>
      </c>
      <c r="DE217" s="23957" t="s">
        <v>59</v>
      </c>
      <c r="DF217" s="687">
        <v>277.32</v>
      </c>
      <c r="DG217" s="687">
        <v>45.09</v>
      </c>
      <c r="DH217" s="687"/>
      <c r="DI217" s="687"/>
      <c r="DJ217" s="687">
        <v>3742.61</v>
      </c>
      <c r="DK217" s="687"/>
      <c r="DL217" s="687"/>
      <c r="DM217" s="24093" t="s">
        <v>782</v>
      </c>
      <c r="DN217" s="23957" t="s">
        <v>59</v>
      </c>
      <c r="DO217" s="24093" t="s">
        <v>783</v>
      </c>
      <c r="DP217" s="23957" t="s">
        <v>59</v>
      </c>
      <c r="DQ217" s="687">
        <f>DF217</f>
        <v>277.32</v>
      </c>
      <c r="DR217" s="687">
        <f>DG217</f>
        <v>45.09</v>
      </c>
      <c r="DS217" s="687"/>
      <c r="DT217" s="687"/>
      <c r="DU217" s="687">
        <f>DJ217</f>
        <v>3742.61</v>
      </c>
      <c r="DV217" s="687"/>
      <c r="DW217" s="687"/>
      <c r="DX217" s="24093" t="s">
        <v>784</v>
      </c>
      <c r="DY217" s="23957" t="s">
        <v>59</v>
      </c>
      <c r="DZ217" s="24093" t="s">
        <v>785</v>
      </c>
      <c r="EA217" s="23957" t="s">
        <v>59</v>
      </c>
      <c r="EB217" s="687">
        <v>297.01</v>
      </c>
      <c r="EC217" s="687">
        <v>48.29</v>
      </c>
      <c r="ED217" s="687"/>
      <c r="EE217" s="687"/>
      <c r="EF217" s="687">
        <v>4008.33</v>
      </c>
      <c r="EG217" s="687"/>
      <c r="EH217" s="687"/>
      <c r="EI217" s="24093" t="s">
        <v>786</v>
      </c>
      <c r="EJ217" s="23957" t="s">
        <v>59</v>
      </c>
      <c r="EK217" s="24093" t="s">
        <v>787</v>
      </c>
      <c r="EL217" s="23957" t="s">
        <v>6</v>
      </c>
      <c r="EM217" s="1286"/>
      <c r="EN217" s="1286"/>
      <c r="EO217" s="1286"/>
      <c r="EP217" s="1286"/>
      <c r="EQ217" s="1286"/>
      <c r="ER217" s="1286"/>
      <c r="ES217" s="1286"/>
      <c r="ET217" s="24086"/>
      <c r="EU217" s="24085" t="s">
        <v>59</v>
      </c>
      <c r="EV217" s="24086"/>
      <c r="EW217" s="24085" t="s">
        <v>59</v>
      </c>
      <c r="EX217" s="1286"/>
      <c r="EY217" s="1286"/>
      <c r="EZ217" s="1286"/>
      <c r="FA217" s="1286"/>
      <c r="FB217" s="1286"/>
      <c r="FC217" s="1286"/>
      <c r="FD217" s="1286"/>
      <c r="FE217" s="24086"/>
      <c r="FF217" s="24085" t="s">
        <v>59</v>
      </c>
      <c r="FG217" s="24086"/>
      <c r="FH217" s="24085" t="s">
        <v>59</v>
      </c>
      <c r="FI217" s="1286"/>
      <c r="FJ217" s="1286"/>
      <c r="FK217" s="1286"/>
      <c r="FL217" s="1286"/>
      <c r="FM217" s="1286"/>
      <c r="FN217" s="1286"/>
      <c r="FO217" s="1286"/>
      <c r="FP217" s="24086"/>
      <c r="FQ217" s="24085" t="s">
        <v>59</v>
      </c>
      <c r="FR217" s="24086"/>
      <c r="FS217" s="24085" t="s">
        <v>59</v>
      </c>
      <c r="FT217" s="1364"/>
      <c r="FU21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17" s="1568" t="e">
        <f ca="1">STRCHECKDATE(V218:FT218)</f>
        <v>#NAME?</v>
      </c>
      <c r="FW217" s="1550"/>
      <c r="FX217" s="1550" t="str">
        <f t="shared" si="3"/>
        <v/>
      </c>
      <c r="FY217" s="1550"/>
      <c r="FZ217" s="1550"/>
      <c r="GA217" s="1561">
        <v>0</v>
      </c>
    </row>
    <row r="218" spans="1:183" s="1747" customFormat="1" ht="14.25" customHeight="1">
      <c r="A218" s="1289"/>
      <c r="B218" s="1289"/>
      <c r="C218" s="1289"/>
      <c r="D218" s="1289"/>
      <c r="E218" s="24089"/>
      <c r="F218" s="24089"/>
      <c r="G218" s="24089" t="s">
        <v>95</v>
      </c>
      <c r="H218" s="24089"/>
      <c r="I218" s="24091"/>
      <c r="J218" s="24091"/>
      <c r="K218" s="24090"/>
      <c r="L218" s="1295"/>
      <c r="M218" s="1674"/>
      <c r="N218" s="1674"/>
      <c r="O218" s="1674"/>
      <c r="P218" s="24092"/>
      <c r="Q218" s="24092"/>
      <c r="R218" s="293"/>
      <c r="S218" s="1982"/>
      <c r="T218" s="236"/>
      <c r="U218" s="236"/>
      <c r="V218" s="1286"/>
      <c r="W218" s="1286"/>
      <c r="X218" s="1286"/>
      <c r="Y218" s="1286"/>
      <c r="Z218" s="1286"/>
      <c r="AA218" s="1286"/>
      <c r="AB218" s="1286"/>
      <c r="AC218" s="24085"/>
      <c r="AD218" s="24085"/>
      <c r="AE218" s="24085"/>
      <c r="AF218" s="24085"/>
      <c r="AG218" s="261"/>
      <c r="AH218" s="261"/>
      <c r="AI218" s="261"/>
      <c r="AJ218" s="261"/>
      <c r="AK218" s="261"/>
      <c r="AL218" s="261"/>
      <c r="AM218" s="261"/>
      <c r="AN218" s="24094"/>
      <c r="AO218" s="23957"/>
      <c r="AP218" s="24096"/>
      <c r="AQ218" s="23957"/>
      <c r="AR218" s="261"/>
      <c r="AS218" s="261"/>
      <c r="AT218" s="261"/>
      <c r="AU218" s="261"/>
      <c r="AV218" s="261"/>
      <c r="AW218" s="261"/>
      <c r="AX218" s="261"/>
      <c r="AY218" s="24094"/>
      <c r="AZ218" s="23957"/>
      <c r="BA218" s="24094"/>
      <c r="BB218" s="23957"/>
      <c r="BC218" s="261"/>
      <c r="BD218" s="261"/>
      <c r="BE218" s="261"/>
      <c r="BF218" s="261"/>
      <c r="BG218" s="261"/>
      <c r="BH218" s="261"/>
      <c r="BI218" s="261"/>
      <c r="BJ218" s="24094"/>
      <c r="BK218" s="23957"/>
      <c r="BL218" s="24094"/>
      <c r="BM218" s="23957"/>
      <c r="BN218" s="261"/>
      <c r="BO218" s="261"/>
      <c r="BP218" s="261"/>
      <c r="BQ218" s="261"/>
      <c r="BR218" s="261"/>
      <c r="BS218" s="261"/>
      <c r="BT218" s="261"/>
      <c r="BU218" s="24094"/>
      <c r="BV218" s="23957"/>
      <c r="BW218" s="24094"/>
      <c r="BX218" s="23957"/>
      <c r="BY218" s="261"/>
      <c r="BZ218" s="261"/>
      <c r="CA218" s="261"/>
      <c r="CB218" s="261"/>
      <c r="CC218" s="261"/>
      <c r="CD218" s="261"/>
      <c r="CE218" s="261"/>
      <c r="CF218" s="24094"/>
      <c r="CG218" s="23957"/>
      <c r="CH218" s="24094"/>
      <c r="CI218" s="23957"/>
      <c r="CJ218" s="261"/>
      <c r="CK218" s="261"/>
      <c r="CL218" s="261"/>
      <c r="CM218" s="261"/>
      <c r="CN218" s="261"/>
      <c r="CO218" s="261"/>
      <c r="CP218" s="261"/>
      <c r="CQ218" s="24094"/>
      <c r="CR218" s="23957"/>
      <c r="CS218" s="24094"/>
      <c r="CT218" s="23957"/>
      <c r="CU218" s="261"/>
      <c r="CV218" s="261"/>
      <c r="CW218" s="261"/>
      <c r="CX218" s="261"/>
      <c r="CY218" s="261"/>
      <c r="CZ218" s="261"/>
      <c r="DA218" s="261"/>
      <c r="DB218" s="24094"/>
      <c r="DC218" s="23957"/>
      <c r="DD218" s="24094"/>
      <c r="DE218" s="23957"/>
      <c r="DF218" s="261"/>
      <c r="DG218" s="261"/>
      <c r="DH218" s="261"/>
      <c r="DI218" s="261"/>
      <c r="DJ218" s="261"/>
      <c r="DK218" s="261"/>
      <c r="DL218" s="261"/>
      <c r="DM218" s="24094"/>
      <c r="DN218" s="23957"/>
      <c r="DO218" s="24094"/>
      <c r="DP218" s="23957"/>
      <c r="DQ218" s="261"/>
      <c r="DR218" s="261"/>
      <c r="DS218" s="261"/>
      <c r="DT218" s="261"/>
      <c r="DU218" s="261"/>
      <c r="DV218" s="261"/>
      <c r="DW218" s="261"/>
      <c r="DX218" s="24094"/>
      <c r="DY218" s="23957"/>
      <c r="DZ218" s="24094"/>
      <c r="EA218" s="23957"/>
      <c r="EB218" s="261"/>
      <c r="EC218" s="261"/>
      <c r="ED218" s="261"/>
      <c r="EE218" s="261"/>
      <c r="EF218" s="261"/>
      <c r="EG218" s="261"/>
      <c r="EH218" s="261"/>
      <c r="EI218" s="24094"/>
      <c r="EJ218" s="23957"/>
      <c r="EK218" s="24094"/>
      <c r="EL218" s="23957"/>
      <c r="EM218" s="1286"/>
      <c r="EN218" s="1286"/>
      <c r="EO218" s="1286"/>
      <c r="EP218" s="1286"/>
      <c r="EQ218" s="1286"/>
      <c r="ER218" s="1286"/>
      <c r="ES218" s="1286"/>
      <c r="ET218" s="24085"/>
      <c r="EU218" s="24085"/>
      <c r="EV218" s="24085"/>
      <c r="EW218" s="24085"/>
      <c r="EX218" s="1286"/>
      <c r="EY218" s="1286"/>
      <c r="EZ218" s="1286"/>
      <c r="FA218" s="1286"/>
      <c r="FB218" s="1286"/>
      <c r="FC218" s="1286"/>
      <c r="FD218" s="1286"/>
      <c r="FE218" s="24085"/>
      <c r="FF218" s="24085"/>
      <c r="FG218" s="24085"/>
      <c r="FH218" s="24085"/>
      <c r="FI218" s="1286"/>
      <c r="FJ218" s="1286"/>
      <c r="FK218" s="1286"/>
      <c r="FL218" s="1286"/>
      <c r="FM218" s="1286"/>
      <c r="FN218" s="1286"/>
      <c r="FO218" s="1286"/>
      <c r="FP218" s="24085"/>
      <c r="FQ218" s="24085"/>
      <c r="FR218" s="24085"/>
      <c r="FS218" s="24085"/>
      <c r="FT218" s="1365"/>
      <c r="FU218" s="24162"/>
      <c r="FV218" s="1568"/>
      <c r="FW218" s="1550"/>
      <c r="FX218" s="1550" t="str">
        <f t="shared" si="3"/>
        <v/>
      </c>
      <c r="FY218" s="1550"/>
      <c r="FZ218" s="1550"/>
      <c r="GA218" s="1561">
        <v>0</v>
      </c>
    </row>
    <row r="219" spans="1:183" s="1747" customFormat="1" ht="21" customHeight="1">
      <c r="A219" s="1289"/>
      <c r="B219" s="1289"/>
      <c r="C219" s="1289"/>
      <c r="D219" s="1289"/>
      <c r="E219" s="24089"/>
      <c r="F219" s="24089"/>
      <c r="G219" s="24089" t="s">
        <v>95</v>
      </c>
      <c r="H219" s="24089"/>
      <c r="I219" s="24091"/>
      <c r="J219" s="24090"/>
      <c r="K219" s="1289"/>
      <c r="L219" s="1295"/>
      <c r="M219" s="1674"/>
      <c r="N219" s="1674"/>
      <c r="O219" s="1674"/>
      <c r="P219" s="24092"/>
      <c r="Q219" s="24092"/>
      <c r="R219" s="292"/>
      <c r="S219" s="3601"/>
      <c r="T219" s="3602" t="s">
        <v>712</v>
      </c>
      <c r="U219" s="3603"/>
      <c r="V219" s="3604"/>
      <c r="W219" s="3605"/>
      <c r="X219" s="3606"/>
      <c r="Y219" s="3607"/>
      <c r="Z219" s="3608"/>
      <c r="AA219" s="3609"/>
      <c r="AB219" s="3610"/>
      <c r="AC219" s="3611"/>
      <c r="AD219" s="3612"/>
      <c r="AE219" s="3613"/>
      <c r="AF219" s="3614"/>
      <c r="AG219" s="3615"/>
      <c r="AH219" s="3616"/>
      <c r="AI219" s="3617"/>
      <c r="AJ219" s="3618"/>
      <c r="AK219" s="3619"/>
      <c r="AL219" s="3620"/>
      <c r="AM219" s="3621"/>
      <c r="AN219" s="3622"/>
      <c r="AO219" s="3623"/>
      <c r="AP219" s="3624"/>
      <c r="AQ219" s="3625"/>
      <c r="AR219" s="7191"/>
      <c r="AS219" s="7192"/>
      <c r="AT219" s="7193"/>
      <c r="AU219" s="7194"/>
      <c r="AV219" s="7195"/>
      <c r="AW219" s="7196"/>
      <c r="AX219" s="7197"/>
      <c r="AY219" s="7198"/>
      <c r="AZ219" s="7199"/>
      <c r="BA219" s="7200"/>
      <c r="BB219" s="7201"/>
      <c r="BC219" s="7202"/>
      <c r="BD219" s="7203"/>
      <c r="BE219" s="13747"/>
      <c r="BF219" s="13748"/>
      <c r="BG219" s="21875"/>
      <c r="BH219" s="13749"/>
      <c r="BI219" s="13750"/>
      <c r="BJ219" s="13751"/>
      <c r="BK219" s="13752"/>
      <c r="BL219" s="13753"/>
      <c r="BM219" s="13754"/>
      <c r="BN219" s="3626"/>
      <c r="BO219" s="3627"/>
      <c r="BP219" s="13755"/>
      <c r="BQ219" s="13756"/>
      <c r="BR219" s="3628"/>
      <c r="BS219" s="13757"/>
      <c r="BT219" s="13758"/>
      <c r="BU219" s="13759"/>
      <c r="BV219" s="13760"/>
      <c r="BW219" s="13761"/>
      <c r="BX219" s="13762"/>
      <c r="BY219" s="13763"/>
      <c r="BZ219" s="13764"/>
      <c r="CA219" s="13765"/>
      <c r="CB219" s="13766"/>
      <c r="CC219" s="13767"/>
      <c r="CD219" s="13768"/>
      <c r="CE219" s="13769"/>
      <c r="CF219" s="13770"/>
      <c r="CG219" s="13771"/>
      <c r="CH219" s="13772"/>
      <c r="CI219" s="13773"/>
      <c r="CJ219" s="13774"/>
      <c r="CK219" s="13775"/>
      <c r="CL219" s="13776"/>
      <c r="CM219" s="13777"/>
      <c r="CN219" s="13778"/>
      <c r="CO219" s="13779"/>
      <c r="CP219" s="13780"/>
      <c r="CQ219" s="13781"/>
      <c r="CR219" s="13782"/>
      <c r="CS219" s="13783"/>
      <c r="CT219" s="13784"/>
      <c r="CU219" s="13785"/>
      <c r="CV219" s="13786"/>
      <c r="CW219" s="13787"/>
      <c r="CX219" s="13788"/>
      <c r="CY219" s="13789"/>
      <c r="CZ219" s="13790"/>
      <c r="DA219" s="13791"/>
      <c r="DB219" s="13792"/>
      <c r="DC219" s="13793"/>
      <c r="DD219" s="13794"/>
      <c r="DE219" s="13795"/>
      <c r="DF219" s="13796"/>
      <c r="DG219" s="13797"/>
      <c r="DH219" s="13798"/>
      <c r="DI219" s="13799"/>
      <c r="DJ219" s="13800"/>
      <c r="DK219" s="13801"/>
      <c r="DL219" s="13802"/>
      <c r="DM219" s="13803"/>
      <c r="DN219" s="13804"/>
      <c r="DO219" s="13805"/>
      <c r="DP219" s="13806"/>
      <c r="DQ219" s="13807"/>
      <c r="DR219" s="13808"/>
      <c r="DS219" s="13809"/>
      <c r="DT219" s="13810"/>
      <c r="DU219" s="13811"/>
      <c r="DV219" s="13812"/>
      <c r="DW219" s="13813"/>
      <c r="DX219" s="13814"/>
      <c r="DY219" s="13815"/>
      <c r="DZ219" s="13816"/>
      <c r="EA219" s="13817"/>
      <c r="EB219" s="13818"/>
      <c r="EC219" s="13819"/>
      <c r="ED219" s="13820"/>
      <c r="EE219" s="13821"/>
      <c r="EF219" s="13822"/>
      <c r="EG219" s="13823"/>
      <c r="EH219" s="13824"/>
      <c r="EI219" s="13825"/>
      <c r="EJ219" s="13826"/>
      <c r="EK219" s="13827"/>
      <c r="EL219" s="13828"/>
      <c r="EM219" s="21581"/>
      <c r="EN219" s="21582"/>
      <c r="EO219" s="13829"/>
      <c r="EP219" s="13830"/>
      <c r="EQ219" s="21583"/>
      <c r="ER219" s="13831"/>
      <c r="ES219" s="13832"/>
      <c r="ET219" s="13833"/>
      <c r="EU219" s="13834"/>
      <c r="EV219" s="13835"/>
      <c r="EW219" s="13836"/>
      <c r="EX219" s="3629"/>
      <c r="EY219" s="3630"/>
      <c r="EZ219" s="13837"/>
      <c r="FA219" s="13838"/>
      <c r="FB219" s="3631"/>
      <c r="FC219" s="13839"/>
      <c r="FD219" s="13840"/>
      <c r="FE219" s="13841"/>
      <c r="FF219" s="13842"/>
      <c r="FG219" s="13843"/>
      <c r="FH219" s="5711"/>
      <c r="FI219" s="22740"/>
      <c r="FJ219" s="22741"/>
      <c r="FK219" s="23517"/>
      <c r="FL219" s="23518"/>
      <c r="FM219" s="22742"/>
      <c r="FN219" s="23519"/>
      <c r="FO219" s="23520"/>
      <c r="FP219" s="22743"/>
      <c r="FQ219" s="22744"/>
      <c r="FR219" s="22745"/>
      <c r="FS219" s="23521"/>
      <c r="FT219" s="3632"/>
      <c r="FU219" s="1184" t="s">
        <v>713</v>
      </c>
      <c r="FV219" s="1568"/>
      <c r="FW219" s="1550"/>
      <c r="FX219" s="1550" t="str">
        <f t="shared" si="3"/>
        <v>Добавить значение признака дифференциации</v>
      </c>
      <c r="FY219" s="1550"/>
      <c r="FZ219" s="1550"/>
      <c r="GA219" s="1561">
        <v>0</v>
      </c>
    </row>
    <row r="220" spans="1:183" s="1747" customFormat="1" ht="21" customHeight="1">
      <c r="A220" s="1289"/>
      <c r="B220" s="1289"/>
      <c r="C220" s="1289"/>
      <c r="D220" s="1289"/>
      <c r="E220" s="24089"/>
      <c r="F220" s="24089"/>
      <c r="G220" s="24089" t="s">
        <v>95</v>
      </c>
      <c r="H220" s="24089"/>
      <c r="I220" s="24090"/>
      <c r="J220" s="1289"/>
      <c r="K220" s="1289"/>
      <c r="L220" s="1295"/>
      <c r="M220" s="1674"/>
      <c r="N220" s="1674"/>
      <c r="O220" s="1674"/>
      <c r="P220" s="24092"/>
      <c r="Q220" s="1978"/>
      <c r="R220" s="292"/>
      <c r="S220" s="3633"/>
      <c r="T220" s="3634" t="s">
        <v>641</v>
      </c>
      <c r="U220" s="3635"/>
      <c r="V220" s="3636"/>
      <c r="W220" s="3637"/>
      <c r="X220" s="3638"/>
      <c r="Y220" s="3639"/>
      <c r="Z220" s="3640"/>
      <c r="AA220" s="3641"/>
      <c r="AB220" s="3642"/>
      <c r="AC220" s="3643"/>
      <c r="AD220" s="3644"/>
      <c r="AE220" s="3645"/>
      <c r="AF220" s="3646"/>
      <c r="AG220" s="3647"/>
      <c r="AH220" s="3648"/>
      <c r="AI220" s="3649"/>
      <c r="AJ220" s="3650"/>
      <c r="AK220" s="3651"/>
      <c r="AL220" s="3652"/>
      <c r="AM220" s="3653"/>
      <c r="AN220" s="3654"/>
      <c r="AO220" s="3655"/>
      <c r="AP220" s="3656"/>
      <c r="AQ220" s="3657"/>
      <c r="AR220" s="7204"/>
      <c r="AS220" s="7205"/>
      <c r="AT220" s="7206"/>
      <c r="AU220" s="7207"/>
      <c r="AV220" s="7208"/>
      <c r="AW220" s="7209"/>
      <c r="AX220" s="7210"/>
      <c r="AY220" s="7211"/>
      <c r="AZ220" s="7212"/>
      <c r="BA220" s="7213"/>
      <c r="BB220" s="7214"/>
      <c r="BC220" s="7215"/>
      <c r="BD220" s="7216"/>
      <c r="BE220" s="13844"/>
      <c r="BF220" s="13845"/>
      <c r="BG220" s="21876"/>
      <c r="BH220" s="13846"/>
      <c r="BI220" s="13847"/>
      <c r="BJ220" s="13848"/>
      <c r="BK220" s="13849"/>
      <c r="BL220" s="13850"/>
      <c r="BM220" s="13851"/>
      <c r="BN220" s="3658"/>
      <c r="BO220" s="3659"/>
      <c r="BP220" s="13852"/>
      <c r="BQ220" s="13853"/>
      <c r="BR220" s="3660"/>
      <c r="BS220" s="13854"/>
      <c r="BT220" s="13855"/>
      <c r="BU220" s="13856"/>
      <c r="BV220" s="13857"/>
      <c r="BW220" s="13858"/>
      <c r="BX220" s="13859"/>
      <c r="BY220" s="13860"/>
      <c r="BZ220" s="13861"/>
      <c r="CA220" s="13862"/>
      <c r="CB220" s="13863"/>
      <c r="CC220" s="13864"/>
      <c r="CD220" s="13865"/>
      <c r="CE220" s="13866"/>
      <c r="CF220" s="13867"/>
      <c r="CG220" s="13868"/>
      <c r="CH220" s="13869"/>
      <c r="CI220" s="13870"/>
      <c r="CJ220" s="13871"/>
      <c r="CK220" s="13872"/>
      <c r="CL220" s="13873"/>
      <c r="CM220" s="13874"/>
      <c r="CN220" s="13875"/>
      <c r="CO220" s="13876"/>
      <c r="CP220" s="13877"/>
      <c r="CQ220" s="13878"/>
      <c r="CR220" s="13879"/>
      <c r="CS220" s="13880"/>
      <c r="CT220" s="13881"/>
      <c r="CU220" s="13882"/>
      <c r="CV220" s="13883"/>
      <c r="CW220" s="13884"/>
      <c r="CX220" s="13885"/>
      <c r="CY220" s="13886"/>
      <c r="CZ220" s="13887"/>
      <c r="DA220" s="13888"/>
      <c r="DB220" s="13889"/>
      <c r="DC220" s="13890"/>
      <c r="DD220" s="13891"/>
      <c r="DE220" s="13892"/>
      <c r="DF220" s="13893"/>
      <c r="DG220" s="13894"/>
      <c r="DH220" s="13895"/>
      <c r="DI220" s="13896"/>
      <c r="DJ220" s="13897"/>
      <c r="DK220" s="13898"/>
      <c r="DL220" s="13899"/>
      <c r="DM220" s="13900"/>
      <c r="DN220" s="13901"/>
      <c r="DO220" s="13902"/>
      <c r="DP220" s="13903"/>
      <c r="DQ220" s="13904"/>
      <c r="DR220" s="13905"/>
      <c r="DS220" s="13906"/>
      <c r="DT220" s="13907"/>
      <c r="DU220" s="13908"/>
      <c r="DV220" s="13909"/>
      <c r="DW220" s="13910"/>
      <c r="DX220" s="13911"/>
      <c r="DY220" s="13912"/>
      <c r="DZ220" s="13913"/>
      <c r="EA220" s="13914"/>
      <c r="EB220" s="13915"/>
      <c r="EC220" s="13916"/>
      <c r="ED220" s="13917"/>
      <c r="EE220" s="13918"/>
      <c r="EF220" s="13919"/>
      <c r="EG220" s="13920"/>
      <c r="EH220" s="13921"/>
      <c r="EI220" s="13922"/>
      <c r="EJ220" s="13923"/>
      <c r="EK220" s="13924"/>
      <c r="EL220" s="13925"/>
      <c r="EM220" s="21584"/>
      <c r="EN220" s="21585"/>
      <c r="EO220" s="13926"/>
      <c r="EP220" s="13927"/>
      <c r="EQ220" s="21586"/>
      <c r="ER220" s="13928"/>
      <c r="ES220" s="13929"/>
      <c r="ET220" s="13930"/>
      <c r="EU220" s="13931"/>
      <c r="EV220" s="13932"/>
      <c r="EW220" s="13933"/>
      <c r="EX220" s="3661"/>
      <c r="EY220" s="3662"/>
      <c r="EZ220" s="13934"/>
      <c r="FA220" s="13935"/>
      <c r="FB220" s="3663"/>
      <c r="FC220" s="13936"/>
      <c r="FD220" s="13937"/>
      <c r="FE220" s="13938"/>
      <c r="FF220" s="13939"/>
      <c r="FG220" s="13940"/>
      <c r="FH220" s="5712"/>
      <c r="FI220" s="22746"/>
      <c r="FJ220" s="22747"/>
      <c r="FK220" s="23522"/>
      <c r="FL220" s="23523"/>
      <c r="FM220" s="22748"/>
      <c r="FN220" s="23524"/>
      <c r="FO220" s="23525"/>
      <c r="FP220" s="22749"/>
      <c r="FQ220" s="22750"/>
      <c r="FR220" s="22751"/>
      <c r="FS220" s="23526"/>
      <c r="FT220" s="3664"/>
      <c r="FU220" s="3665"/>
      <c r="FV220" s="1568"/>
      <c r="FW220" s="1550"/>
      <c r="FX220" s="1550" t="str">
        <f t="shared" si="3"/>
        <v>Добавить группу потребителей</v>
      </c>
      <c r="FY220" s="1550"/>
      <c r="FZ220" s="1550"/>
      <c r="GA220" s="1561">
        <v>0</v>
      </c>
    </row>
    <row r="221" spans="1:183" s="1747" customFormat="1" ht="21" customHeight="1">
      <c r="A221" s="1289"/>
      <c r="B221" s="1289"/>
      <c r="C221" s="1289"/>
      <c r="D221" s="1289"/>
      <c r="E221" s="24089"/>
      <c r="F221" s="24089"/>
      <c r="G221" s="24089" t="s">
        <v>95</v>
      </c>
      <c r="H221" s="24088"/>
      <c r="I221" s="1289"/>
      <c r="J221" s="1289"/>
      <c r="K221" s="1289"/>
      <c r="L221" s="1295"/>
      <c r="M221" s="1291"/>
      <c r="N221" s="1291"/>
      <c r="O221" s="1292"/>
      <c r="P221" s="1720"/>
      <c r="Q221" s="311"/>
      <c r="R221" s="291"/>
      <c r="S221" s="3666"/>
      <c r="T221" s="3667" t="s">
        <v>714</v>
      </c>
      <c r="U221" s="3668"/>
      <c r="V221" s="3669"/>
      <c r="W221" s="3670"/>
      <c r="X221" s="3671"/>
      <c r="Y221" s="3672"/>
      <c r="Z221" s="3673"/>
      <c r="AA221" s="3674"/>
      <c r="AB221" s="3675"/>
      <c r="AC221" s="3676"/>
      <c r="AD221" s="3677"/>
      <c r="AE221" s="3678"/>
      <c r="AF221" s="3679"/>
      <c r="AG221" s="3680"/>
      <c r="AH221" s="3681"/>
      <c r="AI221" s="3682"/>
      <c r="AJ221" s="3683"/>
      <c r="AK221" s="3684"/>
      <c r="AL221" s="3685"/>
      <c r="AM221" s="3686"/>
      <c r="AN221" s="3687"/>
      <c r="AO221" s="3688"/>
      <c r="AP221" s="3689"/>
      <c r="AQ221" s="3690"/>
      <c r="AR221" s="7217"/>
      <c r="AS221" s="7218"/>
      <c r="AT221" s="7219"/>
      <c r="AU221" s="7220"/>
      <c r="AV221" s="7221"/>
      <c r="AW221" s="7222"/>
      <c r="AX221" s="7223"/>
      <c r="AY221" s="7224"/>
      <c r="AZ221" s="7225"/>
      <c r="BA221" s="7226"/>
      <c r="BB221" s="7227"/>
      <c r="BC221" s="7228"/>
      <c r="BD221" s="7229"/>
      <c r="BE221" s="13941"/>
      <c r="BF221" s="13942"/>
      <c r="BG221" s="21877"/>
      <c r="BH221" s="13943"/>
      <c r="BI221" s="13944"/>
      <c r="BJ221" s="13945"/>
      <c r="BK221" s="13946"/>
      <c r="BL221" s="13947"/>
      <c r="BM221" s="13948"/>
      <c r="BN221" s="3691"/>
      <c r="BO221" s="3692"/>
      <c r="BP221" s="13949"/>
      <c r="BQ221" s="13950"/>
      <c r="BR221" s="3693"/>
      <c r="BS221" s="13951"/>
      <c r="BT221" s="13952"/>
      <c r="BU221" s="13953"/>
      <c r="BV221" s="13954"/>
      <c r="BW221" s="13955"/>
      <c r="BX221" s="13956"/>
      <c r="BY221" s="13957"/>
      <c r="BZ221" s="13958"/>
      <c r="CA221" s="13959"/>
      <c r="CB221" s="13960"/>
      <c r="CC221" s="13961"/>
      <c r="CD221" s="13962"/>
      <c r="CE221" s="13963"/>
      <c r="CF221" s="13964"/>
      <c r="CG221" s="13965"/>
      <c r="CH221" s="13966"/>
      <c r="CI221" s="13967"/>
      <c r="CJ221" s="13968"/>
      <c r="CK221" s="13969"/>
      <c r="CL221" s="13970"/>
      <c r="CM221" s="13971"/>
      <c r="CN221" s="13972"/>
      <c r="CO221" s="13973"/>
      <c r="CP221" s="13974"/>
      <c r="CQ221" s="13975"/>
      <c r="CR221" s="13976"/>
      <c r="CS221" s="13977"/>
      <c r="CT221" s="13978"/>
      <c r="CU221" s="13979"/>
      <c r="CV221" s="13980"/>
      <c r="CW221" s="13981"/>
      <c r="CX221" s="13982"/>
      <c r="CY221" s="13983"/>
      <c r="CZ221" s="13984"/>
      <c r="DA221" s="13985"/>
      <c r="DB221" s="13986"/>
      <c r="DC221" s="13987"/>
      <c r="DD221" s="13988"/>
      <c r="DE221" s="13989"/>
      <c r="DF221" s="13990"/>
      <c r="DG221" s="13991"/>
      <c r="DH221" s="13992"/>
      <c r="DI221" s="13993"/>
      <c r="DJ221" s="13994"/>
      <c r="DK221" s="13995"/>
      <c r="DL221" s="13996"/>
      <c r="DM221" s="13997"/>
      <c r="DN221" s="13998"/>
      <c r="DO221" s="13999"/>
      <c r="DP221" s="14000"/>
      <c r="DQ221" s="14001"/>
      <c r="DR221" s="14002"/>
      <c r="DS221" s="14003"/>
      <c r="DT221" s="14004"/>
      <c r="DU221" s="14005"/>
      <c r="DV221" s="14006"/>
      <c r="DW221" s="14007"/>
      <c r="DX221" s="14008"/>
      <c r="DY221" s="14009"/>
      <c r="DZ221" s="14010"/>
      <c r="EA221" s="14011"/>
      <c r="EB221" s="14012"/>
      <c r="EC221" s="14013"/>
      <c r="ED221" s="14014"/>
      <c r="EE221" s="14015"/>
      <c r="EF221" s="14016"/>
      <c r="EG221" s="14017"/>
      <c r="EH221" s="14018"/>
      <c r="EI221" s="14019"/>
      <c r="EJ221" s="14020"/>
      <c r="EK221" s="14021"/>
      <c r="EL221" s="14022"/>
      <c r="EM221" s="21587"/>
      <c r="EN221" s="21588"/>
      <c r="EO221" s="14023"/>
      <c r="EP221" s="14024"/>
      <c r="EQ221" s="21589"/>
      <c r="ER221" s="14025"/>
      <c r="ES221" s="14026"/>
      <c r="ET221" s="14027"/>
      <c r="EU221" s="14028"/>
      <c r="EV221" s="14029"/>
      <c r="EW221" s="14030"/>
      <c r="EX221" s="3694"/>
      <c r="EY221" s="3695"/>
      <c r="EZ221" s="14031"/>
      <c r="FA221" s="14032"/>
      <c r="FB221" s="3696"/>
      <c r="FC221" s="14033"/>
      <c r="FD221" s="14034"/>
      <c r="FE221" s="14035"/>
      <c r="FF221" s="14036"/>
      <c r="FG221" s="14037"/>
      <c r="FH221" s="5713"/>
      <c r="FI221" s="22752"/>
      <c r="FJ221" s="22753"/>
      <c r="FK221" s="23527"/>
      <c r="FL221" s="23528"/>
      <c r="FM221" s="22754"/>
      <c r="FN221" s="23529"/>
      <c r="FO221" s="23530"/>
      <c r="FP221" s="22755"/>
      <c r="FQ221" s="22756"/>
      <c r="FR221" s="22757"/>
      <c r="FS221" s="23531"/>
      <c r="FT221" s="3697"/>
      <c r="FU221" s="3698"/>
      <c r="FV221" s="1568"/>
      <c r="FW221" s="1550"/>
      <c r="FX221" s="1550" t="str">
        <f t="shared" si="3"/>
        <v>Добавить наименование признака дифференциации</v>
      </c>
      <c r="FY221" s="1550"/>
      <c r="FZ221" s="1550"/>
      <c r="GA221" s="1561">
        <v>0</v>
      </c>
    </row>
    <row r="222" spans="1:183" s="558" customFormat="1" ht="14.25" customHeight="1">
      <c r="A222" s="1269"/>
      <c r="B222" s="1269"/>
      <c r="C222" s="1269"/>
      <c r="D222" s="1269"/>
      <c r="E222" s="24089"/>
      <c r="F222" s="24088" t="s">
        <v>109</v>
      </c>
      <c r="G222" s="1269"/>
      <c r="H222" s="1269"/>
      <c r="I222" s="1269"/>
      <c r="J222" s="1269"/>
      <c r="K222" s="1269"/>
      <c r="L222" s="1471"/>
      <c r="M222" s="1247"/>
      <c r="N222" s="1247"/>
      <c r="O222" s="1568"/>
      <c r="P222" s="1242"/>
      <c r="Q222" s="1270"/>
      <c r="R222" s="1242"/>
      <c r="S222" s="1248"/>
      <c r="T222" s="1251" t="s">
        <v>370</v>
      </c>
      <c r="U222" s="1250"/>
      <c r="V222" s="1250"/>
      <c r="W222" s="1250"/>
      <c r="X222" s="1250"/>
      <c r="Y222" s="1250"/>
      <c r="Z222" s="1250"/>
      <c r="AA222" s="1250"/>
      <c r="AB222" s="1250"/>
      <c r="AC222" s="1250"/>
      <c r="AD222" s="1250"/>
      <c r="AE222" s="1250"/>
      <c r="AF222" s="1250"/>
      <c r="AG222" s="1250"/>
      <c r="AH222" s="1250"/>
      <c r="AI222" s="1250"/>
      <c r="AJ222" s="1250"/>
      <c r="AK222" s="1250"/>
      <c r="AL222" s="1250"/>
      <c r="AM222" s="1250"/>
      <c r="AN222" s="1250"/>
      <c r="AO222" s="1250"/>
      <c r="AP222" s="1250"/>
      <c r="AQ222" s="1250"/>
      <c r="AR222" s="1250"/>
      <c r="AS222" s="1250"/>
      <c r="AT222" s="1250"/>
      <c r="AU222" s="1250"/>
      <c r="AV222" s="1250"/>
      <c r="AW222" s="1250"/>
      <c r="AX222" s="1250"/>
      <c r="AY222" s="1250"/>
      <c r="AZ222" s="1250"/>
      <c r="BA222" s="1250"/>
      <c r="BB222" s="1250"/>
      <c r="BC222" s="1250"/>
      <c r="BD222" s="1250"/>
      <c r="BE222" s="1250"/>
      <c r="BF222" s="1250"/>
      <c r="BG222" s="1250"/>
      <c r="BH222" s="1250"/>
      <c r="BI222" s="1250"/>
      <c r="BJ222" s="1250"/>
      <c r="BK222" s="1250"/>
      <c r="BL222" s="1250"/>
      <c r="BM222" s="1250"/>
      <c r="BN222" s="1250"/>
      <c r="BO222" s="1250"/>
      <c r="BP222" s="1250"/>
      <c r="BQ222" s="1250"/>
      <c r="BR222" s="1250"/>
      <c r="BS222" s="1250"/>
      <c r="BT222" s="1250"/>
      <c r="BU222" s="1250"/>
      <c r="BV222" s="1250"/>
      <c r="BW222" s="1250"/>
      <c r="BX222" s="1250"/>
      <c r="BY222" s="1250"/>
      <c r="BZ222" s="1250"/>
      <c r="CA222" s="1250"/>
      <c r="CB222" s="1250"/>
      <c r="CC222" s="1250"/>
      <c r="CD222" s="1250"/>
      <c r="CE222" s="1250"/>
      <c r="CF222" s="1250"/>
      <c r="CG222" s="1250"/>
      <c r="CH222" s="1250"/>
      <c r="CI222" s="1250"/>
      <c r="CJ222" s="1250"/>
      <c r="CK222" s="1250"/>
      <c r="CL222" s="1250"/>
      <c r="CM222" s="1250"/>
      <c r="CN222" s="1250"/>
      <c r="CO222" s="1250"/>
      <c r="CP222" s="1250"/>
      <c r="CQ222" s="1250"/>
      <c r="CR222" s="1250"/>
      <c r="CS222" s="1250"/>
      <c r="CT222" s="1250"/>
      <c r="CU222" s="1250"/>
      <c r="CV222" s="1250"/>
      <c r="CW222" s="1250"/>
      <c r="CX222" s="1250"/>
      <c r="CY222" s="1250"/>
      <c r="CZ222" s="1250"/>
      <c r="DA222" s="1250"/>
      <c r="DB222" s="1250"/>
      <c r="DC222" s="1250"/>
      <c r="DD222" s="1250"/>
      <c r="DE222" s="1250"/>
      <c r="DF222" s="1250"/>
      <c r="DG222" s="1250"/>
      <c r="DH222" s="1250"/>
      <c r="DI222" s="1250"/>
      <c r="DJ222" s="1250"/>
      <c r="DK222" s="1250"/>
      <c r="DL222" s="1250"/>
      <c r="DM222" s="1250"/>
      <c r="DN222" s="1250"/>
      <c r="DO222" s="1250"/>
      <c r="DP222" s="1250"/>
      <c r="DQ222" s="1250"/>
      <c r="DR222" s="1250"/>
      <c r="DS222" s="1250"/>
      <c r="DT222" s="1250"/>
      <c r="DU222" s="1250"/>
      <c r="DV222" s="1250"/>
      <c r="DW222" s="1250"/>
      <c r="DX222" s="1250"/>
      <c r="DY222" s="1250"/>
      <c r="DZ222" s="1250"/>
      <c r="EA222" s="1250"/>
      <c r="EB222" s="1250"/>
      <c r="EC222" s="1250"/>
      <c r="ED222" s="1250"/>
      <c r="EE222" s="1250"/>
      <c r="EF222" s="1250"/>
      <c r="EG222" s="1250"/>
      <c r="EH222" s="1250"/>
      <c r="EI222" s="1250"/>
      <c r="EJ222" s="1250"/>
      <c r="EK222" s="1250"/>
      <c r="EL222" s="1250"/>
      <c r="EM222" s="1250"/>
      <c r="EN222" s="1250"/>
      <c r="EO222" s="1250"/>
      <c r="EP222" s="1250"/>
      <c r="EQ222" s="1250"/>
      <c r="ER222" s="1250"/>
      <c r="ES222" s="1250"/>
      <c r="ET222" s="1250"/>
      <c r="EU222" s="1250"/>
      <c r="EV222" s="1250"/>
      <c r="EW222" s="1250"/>
      <c r="EX222" s="1250"/>
      <c r="EY222" s="1250"/>
      <c r="EZ222" s="1250"/>
      <c r="FA222" s="1250"/>
      <c r="FB222" s="1250"/>
      <c r="FC222" s="1250"/>
      <c r="FD222" s="1250"/>
      <c r="FE222" s="1250"/>
      <c r="FF222" s="1250"/>
      <c r="FG222" s="1250"/>
      <c r="FH222" s="1250"/>
      <c r="FI222" s="1250"/>
      <c r="FJ222" s="1250"/>
      <c r="FK222" s="1250"/>
      <c r="FL222" s="1250"/>
      <c r="FM222" s="1250"/>
      <c r="FN222" s="1250"/>
      <c r="FO222" s="1250"/>
      <c r="FP222" s="1250"/>
      <c r="FQ222" s="1250"/>
      <c r="FR222" s="1250"/>
      <c r="FS222" s="1250"/>
      <c r="FT222" s="1250"/>
      <c r="FU222" s="1250"/>
      <c r="FV222" s="1568"/>
      <c r="FW222" s="1550"/>
      <c r="FX222" s="1550" t="str">
        <f t="shared" si="3"/>
        <v>Добавить централизованную систему для дифференциации</v>
      </c>
      <c r="FY222" s="1550"/>
      <c r="FZ222" s="1550"/>
      <c r="GA222" s="1568">
        <v>0</v>
      </c>
    </row>
    <row r="223" spans="1:183" s="1747" customFormat="1" ht="23.25" customHeight="1">
      <c r="A223" s="1289"/>
      <c r="B223" s="1289" t="s">
        <v>404</v>
      </c>
      <c r="C223" s="1289"/>
      <c r="D223" s="1289"/>
      <c r="E223" s="24089"/>
      <c r="F223" s="24088" t="s">
        <v>84</v>
      </c>
      <c r="G223" s="1289"/>
      <c r="H223" s="1289"/>
      <c r="I223" s="1289"/>
      <c r="J223" s="1289"/>
      <c r="K223" s="1289"/>
      <c r="L223" s="1295"/>
      <c r="M223" s="1291"/>
      <c r="N223" s="1291"/>
      <c r="O223" s="1291"/>
      <c r="P223" s="1971"/>
      <c r="Q223" s="288"/>
      <c r="R223" s="289"/>
      <c r="S223" s="1976" t="str">
        <f>INDEX(PT_DIFFERENTIATION_NUM_TER,MATCH(B223,PT_DIFFERENTIATION_TER_ID,0))</f>
        <v>1.7</v>
      </c>
      <c r="T223" s="1448" t="s">
        <v>626</v>
      </c>
      <c r="U223" s="236"/>
      <c r="V223" s="24082"/>
      <c r="W223" s="24083"/>
      <c r="X223" s="24083"/>
      <c r="Y223" s="24083"/>
      <c r="Z223" s="24083"/>
      <c r="AA223" s="24083"/>
      <c r="AB223" s="24083"/>
      <c r="AC223" s="24083"/>
      <c r="AD223" s="24083"/>
      <c r="AE223" s="24083"/>
      <c r="AF223" s="24084"/>
      <c r="AG223" s="24082" t="str">
        <f>INDEX(PT_DIFFERENTIATION_TER,MATCH(B223,PT_DIFFERENTIATION_TER_ID,0))</f>
        <v>Территория 7</v>
      </c>
      <c r="AH223" s="24083"/>
      <c r="AI223" s="24083"/>
      <c r="AJ223" s="24083"/>
      <c r="AK223" s="24083"/>
      <c r="AL223" s="24083"/>
      <c r="AM223" s="24083"/>
      <c r="AN223" s="24083"/>
      <c r="AO223" s="24083"/>
      <c r="AP223" s="24083"/>
      <c r="AQ223" s="24083"/>
      <c r="AR223" s="24173"/>
      <c r="AS223" s="24174"/>
      <c r="AT223" s="24174"/>
      <c r="AU223" s="24174"/>
      <c r="AV223" s="24174"/>
      <c r="AW223" s="24174"/>
      <c r="AX223" s="24174"/>
      <c r="AY223" s="24174"/>
      <c r="AZ223" s="24174"/>
      <c r="BA223" s="24174"/>
      <c r="BB223" s="24175"/>
      <c r="BC223" s="24173"/>
      <c r="BD223" s="24174"/>
      <c r="BE223" s="24174"/>
      <c r="BF223" s="24174"/>
      <c r="BG223" s="24174"/>
      <c r="BH223" s="24174"/>
      <c r="BI223" s="24174"/>
      <c r="BJ223" s="24174"/>
      <c r="BK223" s="24174"/>
      <c r="BL223" s="24174"/>
      <c r="BM223" s="24175"/>
      <c r="BN223" s="24082"/>
      <c r="BO223" s="24083"/>
      <c r="BP223" s="24174"/>
      <c r="BQ223" s="24174"/>
      <c r="BR223" s="24083"/>
      <c r="BS223" s="24174"/>
      <c r="BT223" s="24174"/>
      <c r="BU223" s="24174"/>
      <c r="BV223" s="24174"/>
      <c r="BW223" s="24174"/>
      <c r="BX223" s="24175"/>
      <c r="BY223" s="24173"/>
      <c r="BZ223" s="24174"/>
      <c r="CA223" s="24174"/>
      <c r="CB223" s="24174"/>
      <c r="CC223" s="24174"/>
      <c r="CD223" s="24174"/>
      <c r="CE223" s="24174"/>
      <c r="CF223" s="24174"/>
      <c r="CG223" s="24174"/>
      <c r="CH223" s="24174"/>
      <c r="CI223" s="24175"/>
      <c r="CJ223" s="24173"/>
      <c r="CK223" s="24174"/>
      <c r="CL223" s="24174"/>
      <c r="CM223" s="24174"/>
      <c r="CN223" s="24174"/>
      <c r="CO223" s="24174"/>
      <c r="CP223" s="24174"/>
      <c r="CQ223" s="24174"/>
      <c r="CR223" s="24174"/>
      <c r="CS223" s="24174"/>
      <c r="CT223" s="24175"/>
      <c r="CU223" s="24173"/>
      <c r="CV223" s="24174"/>
      <c r="CW223" s="24174"/>
      <c r="CX223" s="24174"/>
      <c r="CY223" s="24174"/>
      <c r="CZ223" s="24174"/>
      <c r="DA223" s="24174"/>
      <c r="DB223" s="24174"/>
      <c r="DC223" s="24174"/>
      <c r="DD223" s="24174"/>
      <c r="DE223" s="24175"/>
      <c r="DF223" s="24173"/>
      <c r="DG223" s="24174"/>
      <c r="DH223" s="24174"/>
      <c r="DI223" s="24174"/>
      <c r="DJ223" s="24174"/>
      <c r="DK223" s="24174"/>
      <c r="DL223" s="24174"/>
      <c r="DM223" s="24174"/>
      <c r="DN223" s="24174"/>
      <c r="DO223" s="24174"/>
      <c r="DP223" s="24175"/>
      <c r="DQ223" s="24173"/>
      <c r="DR223" s="24174"/>
      <c r="DS223" s="24174"/>
      <c r="DT223" s="24174"/>
      <c r="DU223" s="24174"/>
      <c r="DV223" s="24174"/>
      <c r="DW223" s="24174"/>
      <c r="DX223" s="24174"/>
      <c r="DY223" s="24174"/>
      <c r="DZ223" s="24174"/>
      <c r="EA223" s="24175"/>
      <c r="EB223" s="24173"/>
      <c r="EC223" s="24174"/>
      <c r="ED223" s="24174"/>
      <c r="EE223" s="24174"/>
      <c r="EF223" s="24174"/>
      <c r="EG223" s="24174"/>
      <c r="EH223" s="24174"/>
      <c r="EI223" s="24174"/>
      <c r="EJ223" s="24174"/>
      <c r="EK223" s="24174"/>
      <c r="EL223" s="24175"/>
      <c r="EM223" s="24173"/>
      <c r="EN223" s="24174"/>
      <c r="EO223" s="24174"/>
      <c r="EP223" s="24174"/>
      <c r="EQ223" s="24174"/>
      <c r="ER223" s="24174"/>
      <c r="ES223" s="24174"/>
      <c r="ET223" s="24174"/>
      <c r="EU223" s="24174"/>
      <c r="EV223" s="24174"/>
      <c r="EW223" s="24175"/>
      <c r="EX223" s="24082"/>
      <c r="EY223" s="24083"/>
      <c r="EZ223" s="24174"/>
      <c r="FA223" s="24174"/>
      <c r="FB223" s="24083"/>
      <c r="FC223" s="24174"/>
      <c r="FD223" s="24174"/>
      <c r="FE223" s="24174"/>
      <c r="FF223" s="24174"/>
      <c r="FG223" s="24174"/>
      <c r="FH223" s="24175"/>
      <c r="FI223" s="24082"/>
      <c r="FJ223" s="24083"/>
      <c r="FK223" s="24174"/>
      <c r="FL223" s="24174"/>
      <c r="FM223" s="24083"/>
      <c r="FN223" s="24174"/>
      <c r="FO223" s="24174"/>
      <c r="FP223" s="24083"/>
      <c r="FQ223" s="24083"/>
      <c r="FR223" s="24083"/>
      <c r="FS223" s="24175"/>
      <c r="FT223" s="24084"/>
      <c r="FU223" s="1184" t="s">
        <v>627</v>
      </c>
      <c r="FV223" s="1568"/>
      <c r="FW223" s="1550"/>
      <c r="FX223" s="1550" t="str">
        <f t="shared" si="3"/>
        <v>Территория действия тарифа</v>
      </c>
      <c r="FY223" s="1550"/>
      <c r="FZ223" s="1550"/>
      <c r="GA223" s="1561">
        <v>0</v>
      </c>
    </row>
    <row r="224" spans="1:183" s="1747" customFormat="1" ht="23.25" customHeight="1">
      <c r="A224" s="1289"/>
      <c r="B224" s="1289"/>
      <c r="C224" s="1289" t="s">
        <v>405</v>
      </c>
      <c r="D224" s="1289"/>
      <c r="E224" s="24089"/>
      <c r="F224" s="24089" t="s">
        <v>83</v>
      </c>
      <c r="G224" s="24088">
        <v>1</v>
      </c>
      <c r="H224" s="1289"/>
      <c r="I224" s="1289"/>
      <c r="J224" s="1289"/>
      <c r="K224" s="1289"/>
      <c r="L224" s="1295"/>
      <c r="M224" s="1291"/>
      <c r="N224" s="1291"/>
      <c r="O224" s="1291"/>
      <c r="P224" s="290"/>
      <c r="Q224" s="288"/>
      <c r="R224" s="289"/>
      <c r="S224" s="1976" t="str">
        <f>INDEX(PT_DIFFERENTIATION_NUM_CS,MATCH(C224,PT_DIFFERENTIATION_CS_ID,0))</f>
        <v>1.7.1</v>
      </c>
      <c r="T224" s="245" t="s">
        <v>756</v>
      </c>
      <c r="U224" s="236"/>
      <c r="V224" s="24082"/>
      <c r="W224" s="24083"/>
      <c r="X224" s="24083"/>
      <c r="Y224" s="24083"/>
      <c r="Z224" s="24083"/>
      <c r="AA224" s="24083"/>
      <c r="AB224" s="24083"/>
      <c r="AC224" s="24083"/>
      <c r="AD224" s="24083"/>
      <c r="AE224" s="24083"/>
      <c r="AF224" s="24084"/>
      <c r="AG224" s="24082" t="str">
        <f>INDEX(PT_DIFFERENTIATION_CS,MATCH(C224,PT_DIFFERENTIATION_CS_ID,0))</f>
        <v>с. Остер Рославльского муниципального округа Смоленской области</v>
      </c>
      <c r="AH224" s="24083"/>
      <c r="AI224" s="24083"/>
      <c r="AJ224" s="24083"/>
      <c r="AK224" s="24083"/>
      <c r="AL224" s="24083"/>
      <c r="AM224" s="24083"/>
      <c r="AN224" s="24083"/>
      <c r="AO224" s="24083"/>
      <c r="AP224" s="24083"/>
      <c r="AQ224" s="24083"/>
      <c r="AR224" s="24173"/>
      <c r="AS224" s="24174"/>
      <c r="AT224" s="24174"/>
      <c r="AU224" s="24174"/>
      <c r="AV224" s="24174"/>
      <c r="AW224" s="24174"/>
      <c r="AX224" s="24174"/>
      <c r="AY224" s="24174"/>
      <c r="AZ224" s="24174"/>
      <c r="BA224" s="24174"/>
      <c r="BB224" s="24175"/>
      <c r="BC224" s="24173"/>
      <c r="BD224" s="24174"/>
      <c r="BE224" s="24174"/>
      <c r="BF224" s="24174"/>
      <c r="BG224" s="24174"/>
      <c r="BH224" s="24174"/>
      <c r="BI224" s="24174"/>
      <c r="BJ224" s="24174"/>
      <c r="BK224" s="24174"/>
      <c r="BL224" s="24174"/>
      <c r="BM224" s="24175"/>
      <c r="BN224" s="24082"/>
      <c r="BO224" s="24083"/>
      <c r="BP224" s="24174"/>
      <c r="BQ224" s="24174"/>
      <c r="BR224" s="24083"/>
      <c r="BS224" s="24174"/>
      <c r="BT224" s="24174"/>
      <c r="BU224" s="24174"/>
      <c r="BV224" s="24174"/>
      <c r="BW224" s="24174"/>
      <c r="BX224" s="24175"/>
      <c r="BY224" s="24173"/>
      <c r="BZ224" s="24174"/>
      <c r="CA224" s="24174"/>
      <c r="CB224" s="24174"/>
      <c r="CC224" s="24174"/>
      <c r="CD224" s="24174"/>
      <c r="CE224" s="24174"/>
      <c r="CF224" s="24174"/>
      <c r="CG224" s="24174"/>
      <c r="CH224" s="24174"/>
      <c r="CI224" s="24175"/>
      <c r="CJ224" s="24173"/>
      <c r="CK224" s="24174"/>
      <c r="CL224" s="24174"/>
      <c r="CM224" s="24174"/>
      <c r="CN224" s="24174"/>
      <c r="CO224" s="24174"/>
      <c r="CP224" s="24174"/>
      <c r="CQ224" s="24174"/>
      <c r="CR224" s="24174"/>
      <c r="CS224" s="24174"/>
      <c r="CT224" s="24175"/>
      <c r="CU224" s="24173"/>
      <c r="CV224" s="24174"/>
      <c r="CW224" s="24174"/>
      <c r="CX224" s="24174"/>
      <c r="CY224" s="24174"/>
      <c r="CZ224" s="24174"/>
      <c r="DA224" s="24174"/>
      <c r="DB224" s="24174"/>
      <c r="DC224" s="24174"/>
      <c r="DD224" s="24174"/>
      <c r="DE224" s="24175"/>
      <c r="DF224" s="24173"/>
      <c r="DG224" s="24174"/>
      <c r="DH224" s="24174"/>
      <c r="DI224" s="24174"/>
      <c r="DJ224" s="24174"/>
      <c r="DK224" s="24174"/>
      <c r="DL224" s="24174"/>
      <c r="DM224" s="24174"/>
      <c r="DN224" s="24174"/>
      <c r="DO224" s="24174"/>
      <c r="DP224" s="24175"/>
      <c r="DQ224" s="24173"/>
      <c r="DR224" s="24174"/>
      <c r="DS224" s="24174"/>
      <c r="DT224" s="24174"/>
      <c r="DU224" s="24174"/>
      <c r="DV224" s="24174"/>
      <c r="DW224" s="24174"/>
      <c r="DX224" s="24174"/>
      <c r="DY224" s="24174"/>
      <c r="DZ224" s="24174"/>
      <c r="EA224" s="24175"/>
      <c r="EB224" s="24173"/>
      <c r="EC224" s="24174"/>
      <c r="ED224" s="24174"/>
      <c r="EE224" s="24174"/>
      <c r="EF224" s="24174"/>
      <c r="EG224" s="24174"/>
      <c r="EH224" s="24174"/>
      <c r="EI224" s="24174"/>
      <c r="EJ224" s="24174"/>
      <c r="EK224" s="24174"/>
      <c r="EL224" s="24175"/>
      <c r="EM224" s="24173"/>
      <c r="EN224" s="24174"/>
      <c r="EO224" s="24174"/>
      <c r="EP224" s="24174"/>
      <c r="EQ224" s="24174"/>
      <c r="ER224" s="24174"/>
      <c r="ES224" s="24174"/>
      <c r="ET224" s="24174"/>
      <c r="EU224" s="24174"/>
      <c r="EV224" s="24174"/>
      <c r="EW224" s="24175"/>
      <c r="EX224" s="24082"/>
      <c r="EY224" s="24083"/>
      <c r="EZ224" s="24174"/>
      <c r="FA224" s="24174"/>
      <c r="FB224" s="24083"/>
      <c r="FC224" s="24174"/>
      <c r="FD224" s="24174"/>
      <c r="FE224" s="24174"/>
      <c r="FF224" s="24174"/>
      <c r="FG224" s="24174"/>
      <c r="FH224" s="24175"/>
      <c r="FI224" s="24082"/>
      <c r="FJ224" s="24083"/>
      <c r="FK224" s="24174"/>
      <c r="FL224" s="24174"/>
      <c r="FM224" s="24083"/>
      <c r="FN224" s="24174"/>
      <c r="FO224" s="24174"/>
      <c r="FP224" s="24083"/>
      <c r="FQ224" s="24083"/>
      <c r="FR224" s="24083"/>
      <c r="FS224" s="24175"/>
      <c r="FT224" s="24084"/>
      <c r="FU224" s="1184" t="s">
        <v>757</v>
      </c>
      <c r="FV224" s="1568"/>
      <c r="FW224" s="1550"/>
      <c r="FX224" s="1550" t="str">
        <f t="shared" si="3"/>
        <v>Наименование централизованной системы горячего водоснабжения</v>
      </c>
      <c r="FY224" s="1550"/>
      <c r="FZ224" s="1550"/>
      <c r="GA224" s="1561">
        <v>0</v>
      </c>
    </row>
    <row r="225" spans="1:183" s="1747" customFormat="1" ht="23.25" customHeight="1">
      <c r="A225" s="1289"/>
      <c r="B225" s="1289"/>
      <c r="C225" s="1289"/>
      <c r="D225" s="1289"/>
      <c r="E225" s="24089"/>
      <c r="F225" s="24089" t="s">
        <v>83</v>
      </c>
      <c r="G225" s="24089"/>
      <c r="H225" s="24089"/>
      <c r="I225" s="24090" t="str">
        <f>S224&amp;".1"</f>
        <v>1.7.1.1</v>
      </c>
      <c r="J225" s="1289"/>
      <c r="K225" s="1289"/>
      <c r="L225" s="1295"/>
      <c r="M225" s="1674"/>
      <c r="N225" s="1674"/>
      <c r="O225" s="1674"/>
      <c r="P225" s="24092">
        <v>1</v>
      </c>
      <c r="Q225" s="1978"/>
      <c r="R225" s="292"/>
      <c r="S225" s="1976" t="str">
        <f>$I225</f>
        <v>1.7.1.1</v>
      </c>
      <c r="T225" s="221" t="s">
        <v>709</v>
      </c>
      <c r="U225" s="236"/>
      <c r="V225" s="24156"/>
      <c r="W225" s="24157"/>
      <c r="X225" s="24157"/>
      <c r="Y225" s="24157"/>
      <c r="Z225" s="24157"/>
      <c r="AA225" s="24157"/>
      <c r="AB225" s="24157"/>
      <c r="AC225" s="24157"/>
      <c r="AD225" s="24157"/>
      <c r="AE225" s="24157"/>
      <c r="AF225" s="24158"/>
      <c r="AG225" s="24159"/>
      <c r="AH225" s="24160"/>
      <c r="AI225" s="24160"/>
      <c r="AJ225" s="24160"/>
      <c r="AK225" s="24160"/>
      <c r="AL225" s="24160"/>
      <c r="AM225" s="24160"/>
      <c r="AN225" s="24160"/>
      <c r="AO225" s="24160"/>
      <c r="AP225" s="24160"/>
      <c r="AQ225" s="24160"/>
      <c r="AR225" s="24176"/>
      <c r="AS225" s="24177"/>
      <c r="AT225" s="24177"/>
      <c r="AU225" s="24177"/>
      <c r="AV225" s="24177"/>
      <c r="AW225" s="24177"/>
      <c r="AX225" s="24177"/>
      <c r="AY225" s="24177"/>
      <c r="AZ225" s="24177"/>
      <c r="BA225" s="24177"/>
      <c r="BB225" s="24178"/>
      <c r="BC225" s="24176"/>
      <c r="BD225" s="24177"/>
      <c r="BE225" s="24177"/>
      <c r="BF225" s="24177"/>
      <c r="BG225" s="24177"/>
      <c r="BH225" s="24177"/>
      <c r="BI225" s="24177"/>
      <c r="BJ225" s="24177"/>
      <c r="BK225" s="24177"/>
      <c r="BL225" s="24177"/>
      <c r="BM225" s="24178"/>
      <c r="BN225" s="24156"/>
      <c r="BO225" s="24157"/>
      <c r="BP225" s="24177"/>
      <c r="BQ225" s="24177"/>
      <c r="BR225" s="24157"/>
      <c r="BS225" s="24177"/>
      <c r="BT225" s="24177"/>
      <c r="BU225" s="24177"/>
      <c r="BV225" s="24177"/>
      <c r="BW225" s="24177"/>
      <c r="BX225" s="24178"/>
      <c r="BY225" s="24176"/>
      <c r="BZ225" s="24177"/>
      <c r="CA225" s="24177"/>
      <c r="CB225" s="24177"/>
      <c r="CC225" s="24177"/>
      <c r="CD225" s="24177"/>
      <c r="CE225" s="24177"/>
      <c r="CF225" s="24177"/>
      <c r="CG225" s="24177"/>
      <c r="CH225" s="24177"/>
      <c r="CI225" s="24178"/>
      <c r="CJ225" s="24176"/>
      <c r="CK225" s="24177"/>
      <c r="CL225" s="24177"/>
      <c r="CM225" s="24177"/>
      <c r="CN225" s="24177"/>
      <c r="CO225" s="24177"/>
      <c r="CP225" s="24177"/>
      <c r="CQ225" s="24177"/>
      <c r="CR225" s="24177"/>
      <c r="CS225" s="24177"/>
      <c r="CT225" s="24178"/>
      <c r="CU225" s="24176"/>
      <c r="CV225" s="24177"/>
      <c r="CW225" s="24177"/>
      <c r="CX225" s="24177"/>
      <c r="CY225" s="24177"/>
      <c r="CZ225" s="24177"/>
      <c r="DA225" s="24177"/>
      <c r="DB225" s="24177"/>
      <c r="DC225" s="24177"/>
      <c r="DD225" s="24177"/>
      <c r="DE225" s="24178"/>
      <c r="DF225" s="24176"/>
      <c r="DG225" s="24177"/>
      <c r="DH225" s="24177"/>
      <c r="DI225" s="24177"/>
      <c r="DJ225" s="24177"/>
      <c r="DK225" s="24177"/>
      <c r="DL225" s="24177"/>
      <c r="DM225" s="24177"/>
      <c r="DN225" s="24177"/>
      <c r="DO225" s="24177"/>
      <c r="DP225" s="24178"/>
      <c r="DQ225" s="24176"/>
      <c r="DR225" s="24177"/>
      <c r="DS225" s="24177"/>
      <c r="DT225" s="24177"/>
      <c r="DU225" s="24177"/>
      <c r="DV225" s="24177"/>
      <c r="DW225" s="24177"/>
      <c r="DX225" s="24177"/>
      <c r="DY225" s="24177"/>
      <c r="DZ225" s="24177"/>
      <c r="EA225" s="24178"/>
      <c r="EB225" s="24176"/>
      <c r="EC225" s="24177"/>
      <c r="ED225" s="24177"/>
      <c r="EE225" s="24177"/>
      <c r="EF225" s="24177"/>
      <c r="EG225" s="24177"/>
      <c r="EH225" s="24177"/>
      <c r="EI225" s="24177"/>
      <c r="EJ225" s="24177"/>
      <c r="EK225" s="24177"/>
      <c r="EL225" s="24178"/>
      <c r="EM225" s="24176"/>
      <c r="EN225" s="24177"/>
      <c r="EO225" s="24177"/>
      <c r="EP225" s="24177"/>
      <c r="EQ225" s="24177"/>
      <c r="ER225" s="24177"/>
      <c r="ES225" s="24177"/>
      <c r="ET225" s="24177"/>
      <c r="EU225" s="24177"/>
      <c r="EV225" s="24177"/>
      <c r="EW225" s="24178"/>
      <c r="EX225" s="24156"/>
      <c r="EY225" s="24157"/>
      <c r="EZ225" s="24177"/>
      <c r="FA225" s="24177"/>
      <c r="FB225" s="24157"/>
      <c r="FC225" s="24177"/>
      <c r="FD225" s="24177"/>
      <c r="FE225" s="24177"/>
      <c r="FF225" s="24177"/>
      <c r="FG225" s="24177"/>
      <c r="FH225" s="24178"/>
      <c r="FI225" s="24156"/>
      <c r="FJ225" s="24157"/>
      <c r="FK225" s="24177"/>
      <c r="FL225" s="24177"/>
      <c r="FM225" s="24157"/>
      <c r="FN225" s="24177"/>
      <c r="FO225" s="24177"/>
      <c r="FP225" s="24157"/>
      <c r="FQ225" s="24157"/>
      <c r="FR225" s="24157"/>
      <c r="FS225" s="24178"/>
      <c r="FT225" s="24161"/>
      <c r="FU225" s="1184" t="s">
        <v>710</v>
      </c>
      <c r="FV225" s="1568"/>
      <c r="FW225" s="1550"/>
      <c r="FX225" s="1550" t="str">
        <f t="shared" si="3"/>
        <v>Наименование признака дифференциации</v>
      </c>
      <c r="FY225" s="1550"/>
      <c r="FZ225" s="1550"/>
      <c r="GA225" s="1561">
        <v>0</v>
      </c>
    </row>
    <row r="226" spans="1:183" s="1747" customFormat="1" ht="23.25" customHeight="1">
      <c r="A226" s="1289"/>
      <c r="B226" s="1289"/>
      <c r="C226" s="1289"/>
      <c r="D226" s="1289"/>
      <c r="E226" s="24089"/>
      <c r="F226" s="24089" t="s">
        <v>83</v>
      </c>
      <c r="G226" s="24089"/>
      <c r="H226" s="24089"/>
      <c r="I226" s="24091"/>
      <c r="J226" s="24090" t="str">
        <f>I225&amp;".1"</f>
        <v>1.7.1.1.1</v>
      </c>
      <c r="K226" s="1289"/>
      <c r="L226" s="1295" t="s">
        <v>635</v>
      </c>
      <c r="M226" s="1674"/>
      <c r="N226" s="1674"/>
      <c r="O226" s="1674"/>
      <c r="P226" s="24092"/>
      <c r="Q226" s="24092">
        <v>1</v>
      </c>
      <c r="R226" s="293"/>
      <c r="S226" s="1976" t="str">
        <f>$J226</f>
        <v>1.7.1.1.1</v>
      </c>
      <c r="T226" s="222" t="s">
        <v>636</v>
      </c>
      <c r="U226" s="236"/>
      <c r="V226" s="24076"/>
      <c r="W226" s="24077"/>
      <c r="X226" s="24077"/>
      <c r="Y226" s="24077"/>
      <c r="Z226" s="24077"/>
      <c r="AA226" s="24077"/>
      <c r="AB226" s="24077"/>
      <c r="AC226" s="24077"/>
      <c r="AD226" s="24077"/>
      <c r="AE226" s="24077"/>
      <c r="AF226" s="24078"/>
      <c r="AG226" s="24076" t="s">
        <v>769</v>
      </c>
      <c r="AH226" s="24077"/>
      <c r="AI226" s="24077"/>
      <c r="AJ226" s="24077"/>
      <c r="AK226" s="24077"/>
      <c r="AL226" s="24077"/>
      <c r="AM226" s="24077"/>
      <c r="AN226" s="24077"/>
      <c r="AO226" s="24077"/>
      <c r="AP226" s="24077"/>
      <c r="AQ226" s="24077"/>
      <c r="AR226" s="24179"/>
      <c r="AS226" s="24180"/>
      <c r="AT226" s="24180"/>
      <c r="AU226" s="24180"/>
      <c r="AV226" s="24180"/>
      <c r="AW226" s="24180"/>
      <c r="AX226" s="24180"/>
      <c r="AY226" s="24180"/>
      <c r="AZ226" s="24180"/>
      <c r="BA226" s="24180"/>
      <c r="BB226" s="24181"/>
      <c r="BC226" s="24179"/>
      <c r="BD226" s="24180"/>
      <c r="BE226" s="24180"/>
      <c r="BF226" s="24180"/>
      <c r="BG226" s="24180"/>
      <c r="BH226" s="24180"/>
      <c r="BI226" s="24180"/>
      <c r="BJ226" s="24180"/>
      <c r="BK226" s="24180"/>
      <c r="BL226" s="24180"/>
      <c r="BM226" s="24181"/>
      <c r="BN226" s="24076"/>
      <c r="BO226" s="24077"/>
      <c r="BP226" s="24180"/>
      <c r="BQ226" s="24180"/>
      <c r="BR226" s="24077"/>
      <c r="BS226" s="24180"/>
      <c r="BT226" s="24180"/>
      <c r="BU226" s="24180"/>
      <c r="BV226" s="24180"/>
      <c r="BW226" s="24180"/>
      <c r="BX226" s="24181"/>
      <c r="BY226" s="24179"/>
      <c r="BZ226" s="24180"/>
      <c r="CA226" s="24180"/>
      <c r="CB226" s="24180"/>
      <c r="CC226" s="24180"/>
      <c r="CD226" s="24180"/>
      <c r="CE226" s="24180"/>
      <c r="CF226" s="24180"/>
      <c r="CG226" s="24180"/>
      <c r="CH226" s="24180"/>
      <c r="CI226" s="24181"/>
      <c r="CJ226" s="24179"/>
      <c r="CK226" s="24180"/>
      <c r="CL226" s="24180"/>
      <c r="CM226" s="24180"/>
      <c r="CN226" s="24180"/>
      <c r="CO226" s="24180"/>
      <c r="CP226" s="24180"/>
      <c r="CQ226" s="24180"/>
      <c r="CR226" s="24180"/>
      <c r="CS226" s="24180"/>
      <c r="CT226" s="24181"/>
      <c r="CU226" s="24179"/>
      <c r="CV226" s="24180"/>
      <c r="CW226" s="24180"/>
      <c r="CX226" s="24180"/>
      <c r="CY226" s="24180"/>
      <c r="CZ226" s="24180"/>
      <c r="DA226" s="24180"/>
      <c r="DB226" s="24180"/>
      <c r="DC226" s="24180"/>
      <c r="DD226" s="24180"/>
      <c r="DE226" s="24181"/>
      <c r="DF226" s="24179"/>
      <c r="DG226" s="24180"/>
      <c r="DH226" s="24180"/>
      <c r="DI226" s="24180"/>
      <c r="DJ226" s="24180"/>
      <c r="DK226" s="24180"/>
      <c r="DL226" s="24180"/>
      <c r="DM226" s="24180"/>
      <c r="DN226" s="24180"/>
      <c r="DO226" s="24180"/>
      <c r="DP226" s="24181"/>
      <c r="DQ226" s="24179"/>
      <c r="DR226" s="24180"/>
      <c r="DS226" s="24180"/>
      <c r="DT226" s="24180"/>
      <c r="DU226" s="24180"/>
      <c r="DV226" s="24180"/>
      <c r="DW226" s="24180"/>
      <c r="DX226" s="24180"/>
      <c r="DY226" s="24180"/>
      <c r="DZ226" s="24180"/>
      <c r="EA226" s="24181"/>
      <c r="EB226" s="24179"/>
      <c r="EC226" s="24180"/>
      <c r="ED226" s="24180"/>
      <c r="EE226" s="24180"/>
      <c r="EF226" s="24180"/>
      <c r="EG226" s="24180"/>
      <c r="EH226" s="24180"/>
      <c r="EI226" s="24180"/>
      <c r="EJ226" s="24180"/>
      <c r="EK226" s="24180"/>
      <c r="EL226" s="24181"/>
      <c r="EM226" s="24179"/>
      <c r="EN226" s="24180"/>
      <c r="EO226" s="24180"/>
      <c r="EP226" s="24180"/>
      <c r="EQ226" s="24180"/>
      <c r="ER226" s="24180"/>
      <c r="ES226" s="24180"/>
      <c r="ET226" s="24180"/>
      <c r="EU226" s="24180"/>
      <c r="EV226" s="24180"/>
      <c r="EW226" s="24181"/>
      <c r="EX226" s="24076"/>
      <c r="EY226" s="24077"/>
      <c r="EZ226" s="24180"/>
      <c r="FA226" s="24180"/>
      <c r="FB226" s="24077"/>
      <c r="FC226" s="24180"/>
      <c r="FD226" s="24180"/>
      <c r="FE226" s="24180"/>
      <c r="FF226" s="24180"/>
      <c r="FG226" s="24180"/>
      <c r="FH226" s="24181"/>
      <c r="FI226" s="24076"/>
      <c r="FJ226" s="24077"/>
      <c r="FK226" s="24180"/>
      <c r="FL226" s="24180"/>
      <c r="FM226" s="24077"/>
      <c r="FN226" s="24180"/>
      <c r="FO226" s="24180"/>
      <c r="FP226" s="24077"/>
      <c r="FQ226" s="24077"/>
      <c r="FR226" s="24077"/>
      <c r="FS226" s="24181"/>
      <c r="FT226" s="24078"/>
      <c r="FU226" s="1233" t="s">
        <v>711</v>
      </c>
      <c r="FV226" s="1568"/>
      <c r="FW226" s="1550"/>
      <c r="FX226" s="1550" t="str">
        <f t="shared" si="3"/>
        <v>Группа потребителей</v>
      </c>
      <c r="FY226" s="1550"/>
      <c r="FZ226" s="1550"/>
      <c r="GA226" s="1561">
        <v>0</v>
      </c>
    </row>
    <row r="227" spans="1:183" s="1747" customFormat="1" ht="23.25" customHeight="1">
      <c r="A227" s="1289"/>
      <c r="B227" s="1289"/>
      <c r="C227" s="1289"/>
      <c r="D227" s="1289"/>
      <c r="E227" s="24089"/>
      <c r="F227" s="24089" t="s">
        <v>83</v>
      </c>
      <c r="G227" s="24089"/>
      <c r="H227" s="24089"/>
      <c r="I227" s="24091"/>
      <c r="J227" s="24091"/>
      <c r="K227" s="24090" t="str">
        <f>J226&amp;".1"</f>
        <v>1.7.1.1.1.1</v>
      </c>
      <c r="L227" s="1295"/>
      <c r="M227" s="1674"/>
      <c r="N227" s="1674"/>
      <c r="O227" s="1674"/>
      <c r="P227" s="24092"/>
      <c r="Q227" s="24092"/>
      <c r="R227" s="293">
        <v>1</v>
      </c>
      <c r="S227" s="1976" t="str">
        <f>$K227</f>
        <v>1.7.1.1.1.1</v>
      </c>
      <c r="T227" s="1363"/>
      <c r="U227" s="236"/>
      <c r="V227" s="1286"/>
      <c r="W227" s="1286"/>
      <c r="X227" s="1286"/>
      <c r="Y227" s="1286"/>
      <c r="Z227" s="1286"/>
      <c r="AA227" s="1286"/>
      <c r="AB227" s="1286"/>
      <c r="AC227" s="24086"/>
      <c r="AD227" s="24085" t="s">
        <v>59</v>
      </c>
      <c r="AE227" s="24086"/>
      <c r="AF227" s="24085" t="s">
        <v>59</v>
      </c>
      <c r="AG227" s="687">
        <v>237.78</v>
      </c>
      <c r="AH227" s="687">
        <v>26.03</v>
      </c>
      <c r="AI227" s="687"/>
      <c r="AJ227" s="687"/>
      <c r="AK227" s="687">
        <v>3263.74</v>
      </c>
      <c r="AL227" s="687"/>
      <c r="AM227" s="687"/>
      <c r="AN227" s="24093" t="s">
        <v>9</v>
      </c>
      <c r="AO227" s="23957" t="s">
        <v>59</v>
      </c>
      <c r="AP227" s="24095" t="s">
        <v>770</v>
      </c>
      <c r="AQ227" s="23957" t="s">
        <v>59</v>
      </c>
      <c r="AR227" s="687">
        <v>267.72000000000003</v>
      </c>
      <c r="AS227" s="687">
        <v>31.19</v>
      </c>
      <c r="AT227" s="687"/>
      <c r="AU227" s="687"/>
      <c r="AV227" s="687">
        <v>3645.6</v>
      </c>
      <c r="AW227" s="687"/>
      <c r="AX227" s="687"/>
      <c r="AY227" s="24093" t="s">
        <v>772</v>
      </c>
      <c r="AZ227" s="23957" t="s">
        <v>59</v>
      </c>
      <c r="BA227" s="24093" t="s">
        <v>773</v>
      </c>
      <c r="BB227" s="23957" t="s">
        <v>59</v>
      </c>
      <c r="BC227" s="687">
        <v>276.76</v>
      </c>
      <c r="BD227" s="687">
        <v>40.229999999999997</v>
      </c>
      <c r="BE227" s="687"/>
      <c r="BF227" s="687"/>
      <c r="BG227" s="687">
        <v>3645.6</v>
      </c>
      <c r="BH227" s="687"/>
      <c r="BI227" s="687"/>
      <c r="BJ227" s="24093" t="s">
        <v>774</v>
      </c>
      <c r="BK227" s="23957" t="s">
        <v>59</v>
      </c>
      <c r="BL227" s="24093" t="s">
        <v>775</v>
      </c>
      <c r="BM227" s="23957" t="s">
        <v>59</v>
      </c>
      <c r="BN227" s="687">
        <v>304.87</v>
      </c>
      <c r="BO227" s="687">
        <v>40.229999999999997</v>
      </c>
      <c r="BP227" s="687"/>
      <c r="BQ227" s="687"/>
      <c r="BR227" s="687">
        <v>4078.94</v>
      </c>
      <c r="BS227" s="687"/>
      <c r="BT227" s="687"/>
      <c r="BU227" s="24093" t="s">
        <v>776</v>
      </c>
      <c r="BV227" s="23957" t="s">
        <v>59</v>
      </c>
      <c r="BW227" s="24093" t="s">
        <v>777</v>
      </c>
      <c r="BX227" s="23957" t="s">
        <v>59</v>
      </c>
      <c r="BY227" s="687">
        <v>305.55</v>
      </c>
      <c r="BZ227" s="687">
        <v>40.909999999999997</v>
      </c>
      <c r="CA227" s="687"/>
      <c r="CB227" s="687"/>
      <c r="CC227" s="687">
        <v>4078.94</v>
      </c>
      <c r="CD227" s="687"/>
      <c r="CE227" s="687"/>
      <c r="CF227" s="24185" t="s">
        <v>778</v>
      </c>
      <c r="CG227" s="23957" t="s">
        <v>59</v>
      </c>
      <c r="CH227" s="24185">
        <v>46295</v>
      </c>
      <c r="CI227" s="23957" t="s">
        <v>59</v>
      </c>
      <c r="CJ227" s="687">
        <v>336.86</v>
      </c>
      <c r="CK227" s="687">
        <v>45.83</v>
      </c>
      <c r="CL227" s="687"/>
      <c r="CM227" s="687"/>
      <c r="CN227" s="687">
        <v>4485.6000000000004</v>
      </c>
      <c r="CO227" s="687"/>
      <c r="CP227" s="687"/>
      <c r="CQ227" s="24185">
        <v>46296</v>
      </c>
      <c r="CR227" s="23957" t="s">
        <v>59</v>
      </c>
      <c r="CS227" s="24093" t="s">
        <v>779</v>
      </c>
      <c r="CT227" s="23957" t="s">
        <v>59</v>
      </c>
      <c r="CU227" s="687">
        <f>CJ227</f>
        <v>336.86</v>
      </c>
      <c r="CV227" s="687">
        <f>CK227</f>
        <v>45.83</v>
      </c>
      <c r="CW227" s="687"/>
      <c r="CX227" s="687"/>
      <c r="CY227" s="687">
        <f>CN227</f>
        <v>4485.6000000000004</v>
      </c>
      <c r="CZ227" s="687"/>
      <c r="DA227" s="687"/>
      <c r="DB227" s="24093" t="s">
        <v>780</v>
      </c>
      <c r="DC227" s="23957" t="s">
        <v>59</v>
      </c>
      <c r="DD227" s="24093" t="s">
        <v>781</v>
      </c>
      <c r="DE227" s="23957" t="s">
        <v>59</v>
      </c>
      <c r="DF227" s="687">
        <v>362.71</v>
      </c>
      <c r="DG227" s="687">
        <v>46.36</v>
      </c>
      <c r="DH227" s="687"/>
      <c r="DI227" s="687"/>
      <c r="DJ227" s="687">
        <v>4875.8500000000004</v>
      </c>
      <c r="DK227" s="687"/>
      <c r="DL227" s="687"/>
      <c r="DM227" s="24093" t="s">
        <v>782</v>
      </c>
      <c r="DN227" s="23957" t="s">
        <v>59</v>
      </c>
      <c r="DO227" s="24093" t="s">
        <v>783</v>
      </c>
      <c r="DP227" s="23957" t="s">
        <v>59</v>
      </c>
      <c r="DQ227" s="687">
        <f>DF227</f>
        <v>362.71</v>
      </c>
      <c r="DR227" s="687">
        <f>DG227</f>
        <v>46.36</v>
      </c>
      <c r="DS227" s="687"/>
      <c r="DT227" s="687"/>
      <c r="DU227" s="687">
        <f>DJ227</f>
        <v>4875.8500000000004</v>
      </c>
      <c r="DV227" s="687"/>
      <c r="DW227" s="687"/>
      <c r="DX227" s="24093" t="s">
        <v>784</v>
      </c>
      <c r="DY227" s="23957" t="s">
        <v>59</v>
      </c>
      <c r="DZ227" s="24093" t="s">
        <v>785</v>
      </c>
      <c r="EA227" s="23957" t="s">
        <v>59</v>
      </c>
      <c r="EB227" s="687">
        <v>384.73</v>
      </c>
      <c r="EC227" s="687">
        <v>46.75</v>
      </c>
      <c r="ED227" s="687"/>
      <c r="EE227" s="687"/>
      <c r="EF227" s="687">
        <v>5209.29</v>
      </c>
      <c r="EG227" s="687"/>
      <c r="EH227" s="687"/>
      <c r="EI227" s="24093" t="s">
        <v>786</v>
      </c>
      <c r="EJ227" s="23957" t="s">
        <v>59</v>
      </c>
      <c r="EK227" s="24093" t="s">
        <v>787</v>
      </c>
      <c r="EL227" s="23957" t="s">
        <v>6</v>
      </c>
      <c r="EM227" s="1286"/>
      <c r="EN227" s="1286"/>
      <c r="EO227" s="1286"/>
      <c r="EP227" s="1286"/>
      <c r="EQ227" s="1286"/>
      <c r="ER227" s="1286"/>
      <c r="ES227" s="1286"/>
      <c r="ET227" s="24086"/>
      <c r="EU227" s="24085" t="s">
        <v>59</v>
      </c>
      <c r="EV227" s="24086"/>
      <c r="EW227" s="24085" t="s">
        <v>59</v>
      </c>
      <c r="EX227" s="1286"/>
      <c r="EY227" s="1286"/>
      <c r="EZ227" s="1286"/>
      <c r="FA227" s="1286"/>
      <c r="FB227" s="1286"/>
      <c r="FC227" s="1286"/>
      <c r="FD227" s="1286"/>
      <c r="FE227" s="24086"/>
      <c r="FF227" s="24085" t="s">
        <v>59</v>
      </c>
      <c r="FG227" s="24086"/>
      <c r="FH227" s="24085" t="s">
        <v>59</v>
      </c>
      <c r="FI227" s="1286"/>
      <c r="FJ227" s="1286"/>
      <c r="FK227" s="1286"/>
      <c r="FL227" s="1286"/>
      <c r="FM227" s="1286"/>
      <c r="FN227" s="1286"/>
      <c r="FO227" s="1286"/>
      <c r="FP227" s="24086"/>
      <c r="FQ227" s="24085" t="s">
        <v>59</v>
      </c>
      <c r="FR227" s="24086"/>
      <c r="FS227" s="24085" t="s">
        <v>59</v>
      </c>
      <c r="FT227" s="1364"/>
      <c r="FU22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27" s="1568" t="e">
        <f ca="1">STRCHECKDATE(V228:FT228)</f>
        <v>#NAME?</v>
      </c>
      <c r="FW227" s="1550"/>
      <c r="FX227" s="1550" t="str">
        <f t="shared" si="3"/>
        <v/>
      </c>
      <c r="FY227" s="1550"/>
      <c r="FZ227" s="1550"/>
      <c r="GA227" s="1561">
        <v>0</v>
      </c>
    </row>
    <row r="228" spans="1:183" s="1747" customFormat="1" ht="14.25" customHeight="1">
      <c r="A228" s="1289"/>
      <c r="B228" s="1289"/>
      <c r="C228" s="1289"/>
      <c r="D228" s="1289"/>
      <c r="E228" s="24089"/>
      <c r="F228" s="24089" t="s">
        <v>83</v>
      </c>
      <c r="G228" s="24089"/>
      <c r="H228" s="24089"/>
      <c r="I228" s="24091"/>
      <c r="J228" s="24091"/>
      <c r="K228" s="24090"/>
      <c r="L228" s="1295"/>
      <c r="M228" s="1674"/>
      <c r="N228" s="1674"/>
      <c r="O228" s="1674"/>
      <c r="P228" s="24092"/>
      <c r="Q228" s="24092"/>
      <c r="R228" s="293"/>
      <c r="S228" s="1982"/>
      <c r="T228" s="236"/>
      <c r="U228" s="236"/>
      <c r="V228" s="1286"/>
      <c r="W228" s="1286"/>
      <c r="X228" s="1286"/>
      <c r="Y228" s="1286"/>
      <c r="Z228" s="1286"/>
      <c r="AA228" s="1286"/>
      <c r="AB228" s="1286"/>
      <c r="AC228" s="24085"/>
      <c r="AD228" s="24085"/>
      <c r="AE228" s="24085"/>
      <c r="AF228" s="24085"/>
      <c r="AG228" s="261"/>
      <c r="AH228" s="261"/>
      <c r="AI228" s="261"/>
      <c r="AJ228" s="261"/>
      <c r="AK228" s="261"/>
      <c r="AL228" s="261"/>
      <c r="AM228" s="261"/>
      <c r="AN228" s="24094"/>
      <c r="AO228" s="23957"/>
      <c r="AP228" s="24096"/>
      <c r="AQ228" s="23957"/>
      <c r="AR228" s="261"/>
      <c r="AS228" s="261"/>
      <c r="AT228" s="261"/>
      <c r="AU228" s="261"/>
      <c r="AV228" s="261"/>
      <c r="AW228" s="261"/>
      <c r="AX228" s="261"/>
      <c r="AY228" s="24094"/>
      <c r="AZ228" s="23957"/>
      <c r="BA228" s="24094"/>
      <c r="BB228" s="23957"/>
      <c r="BC228" s="261"/>
      <c r="BD228" s="261"/>
      <c r="BE228" s="261"/>
      <c r="BF228" s="261"/>
      <c r="BG228" s="261"/>
      <c r="BH228" s="261"/>
      <c r="BI228" s="261"/>
      <c r="BJ228" s="24094"/>
      <c r="BK228" s="23957"/>
      <c r="BL228" s="24094"/>
      <c r="BM228" s="23957"/>
      <c r="BN228" s="261"/>
      <c r="BO228" s="261"/>
      <c r="BP228" s="261"/>
      <c r="BQ228" s="261"/>
      <c r="BR228" s="261"/>
      <c r="BS228" s="261"/>
      <c r="BT228" s="261"/>
      <c r="BU228" s="24094"/>
      <c r="BV228" s="23957"/>
      <c r="BW228" s="24094"/>
      <c r="BX228" s="23957"/>
      <c r="BY228" s="261"/>
      <c r="BZ228" s="261"/>
      <c r="CA228" s="261"/>
      <c r="CB228" s="261"/>
      <c r="CC228" s="261"/>
      <c r="CD228" s="261"/>
      <c r="CE228" s="261"/>
      <c r="CF228" s="24094"/>
      <c r="CG228" s="23957"/>
      <c r="CH228" s="24094"/>
      <c r="CI228" s="23957"/>
      <c r="CJ228" s="261"/>
      <c r="CK228" s="261"/>
      <c r="CL228" s="261"/>
      <c r="CM228" s="261"/>
      <c r="CN228" s="261"/>
      <c r="CO228" s="261"/>
      <c r="CP228" s="261"/>
      <c r="CQ228" s="24094"/>
      <c r="CR228" s="23957"/>
      <c r="CS228" s="24094"/>
      <c r="CT228" s="23957"/>
      <c r="CU228" s="261"/>
      <c r="CV228" s="261"/>
      <c r="CW228" s="261"/>
      <c r="CX228" s="261"/>
      <c r="CY228" s="261"/>
      <c r="CZ228" s="261"/>
      <c r="DA228" s="261"/>
      <c r="DB228" s="24094"/>
      <c r="DC228" s="23957"/>
      <c r="DD228" s="24094"/>
      <c r="DE228" s="23957"/>
      <c r="DF228" s="261"/>
      <c r="DG228" s="261"/>
      <c r="DH228" s="261"/>
      <c r="DI228" s="261"/>
      <c r="DJ228" s="261"/>
      <c r="DK228" s="261"/>
      <c r="DL228" s="261"/>
      <c r="DM228" s="24094"/>
      <c r="DN228" s="23957"/>
      <c r="DO228" s="24094"/>
      <c r="DP228" s="23957"/>
      <c r="DQ228" s="261"/>
      <c r="DR228" s="261"/>
      <c r="DS228" s="261"/>
      <c r="DT228" s="261"/>
      <c r="DU228" s="261"/>
      <c r="DV228" s="261"/>
      <c r="DW228" s="261"/>
      <c r="DX228" s="24094"/>
      <c r="DY228" s="23957"/>
      <c r="DZ228" s="24094"/>
      <c r="EA228" s="23957"/>
      <c r="EB228" s="261"/>
      <c r="EC228" s="261"/>
      <c r="ED228" s="261"/>
      <c r="EE228" s="261"/>
      <c r="EF228" s="261"/>
      <c r="EG228" s="261"/>
      <c r="EH228" s="261"/>
      <c r="EI228" s="24094"/>
      <c r="EJ228" s="23957"/>
      <c r="EK228" s="24094"/>
      <c r="EL228" s="23957"/>
      <c r="EM228" s="1286"/>
      <c r="EN228" s="1286"/>
      <c r="EO228" s="1286"/>
      <c r="EP228" s="1286"/>
      <c r="EQ228" s="1286"/>
      <c r="ER228" s="1286"/>
      <c r="ES228" s="1286"/>
      <c r="ET228" s="24085"/>
      <c r="EU228" s="24085"/>
      <c r="EV228" s="24085"/>
      <c r="EW228" s="24085"/>
      <c r="EX228" s="1286"/>
      <c r="EY228" s="1286"/>
      <c r="EZ228" s="1286"/>
      <c r="FA228" s="1286"/>
      <c r="FB228" s="1286"/>
      <c r="FC228" s="1286"/>
      <c r="FD228" s="1286"/>
      <c r="FE228" s="24085"/>
      <c r="FF228" s="24085"/>
      <c r="FG228" s="24085"/>
      <c r="FH228" s="24085"/>
      <c r="FI228" s="1286"/>
      <c r="FJ228" s="1286"/>
      <c r="FK228" s="1286"/>
      <c r="FL228" s="1286"/>
      <c r="FM228" s="1286"/>
      <c r="FN228" s="1286"/>
      <c r="FO228" s="1286"/>
      <c r="FP228" s="24085"/>
      <c r="FQ228" s="24085"/>
      <c r="FR228" s="24085"/>
      <c r="FS228" s="24085"/>
      <c r="FT228" s="1365"/>
      <c r="FU228" s="24162"/>
      <c r="FV228" s="1568"/>
      <c r="FW228" s="1550"/>
      <c r="FX228" s="1550" t="str">
        <f t="shared" si="3"/>
        <v/>
      </c>
      <c r="FY228" s="1550"/>
      <c r="FZ228" s="1550"/>
      <c r="GA228" s="1561">
        <v>0</v>
      </c>
    </row>
    <row r="229" spans="1:183" s="1747" customFormat="1" ht="21" customHeight="1">
      <c r="A229" s="1289"/>
      <c r="B229" s="1289"/>
      <c r="C229" s="1289"/>
      <c r="D229" s="1289"/>
      <c r="E229" s="24089"/>
      <c r="F229" s="24089" t="s">
        <v>83</v>
      </c>
      <c r="G229" s="24089"/>
      <c r="H229" s="24089"/>
      <c r="I229" s="24091"/>
      <c r="J229" s="24090"/>
      <c r="K229" s="1289"/>
      <c r="L229" s="1295"/>
      <c r="M229" s="1674"/>
      <c r="N229" s="1674"/>
      <c r="O229" s="1674"/>
      <c r="P229" s="24092"/>
      <c r="Q229" s="24092"/>
      <c r="R229" s="292"/>
      <c r="S229" s="3699"/>
      <c r="T229" s="3700" t="s">
        <v>712</v>
      </c>
      <c r="U229" s="3701"/>
      <c r="V229" s="3702"/>
      <c r="W229" s="3703"/>
      <c r="X229" s="3704"/>
      <c r="Y229" s="3705"/>
      <c r="Z229" s="3706"/>
      <c r="AA229" s="3707"/>
      <c r="AB229" s="3708"/>
      <c r="AC229" s="3709"/>
      <c r="AD229" s="3710"/>
      <c r="AE229" s="3711"/>
      <c r="AF229" s="3712"/>
      <c r="AG229" s="3713"/>
      <c r="AH229" s="3714"/>
      <c r="AI229" s="3715"/>
      <c r="AJ229" s="3716"/>
      <c r="AK229" s="3717"/>
      <c r="AL229" s="3718"/>
      <c r="AM229" s="3719"/>
      <c r="AN229" s="3720"/>
      <c r="AO229" s="3721"/>
      <c r="AP229" s="3722"/>
      <c r="AQ229" s="3723"/>
      <c r="AR229" s="7230"/>
      <c r="AS229" s="7231"/>
      <c r="AT229" s="7232"/>
      <c r="AU229" s="7233"/>
      <c r="AV229" s="7234"/>
      <c r="AW229" s="7235"/>
      <c r="AX229" s="7236"/>
      <c r="AY229" s="7237"/>
      <c r="AZ229" s="7238"/>
      <c r="BA229" s="7239"/>
      <c r="BB229" s="7240"/>
      <c r="BC229" s="7241"/>
      <c r="BD229" s="7242"/>
      <c r="BE229" s="14038"/>
      <c r="BF229" s="14039"/>
      <c r="BG229" s="21878"/>
      <c r="BH229" s="14040"/>
      <c r="BI229" s="14041"/>
      <c r="BJ229" s="14042"/>
      <c r="BK229" s="14043"/>
      <c r="BL229" s="14044"/>
      <c r="BM229" s="14045"/>
      <c r="BN229" s="3724"/>
      <c r="BO229" s="3725"/>
      <c r="BP229" s="14046"/>
      <c r="BQ229" s="14047"/>
      <c r="BR229" s="3726"/>
      <c r="BS229" s="14048"/>
      <c r="BT229" s="14049"/>
      <c r="BU229" s="14050"/>
      <c r="BV229" s="14051"/>
      <c r="BW229" s="14052"/>
      <c r="BX229" s="14053"/>
      <c r="BY229" s="14054"/>
      <c r="BZ229" s="14055"/>
      <c r="CA229" s="14056"/>
      <c r="CB229" s="14057"/>
      <c r="CC229" s="14058"/>
      <c r="CD229" s="14059"/>
      <c r="CE229" s="14060"/>
      <c r="CF229" s="14061"/>
      <c r="CG229" s="14062"/>
      <c r="CH229" s="14063"/>
      <c r="CI229" s="14064"/>
      <c r="CJ229" s="14065"/>
      <c r="CK229" s="14066"/>
      <c r="CL229" s="14067"/>
      <c r="CM229" s="14068"/>
      <c r="CN229" s="14069"/>
      <c r="CO229" s="14070"/>
      <c r="CP229" s="14071"/>
      <c r="CQ229" s="14072"/>
      <c r="CR229" s="14073"/>
      <c r="CS229" s="14074"/>
      <c r="CT229" s="14075"/>
      <c r="CU229" s="14076"/>
      <c r="CV229" s="14077"/>
      <c r="CW229" s="14078"/>
      <c r="CX229" s="14079"/>
      <c r="CY229" s="14080"/>
      <c r="CZ229" s="14081"/>
      <c r="DA229" s="14082"/>
      <c r="DB229" s="14083"/>
      <c r="DC229" s="14084"/>
      <c r="DD229" s="14085"/>
      <c r="DE229" s="14086"/>
      <c r="DF229" s="14087"/>
      <c r="DG229" s="14088"/>
      <c r="DH229" s="14089"/>
      <c r="DI229" s="14090"/>
      <c r="DJ229" s="14091"/>
      <c r="DK229" s="14092"/>
      <c r="DL229" s="14093"/>
      <c r="DM229" s="14094"/>
      <c r="DN229" s="14095"/>
      <c r="DO229" s="14096"/>
      <c r="DP229" s="14097"/>
      <c r="DQ229" s="14098"/>
      <c r="DR229" s="14099"/>
      <c r="DS229" s="14100"/>
      <c r="DT229" s="14101"/>
      <c r="DU229" s="14102"/>
      <c r="DV229" s="14103"/>
      <c r="DW229" s="14104"/>
      <c r="DX229" s="14105"/>
      <c r="DY229" s="14106"/>
      <c r="DZ229" s="14107"/>
      <c r="EA229" s="14108"/>
      <c r="EB229" s="14109"/>
      <c r="EC229" s="14110"/>
      <c r="ED229" s="14111"/>
      <c r="EE229" s="14112"/>
      <c r="EF229" s="14113"/>
      <c r="EG229" s="14114"/>
      <c r="EH229" s="14115"/>
      <c r="EI229" s="14116"/>
      <c r="EJ229" s="14117"/>
      <c r="EK229" s="14118"/>
      <c r="EL229" s="14119"/>
      <c r="EM229" s="21590"/>
      <c r="EN229" s="21591"/>
      <c r="EO229" s="14120"/>
      <c r="EP229" s="14121"/>
      <c r="EQ229" s="21592"/>
      <c r="ER229" s="14122"/>
      <c r="ES229" s="14123"/>
      <c r="ET229" s="14124"/>
      <c r="EU229" s="14125"/>
      <c r="EV229" s="14126"/>
      <c r="EW229" s="14127"/>
      <c r="EX229" s="3727"/>
      <c r="EY229" s="3728"/>
      <c r="EZ229" s="14128"/>
      <c r="FA229" s="14129"/>
      <c r="FB229" s="3729"/>
      <c r="FC229" s="14130"/>
      <c r="FD229" s="14131"/>
      <c r="FE229" s="14132"/>
      <c r="FF229" s="14133"/>
      <c r="FG229" s="14134"/>
      <c r="FH229" s="5714"/>
      <c r="FI229" s="22758"/>
      <c r="FJ229" s="22759"/>
      <c r="FK229" s="23532"/>
      <c r="FL229" s="23533"/>
      <c r="FM229" s="22760"/>
      <c r="FN229" s="23534"/>
      <c r="FO229" s="23535"/>
      <c r="FP229" s="22761"/>
      <c r="FQ229" s="22762"/>
      <c r="FR229" s="22763"/>
      <c r="FS229" s="23536"/>
      <c r="FT229" s="3730"/>
      <c r="FU229" s="1184" t="s">
        <v>713</v>
      </c>
      <c r="FV229" s="1568"/>
      <c r="FW229" s="1550"/>
      <c r="FX229" s="1550" t="str">
        <f t="shared" si="3"/>
        <v>Добавить значение признака дифференциации</v>
      </c>
      <c r="FY229" s="1550"/>
      <c r="FZ229" s="1550"/>
      <c r="GA229" s="1561">
        <v>0</v>
      </c>
    </row>
    <row r="230" spans="1:183" s="1747" customFormat="1" ht="23.25" customHeight="1">
      <c r="A230" s="1289"/>
      <c r="B230" s="1289"/>
      <c r="C230" s="1289"/>
      <c r="D230" s="1289"/>
      <c r="E230" s="24089"/>
      <c r="F230" s="24089"/>
      <c r="G230" s="24089"/>
      <c r="H230" s="24089"/>
      <c r="I230" s="24091"/>
      <c r="J230" s="24090" t="str">
        <f>I225&amp;".2"</f>
        <v>1.7.1.1.2</v>
      </c>
      <c r="K230" s="1289"/>
      <c r="L230" s="1295" t="s">
        <v>635</v>
      </c>
      <c r="M230" s="1674"/>
      <c r="N230" s="1674"/>
      <c r="O230" s="1674"/>
      <c r="P230" s="24092"/>
      <c r="Q230" s="24206" t="s">
        <v>96</v>
      </c>
      <c r="R230" s="293"/>
      <c r="S230" s="1976" t="str">
        <f>$J230</f>
        <v>1.7.1.1.2</v>
      </c>
      <c r="T230" s="222" t="s">
        <v>636</v>
      </c>
      <c r="U230" s="236"/>
      <c r="V230" s="24076"/>
      <c r="W230" s="24077"/>
      <c r="X230" s="24077"/>
      <c r="Y230" s="24077"/>
      <c r="Z230" s="24077"/>
      <c r="AA230" s="24077"/>
      <c r="AB230" s="24077"/>
      <c r="AC230" s="24077"/>
      <c r="AD230" s="24077"/>
      <c r="AE230" s="24077"/>
      <c r="AF230" s="24078"/>
      <c r="AG230" s="24076" t="s">
        <v>771</v>
      </c>
      <c r="AH230" s="24077"/>
      <c r="AI230" s="24077"/>
      <c r="AJ230" s="24077"/>
      <c r="AK230" s="24077"/>
      <c r="AL230" s="24077"/>
      <c r="AM230" s="24077"/>
      <c r="AN230" s="24077"/>
      <c r="AO230" s="24077"/>
      <c r="AP230" s="24077"/>
      <c r="AQ230" s="24077"/>
      <c r="AR230" s="24179"/>
      <c r="AS230" s="24180"/>
      <c r="AT230" s="24180"/>
      <c r="AU230" s="24180"/>
      <c r="AV230" s="24180"/>
      <c r="AW230" s="24180"/>
      <c r="AX230" s="24180"/>
      <c r="AY230" s="24180"/>
      <c r="AZ230" s="24180"/>
      <c r="BA230" s="24180"/>
      <c r="BB230" s="24181"/>
      <c r="BC230" s="24179"/>
      <c r="BD230" s="24180"/>
      <c r="BE230" s="24180"/>
      <c r="BF230" s="24180"/>
      <c r="BG230" s="24180"/>
      <c r="BH230" s="24180"/>
      <c r="BI230" s="24180"/>
      <c r="BJ230" s="24180"/>
      <c r="BK230" s="24180"/>
      <c r="BL230" s="24180"/>
      <c r="BM230" s="24181"/>
      <c r="BN230" s="24076"/>
      <c r="BO230" s="24077"/>
      <c r="BP230" s="24180"/>
      <c r="BQ230" s="24180"/>
      <c r="BR230" s="24077"/>
      <c r="BS230" s="24180"/>
      <c r="BT230" s="24180"/>
      <c r="BU230" s="24180"/>
      <c r="BV230" s="24180"/>
      <c r="BW230" s="24180"/>
      <c r="BX230" s="24181"/>
      <c r="BY230" s="24179"/>
      <c r="BZ230" s="24180"/>
      <c r="CA230" s="24180"/>
      <c r="CB230" s="24180"/>
      <c r="CC230" s="24180"/>
      <c r="CD230" s="24180"/>
      <c r="CE230" s="24180"/>
      <c r="CF230" s="24180"/>
      <c r="CG230" s="24180"/>
      <c r="CH230" s="24180"/>
      <c r="CI230" s="24181"/>
      <c r="CJ230" s="24179"/>
      <c r="CK230" s="24180"/>
      <c r="CL230" s="24180"/>
      <c r="CM230" s="24180"/>
      <c r="CN230" s="24180"/>
      <c r="CO230" s="24180"/>
      <c r="CP230" s="24180"/>
      <c r="CQ230" s="24180"/>
      <c r="CR230" s="24180"/>
      <c r="CS230" s="24180"/>
      <c r="CT230" s="24181"/>
      <c r="CU230" s="24179"/>
      <c r="CV230" s="24180"/>
      <c r="CW230" s="24180"/>
      <c r="CX230" s="24180"/>
      <c r="CY230" s="24180"/>
      <c r="CZ230" s="24180"/>
      <c r="DA230" s="24180"/>
      <c r="DB230" s="24180"/>
      <c r="DC230" s="24180"/>
      <c r="DD230" s="24180"/>
      <c r="DE230" s="24181"/>
      <c r="DF230" s="24179"/>
      <c r="DG230" s="24180"/>
      <c r="DH230" s="24180"/>
      <c r="DI230" s="24180"/>
      <c r="DJ230" s="24180"/>
      <c r="DK230" s="24180"/>
      <c r="DL230" s="24180"/>
      <c r="DM230" s="24180"/>
      <c r="DN230" s="24180"/>
      <c r="DO230" s="24180"/>
      <c r="DP230" s="24181"/>
      <c r="DQ230" s="24179"/>
      <c r="DR230" s="24180"/>
      <c r="DS230" s="24180"/>
      <c r="DT230" s="24180"/>
      <c r="DU230" s="24180"/>
      <c r="DV230" s="24180"/>
      <c r="DW230" s="24180"/>
      <c r="DX230" s="24180"/>
      <c r="DY230" s="24180"/>
      <c r="DZ230" s="24180"/>
      <c r="EA230" s="24181"/>
      <c r="EB230" s="24179"/>
      <c r="EC230" s="24180"/>
      <c r="ED230" s="24180"/>
      <c r="EE230" s="24180"/>
      <c r="EF230" s="24180"/>
      <c r="EG230" s="24180"/>
      <c r="EH230" s="24180"/>
      <c r="EI230" s="24180"/>
      <c r="EJ230" s="24180"/>
      <c r="EK230" s="24180"/>
      <c r="EL230" s="24181"/>
      <c r="EM230" s="24179"/>
      <c r="EN230" s="24180"/>
      <c r="EO230" s="24180"/>
      <c r="EP230" s="24180"/>
      <c r="EQ230" s="24180"/>
      <c r="ER230" s="24180"/>
      <c r="ES230" s="24180"/>
      <c r="ET230" s="24180"/>
      <c r="EU230" s="24180"/>
      <c r="EV230" s="24180"/>
      <c r="EW230" s="24181"/>
      <c r="EX230" s="24076"/>
      <c r="EY230" s="24077"/>
      <c r="EZ230" s="24180"/>
      <c r="FA230" s="24180"/>
      <c r="FB230" s="24077"/>
      <c r="FC230" s="24180"/>
      <c r="FD230" s="24180"/>
      <c r="FE230" s="24180"/>
      <c r="FF230" s="24180"/>
      <c r="FG230" s="24180"/>
      <c r="FH230" s="24181"/>
      <c r="FI230" s="24076"/>
      <c r="FJ230" s="24077"/>
      <c r="FK230" s="24180"/>
      <c r="FL230" s="24180"/>
      <c r="FM230" s="24077"/>
      <c r="FN230" s="24180"/>
      <c r="FO230" s="24180"/>
      <c r="FP230" s="24077"/>
      <c r="FQ230" s="24077"/>
      <c r="FR230" s="24077"/>
      <c r="FS230" s="24181"/>
      <c r="FT230" s="24078"/>
      <c r="FU230" s="1233" t="s">
        <v>711</v>
      </c>
      <c r="FV230" s="1568"/>
      <c r="FW230" s="1550"/>
      <c r="FX230" s="1550" t="str">
        <f t="shared" si="3"/>
        <v>Группа потребителей</v>
      </c>
      <c r="FY230" s="1550"/>
      <c r="FZ230" s="1550"/>
      <c r="GA230" s="1561">
        <v>0</v>
      </c>
    </row>
    <row r="231" spans="1:183" s="1747" customFormat="1" ht="23.25" customHeight="1">
      <c r="A231" s="1289"/>
      <c r="B231" s="1289"/>
      <c r="C231" s="1289"/>
      <c r="D231" s="1289"/>
      <c r="E231" s="24089"/>
      <c r="F231" s="24089"/>
      <c r="G231" s="24089"/>
      <c r="H231" s="24089"/>
      <c r="I231" s="24091"/>
      <c r="J231" s="24091" t="str">
        <f>I225&amp;".1"</f>
        <v>1.7.1.1.1</v>
      </c>
      <c r="K231" s="24090" t="str">
        <f>J230&amp;".1"</f>
        <v>1.7.1.1.2.1</v>
      </c>
      <c r="L231" s="1295"/>
      <c r="M231" s="1674"/>
      <c r="N231" s="1674"/>
      <c r="O231" s="1674"/>
      <c r="P231" s="24092"/>
      <c r="Q231" s="24092"/>
      <c r="R231" s="293">
        <v>1</v>
      </c>
      <c r="S231" s="1976" t="str">
        <f>$K231</f>
        <v>1.7.1.1.2.1</v>
      </c>
      <c r="T231" s="1363"/>
      <c r="U231" s="236"/>
      <c r="V231" s="1286"/>
      <c r="W231" s="1286"/>
      <c r="X231" s="1286"/>
      <c r="Y231" s="1286"/>
      <c r="Z231" s="1286"/>
      <c r="AA231" s="1286"/>
      <c r="AB231" s="1286"/>
      <c r="AC231" s="24086"/>
      <c r="AD231" s="24085" t="s">
        <v>59</v>
      </c>
      <c r="AE231" s="24086"/>
      <c r="AF231" s="24085" t="s">
        <v>59</v>
      </c>
      <c r="AG231" s="687">
        <v>207.6</v>
      </c>
      <c r="AH231" s="687">
        <v>26.03</v>
      </c>
      <c r="AI231" s="687"/>
      <c r="AJ231" s="687"/>
      <c r="AK231" s="687">
        <v>2718.23</v>
      </c>
      <c r="AL231" s="687"/>
      <c r="AM231" s="687"/>
      <c r="AN231" s="24093" t="s">
        <v>9</v>
      </c>
      <c r="AO231" s="23957" t="s">
        <v>59</v>
      </c>
      <c r="AP231" s="24095" t="s">
        <v>770</v>
      </c>
      <c r="AQ231" s="23957" t="s">
        <v>59</v>
      </c>
      <c r="AR231" s="687">
        <v>231.42</v>
      </c>
      <c r="AS231" s="687">
        <v>31.19</v>
      </c>
      <c r="AT231" s="687"/>
      <c r="AU231" s="687"/>
      <c r="AV231" s="687">
        <v>2990.05</v>
      </c>
      <c r="AW231" s="687"/>
      <c r="AX231" s="687"/>
      <c r="AY231" s="24093" t="s">
        <v>772</v>
      </c>
      <c r="AZ231" s="23957" t="s">
        <v>59</v>
      </c>
      <c r="BA231" s="24093" t="s">
        <v>773</v>
      </c>
      <c r="BB231" s="23957" t="s">
        <v>59</v>
      </c>
      <c r="BC231" s="687">
        <v>231.42</v>
      </c>
      <c r="BD231" s="687">
        <v>31.19</v>
      </c>
      <c r="BE231" s="687"/>
      <c r="BF231" s="687"/>
      <c r="BG231" s="687">
        <v>3017.57</v>
      </c>
      <c r="BH231" s="687"/>
      <c r="BI231" s="687"/>
      <c r="BJ231" s="24185" t="s">
        <v>774</v>
      </c>
      <c r="BK231" s="23957" t="s">
        <v>59</v>
      </c>
      <c r="BL231" s="24093" t="s">
        <v>775</v>
      </c>
      <c r="BM231" s="23957" t="s">
        <v>59</v>
      </c>
      <c r="BN231" s="687">
        <v>258.13</v>
      </c>
      <c r="BO231" s="687">
        <v>37.43</v>
      </c>
      <c r="BP231" s="687"/>
      <c r="BQ231" s="687"/>
      <c r="BR231" s="687">
        <v>3319.32</v>
      </c>
      <c r="BS231" s="687"/>
      <c r="BT231" s="687"/>
      <c r="BU231" s="24093" t="s">
        <v>776</v>
      </c>
      <c r="BV231" s="23957" t="s">
        <v>59</v>
      </c>
      <c r="BW231" s="24093" t="s">
        <v>777</v>
      </c>
      <c r="BX231" s="23957" t="s">
        <v>59</v>
      </c>
      <c r="BY231" s="687">
        <v>262.52</v>
      </c>
      <c r="BZ231" s="687">
        <v>38.07</v>
      </c>
      <c r="CA231" s="687"/>
      <c r="CB231" s="687"/>
      <c r="CC231" s="687">
        <v>3364.41</v>
      </c>
      <c r="CD231" s="687"/>
      <c r="CE231" s="687"/>
      <c r="CF231" s="24093" t="s">
        <v>778</v>
      </c>
      <c r="CG231" s="23957" t="s">
        <v>59</v>
      </c>
      <c r="CH231" s="24185">
        <v>46295</v>
      </c>
      <c r="CI231" s="23957" t="s">
        <v>59</v>
      </c>
      <c r="CJ231" s="687">
        <v>294.02</v>
      </c>
      <c r="CK231" s="687">
        <v>42.64</v>
      </c>
      <c r="CL231" s="687"/>
      <c r="CM231" s="687"/>
      <c r="CN231" s="687">
        <v>3768.14</v>
      </c>
      <c r="CO231" s="687"/>
      <c r="CP231" s="687"/>
      <c r="CQ231" s="24185">
        <v>46296</v>
      </c>
      <c r="CR231" s="23957" t="s">
        <v>59</v>
      </c>
      <c r="CS231" s="24093" t="s">
        <v>779</v>
      </c>
      <c r="CT231" s="23957" t="s">
        <v>59</v>
      </c>
      <c r="CU231" s="687">
        <f>CJ231</f>
        <v>294.02</v>
      </c>
      <c r="CV231" s="687">
        <f>CK231</f>
        <v>42.64</v>
      </c>
      <c r="CW231" s="687"/>
      <c r="CX231" s="687"/>
      <c r="CY231" s="687">
        <f>CN231</f>
        <v>3768.14</v>
      </c>
      <c r="CZ231" s="687"/>
      <c r="DA231" s="687"/>
      <c r="DB231" s="24093" t="s">
        <v>780</v>
      </c>
      <c r="DC231" s="23957" t="s">
        <v>59</v>
      </c>
      <c r="DD231" s="24093" t="s">
        <v>781</v>
      </c>
      <c r="DE231" s="23957" t="s">
        <v>59</v>
      </c>
      <c r="DF231" s="687">
        <v>319.58999999999997</v>
      </c>
      <c r="DG231" s="687">
        <v>46.35</v>
      </c>
      <c r="DH231" s="687"/>
      <c r="DI231" s="687"/>
      <c r="DJ231" s="687">
        <v>4095.97</v>
      </c>
      <c r="DK231" s="687"/>
      <c r="DL231" s="687"/>
      <c r="DM231" s="24093" t="s">
        <v>782</v>
      </c>
      <c r="DN231" s="23957" t="s">
        <v>59</v>
      </c>
      <c r="DO231" s="24093" t="s">
        <v>783</v>
      </c>
      <c r="DP231" s="23957" t="s">
        <v>59</v>
      </c>
      <c r="DQ231" s="687">
        <f>DF231</f>
        <v>319.58999999999997</v>
      </c>
      <c r="DR231" s="687">
        <f>DG231</f>
        <v>46.35</v>
      </c>
      <c r="DS231" s="687"/>
      <c r="DT231" s="687"/>
      <c r="DU231" s="687">
        <f>DJ231</f>
        <v>4095.97</v>
      </c>
      <c r="DV231" s="687"/>
      <c r="DW231" s="687"/>
      <c r="DX231" s="24093" t="s">
        <v>784</v>
      </c>
      <c r="DY231" s="23957" t="s">
        <v>59</v>
      </c>
      <c r="DZ231" s="24093" t="s">
        <v>785</v>
      </c>
      <c r="EA231" s="23957" t="s">
        <v>59</v>
      </c>
      <c r="EB231" s="687">
        <v>342.28</v>
      </c>
      <c r="EC231" s="687">
        <v>49.63</v>
      </c>
      <c r="ED231" s="687"/>
      <c r="EE231" s="687"/>
      <c r="EF231" s="687">
        <v>4386.78</v>
      </c>
      <c r="EG231" s="687"/>
      <c r="EH231" s="687"/>
      <c r="EI231" s="24093" t="s">
        <v>786</v>
      </c>
      <c r="EJ231" s="23957" t="s">
        <v>59</v>
      </c>
      <c r="EK231" s="24093" t="s">
        <v>787</v>
      </c>
      <c r="EL231" s="23957" t="s">
        <v>6</v>
      </c>
      <c r="EM231" s="1286"/>
      <c r="EN231" s="1286"/>
      <c r="EO231" s="1286"/>
      <c r="EP231" s="1286"/>
      <c r="EQ231" s="1286"/>
      <c r="ER231" s="1286"/>
      <c r="ES231" s="1286"/>
      <c r="ET231" s="24086"/>
      <c r="EU231" s="24085" t="s">
        <v>59</v>
      </c>
      <c r="EV231" s="24086"/>
      <c r="EW231" s="24085" t="s">
        <v>59</v>
      </c>
      <c r="EX231" s="1286"/>
      <c r="EY231" s="1286"/>
      <c r="EZ231" s="1286"/>
      <c r="FA231" s="1286"/>
      <c r="FB231" s="1286"/>
      <c r="FC231" s="1286"/>
      <c r="FD231" s="1286"/>
      <c r="FE231" s="24086"/>
      <c r="FF231" s="24085" t="s">
        <v>59</v>
      </c>
      <c r="FG231" s="24086"/>
      <c r="FH231" s="24085" t="s">
        <v>59</v>
      </c>
      <c r="FI231" s="1286"/>
      <c r="FJ231" s="1286"/>
      <c r="FK231" s="1286"/>
      <c r="FL231" s="1286"/>
      <c r="FM231" s="1286"/>
      <c r="FN231" s="1286"/>
      <c r="FO231" s="1286"/>
      <c r="FP231" s="24086"/>
      <c r="FQ231" s="24085" t="s">
        <v>59</v>
      </c>
      <c r="FR231" s="24086"/>
      <c r="FS231" s="24085" t="s">
        <v>59</v>
      </c>
      <c r="FT231" s="1364"/>
      <c r="FU23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31" s="1568" t="e">
        <f ca="1">STRCHECKDATE(V232:FT232)</f>
        <v>#NAME?</v>
      </c>
      <c r="FW231" s="1550"/>
      <c r="FX231" s="1550" t="str">
        <f t="shared" si="3"/>
        <v/>
      </c>
      <c r="FY231" s="1550"/>
      <c r="FZ231" s="1550"/>
      <c r="GA231" s="1561">
        <v>0</v>
      </c>
    </row>
    <row r="232" spans="1:183" s="1747" customFormat="1" ht="14.25" customHeight="1">
      <c r="A232" s="1289"/>
      <c r="B232" s="1289"/>
      <c r="C232" s="1289"/>
      <c r="D232" s="1289"/>
      <c r="E232" s="24089"/>
      <c r="F232" s="24089"/>
      <c r="G232" s="24089"/>
      <c r="H232" s="24089"/>
      <c r="I232" s="24091"/>
      <c r="J232" s="24091" t="str">
        <f>I225&amp;".1"</f>
        <v>1.7.1.1.1</v>
      </c>
      <c r="K232" s="24090"/>
      <c r="L232" s="1295"/>
      <c r="M232" s="1674"/>
      <c r="N232" s="1674"/>
      <c r="O232" s="1674"/>
      <c r="P232" s="24092"/>
      <c r="Q232" s="24092"/>
      <c r="R232" s="293"/>
      <c r="S232" s="1982"/>
      <c r="T232" s="236"/>
      <c r="U232" s="236"/>
      <c r="V232" s="1286"/>
      <c r="W232" s="1286"/>
      <c r="X232" s="1286"/>
      <c r="Y232" s="1286"/>
      <c r="Z232" s="1286"/>
      <c r="AA232" s="1286"/>
      <c r="AB232" s="1286"/>
      <c r="AC232" s="24085"/>
      <c r="AD232" s="24085"/>
      <c r="AE232" s="24085"/>
      <c r="AF232" s="24085"/>
      <c r="AG232" s="261"/>
      <c r="AH232" s="261"/>
      <c r="AI232" s="261"/>
      <c r="AJ232" s="261"/>
      <c r="AK232" s="261"/>
      <c r="AL232" s="261"/>
      <c r="AM232" s="261"/>
      <c r="AN232" s="24094"/>
      <c r="AO232" s="23957"/>
      <c r="AP232" s="24096"/>
      <c r="AQ232" s="23957"/>
      <c r="AR232" s="261"/>
      <c r="AS232" s="261"/>
      <c r="AT232" s="261"/>
      <c r="AU232" s="261"/>
      <c r="AV232" s="261"/>
      <c r="AW232" s="261"/>
      <c r="AX232" s="261"/>
      <c r="AY232" s="24094"/>
      <c r="AZ232" s="23957"/>
      <c r="BA232" s="24094"/>
      <c r="BB232" s="23957"/>
      <c r="BC232" s="261"/>
      <c r="BD232" s="261"/>
      <c r="BE232" s="261"/>
      <c r="BF232" s="261"/>
      <c r="BG232" s="261"/>
      <c r="BH232" s="261"/>
      <c r="BI232" s="261"/>
      <c r="BJ232" s="24094"/>
      <c r="BK232" s="23957"/>
      <c r="BL232" s="24094"/>
      <c r="BM232" s="23957"/>
      <c r="BN232" s="261"/>
      <c r="BO232" s="261"/>
      <c r="BP232" s="261"/>
      <c r="BQ232" s="261"/>
      <c r="BR232" s="261"/>
      <c r="BS232" s="261"/>
      <c r="BT232" s="261"/>
      <c r="BU232" s="24094"/>
      <c r="BV232" s="23957"/>
      <c r="BW232" s="24094"/>
      <c r="BX232" s="23957"/>
      <c r="BY232" s="261"/>
      <c r="BZ232" s="261"/>
      <c r="CA232" s="261"/>
      <c r="CB232" s="261"/>
      <c r="CC232" s="261"/>
      <c r="CD232" s="261"/>
      <c r="CE232" s="261"/>
      <c r="CF232" s="24094"/>
      <c r="CG232" s="23957"/>
      <c r="CH232" s="24094"/>
      <c r="CI232" s="23957"/>
      <c r="CJ232" s="261"/>
      <c r="CK232" s="261"/>
      <c r="CL232" s="261"/>
      <c r="CM232" s="261"/>
      <c r="CN232" s="261"/>
      <c r="CO232" s="261"/>
      <c r="CP232" s="261"/>
      <c r="CQ232" s="24094"/>
      <c r="CR232" s="23957"/>
      <c r="CS232" s="24094"/>
      <c r="CT232" s="23957"/>
      <c r="CU232" s="261"/>
      <c r="CV232" s="261"/>
      <c r="CW232" s="261"/>
      <c r="CX232" s="261"/>
      <c r="CY232" s="261"/>
      <c r="CZ232" s="261"/>
      <c r="DA232" s="261"/>
      <c r="DB232" s="24094"/>
      <c r="DC232" s="23957"/>
      <c r="DD232" s="24094"/>
      <c r="DE232" s="23957"/>
      <c r="DF232" s="261"/>
      <c r="DG232" s="261"/>
      <c r="DH232" s="261"/>
      <c r="DI232" s="261"/>
      <c r="DJ232" s="261"/>
      <c r="DK232" s="261"/>
      <c r="DL232" s="261"/>
      <c r="DM232" s="24094"/>
      <c r="DN232" s="23957"/>
      <c r="DO232" s="24094"/>
      <c r="DP232" s="23957"/>
      <c r="DQ232" s="261"/>
      <c r="DR232" s="261"/>
      <c r="DS232" s="261"/>
      <c r="DT232" s="261"/>
      <c r="DU232" s="261"/>
      <c r="DV232" s="261"/>
      <c r="DW232" s="261"/>
      <c r="DX232" s="24094"/>
      <c r="DY232" s="23957"/>
      <c r="DZ232" s="24094"/>
      <c r="EA232" s="23957"/>
      <c r="EB232" s="261"/>
      <c r="EC232" s="261"/>
      <c r="ED232" s="261"/>
      <c r="EE232" s="261"/>
      <c r="EF232" s="261"/>
      <c r="EG232" s="261"/>
      <c r="EH232" s="261"/>
      <c r="EI232" s="24094"/>
      <c r="EJ232" s="23957"/>
      <c r="EK232" s="24094"/>
      <c r="EL232" s="23957"/>
      <c r="EM232" s="1286"/>
      <c r="EN232" s="1286"/>
      <c r="EO232" s="1286"/>
      <c r="EP232" s="1286"/>
      <c r="EQ232" s="1286"/>
      <c r="ER232" s="1286"/>
      <c r="ES232" s="1286"/>
      <c r="ET232" s="24085"/>
      <c r="EU232" s="24085"/>
      <c r="EV232" s="24085"/>
      <c r="EW232" s="24085"/>
      <c r="EX232" s="1286"/>
      <c r="EY232" s="1286"/>
      <c r="EZ232" s="1286"/>
      <c r="FA232" s="1286"/>
      <c r="FB232" s="1286"/>
      <c r="FC232" s="1286"/>
      <c r="FD232" s="1286"/>
      <c r="FE232" s="24085"/>
      <c r="FF232" s="24085"/>
      <c r="FG232" s="24085"/>
      <c r="FH232" s="24085"/>
      <c r="FI232" s="1286"/>
      <c r="FJ232" s="1286"/>
      <c r="FK232" s="1286"/>
      <c r="FL232" s="1286"/>
      <c r="FM232" s="1286"/>
      <c r="FN232" s="1286"/>
      <c r="FO232" s="1286"/>
      <c r="FP232" s="24085"/>
      <c r="FQ232" s="24085"/>
      <c r="FR232" s="24085"/>
      <c r="FS232" s="24085"/>
      <c r="FT232" s="1365"/>
      <c r="FU232" s="24162"/>
      <c r="FV232" s="1568"/>
      <c r="FW232" s="1550"/>
      <c r="FX232" s="1550" t="str">
        <f t="shared" si="3"/>
        <v/>
      </c>
      <c r="FY232" s="1550"/>
      <c r="FZ232" s="1550"/>
      <c r="GA232" s="1561">
        <v>0</v>
      </c>
    </row>
    <row r="233" spans="1:183" s="1747" customFormat="1" ht="21" customHeight="1">
      <c r="A233" s="1289"/>
      <c r="B233" s="1289"/>
      <c r="C233" s="1289"/>
      <c r="D233" s="1289"/>
      <c r="E233" s="24089"/>
      <c r="F233" s="24089"/>
      <c r="G233" s="24089"/>
      <c r="H233" s="24089"/>
      <c r="I233" s="24091"/>
      <c r="J233" s="24090" t="str">
        <f>I225&amp;".1"</f>
        <v>1.7.1.1.1</v>
      </c>
      <c r="K233" s="1289"/>
      <c r="L233" s="1295"/>
      <c r="M233" s="1674"/>
      <c r="N233" s="1674"/>
      <c r="O233" s="1674"/>
      <c r="P233" s="24092"/>
      <c r="Q233" s="24092"/>
      <c r="R233" s="292"/>
      <c r="S233" s="3731"/>
      <c r="T233" s="3732" t="s">
        <v>712</v>
      </c>
      <c r="U233" s="3733"/>
      <c r="V233" s="3734"/>
      <c r="W233" s="3735"/>
      <c r="X233" s="3736"/>
      <c r="Y233" s="3737"/>
      <c r="Z233" s="3738"/>
      <c r="AA233" s="3739"/>
      <c r="AB233" s="3740"/>
      <c r="AC233" s="3741"/>
      <c r="AD233" s="3742"/>
      <c r="AE233" s="3743"/>
      <c r="AF233" s="3744"/>
      <c r="AG233" s="3745"/>
      <c r="AH233" s="3746"/>
      <c r="AI233" s="3747"/>
      <c r="AJ233" s="3748"/>
      <c r="AK233" s="3749"/>
      <c r="AL233" s="3750"/>
      <c r="AM233" s="3751"/>
      <c r="AN233" s="3752"/>
      <c r="AO233" s="3753"/>
      <c r="AP233" s="3754"/>
      <c r="AQ233" s="3755"/>
      <c r="AR233" s="7243"/>
      <c r="AS233" s="7244"/>
      <c r="AT233" s="7245"/>
      <c r="AU233" s="7246"/>
      <c r="AV233" s="7247"/>
      <c r="AW233" s="7248"/>
      <c r="AX233" s="7249"/>
      <c r="AY233" s="7250"/>
      <c r="AZ233" s="7251"/>
      <c r="BA233" s="7252"/>
      <c r="BB233" s="7253"/>
      <c r="BC233" s="7254"/>
      <c r="BD233" s="7255"/>
      <c r="BE233" s="14135"/>
      <c r="BF233" s="14136"/>
      <c r="BG233" s="21879"/>
      <c r="BH233" s="14137"/>
      <c r="BI233" s="14138"/>
      <c r="BJ233" s="14139"/>
      <c r="BK233" s="14140"/>
      <c r="BL233" s="14141"/>
      <c r="BM233" s="14142"/>
      <c r="BN233" s="3756"/>
      <c r="BO233" s="3757"/>
      <c r="BP233" s="14143"/>
      <c r="BQ233" s="14144"/>
      <c r="BR233" s="3758"/>
      <c r="BS233" s="14145"/>
      <c r="BT233" s="14146"/>
      <c r="BU233" s="14147"/>
      <c r="BV233" s="14148"/>
      <c r="BW233" s="14149"/>
      <c r="BX233" s="14150"/>
      <c r="BY233" s="14151"/>
      <c r="BZ233" s="14152"/>
      <c r="CA233" s="14153"/>
      <c r="CB233" s="14154"/>
      <c r="CC233" s="14155"/>
      <c r="CD233" s="14156"/>
      <c r="CE233" s="14157"/>
      <c r="CF233" s="14158"/>
      <c r="CG233" s="14159"/>
      <c r="CH233" s="14160"/>
      <c r="CI233" s="14161"/>
      <c r="CJ233" s="14162"/>
      <c r="CK233" s="14163"/>
      <c r="CL233" s="14164"/>
      <c r="CM233" s="14165"/>
      <c r="CN233" s="14166"/>
      <c r="CO233" s="14167"/>
      <c r="CP233" s="14168"/>
      <c r="CQ233" s="14169"/>
      <c r="CR233" s="14170"/>
      <c r="CS233" s="14171"/>
      <c r="CT233" s="14172"/>
      <c r="CU233" s="14173"/>
      <c r="CV233" s="14174"/>
      <c r="CW233" s="14175"/>
      <c r="CX233" s="14176"/>
      <c r="CY233" s="14177"/>
      <c r="CZ233" s="14178"/>
      <c r="DA233" s="14179"/>
      <c r="DB233" s="14180"/>
      <c r="DC233" s="14181"/>
      <c r="DD233" s="14182"/>
      <c r="DE233" s="14183"/>
      <c r="DF233" s="14184"/>
      <c r="DG233" s="14185"/>
      <c r="DH233" s="14186"/>
      <c r="DI233" s="14187"/>
      <c r="DJ233" s="14188"/>
      <c r="DK233" s="14189"/>
      <c r="DL233" s="14190"/>
      <c r="DM233" s="14191"/>
      <c r="DN233" s="14192"/>
      <c r="DO233" s="14193"/>
      <c r="DP233" s="14194"/>
      <c r="DQ233" s="14195"/>
      <c r="DR233" s="14196"/>
      <c r="DS233" s="14197"/>
      <c r="DT233" s="14198"/>
      <c r="DU233" s="14199"/>
      <c r="DV233" s="14200"/>
      <c r="DW233" s="14201"/>
      <c r="DX233" s="14202"/>
      <c r="DY233" s="14203"/>
      <c r="DZ233" s="14204"/>
      <c r="EA233" s="14205"/>
      <c r="EB233" s="14206"/>
      <c r="EC233" s="14207"/>
      <c r="ED233" s="14208"/>
      <c r="EE233" s="14209"/>
      <c r="EF233" s="14210"/>
      <c r="EG233" s="14211"/>
      <c r="EH233" s="14212"/>
      <c r="EI233" s="14213"/>
      <c r="EJ233" s="14214"/>
      <c r="EK233" s="14215"/>
      <c r="EL233" s="14216"/>
      <c r="EM233" s="21593"/>
      <c r="EN233" s="21594"/>
      <c r="EO233" s="14217"/>
      <c r="EP233" s="14218"/>
      <c r="EQ233" s="21595"/>
      <c r="ER233" s="14219"/>
      <c r="ES233" s="14220"/>
      <c r="ET233" s="14221"/>
      <c r="EU233" s="14222"/>
      <c r="EV233" s="14223"/>
      <c r="EW233" s="14224"/>
      <c r="EX233" s="3759"/>
      <c r="EY233" s="3760"/>
      <c r="EZ233" s="14225"/>
      <c r="FA233" s="14226"/>
      <c r="FB233" s="3761"/>
      <c r="FC233" s="14227"/>
      <c r="FD233" s="14228"/>
      <c r="FE233" s="14229"/>
      <c r="FF233" s="14230"/>
      <c r="FG233" s="14231"/>
      <c r="FH233" s="5715"/>
      <c r="FI233" s="22764"/>
      <c r="FJ233" s="22765"/>
      <c r="FK233" s="23537"/>
      <c r="FL233" s="23538"/>
      <c r="FM233" s="22766"/>
      <c r="FN233" s="23539"/>
      <c r="FO233" s="23540"/>
      <c r="FP233" s="22767"/>
      <c r="FQ233" s="22768"/>
      <c r="FR233" s="22769"/>
      <c r="FS233" s="23541"/>
      <c r="FT233" s="3762"/>
      <c r="FU233" s="1184" t="s">
        <v>713</v>
      </c>
      <c r="FV233" s="1568"/>
      <c r="FW233" s="1550"/>
      <c r="FX233" s="1550" t="str">
        <f t="shared" si="3"/>
        <v>Добавить значение признака дифференциации</v>
      </c>
      <c r="FY233" s="1550"/>
      <c r="FZ233" s="1550"/>
      <c r="GA233" s="1561">
        <v>0</v>
      </c>
    </row>
    <row r="234" spans="1:183" s="1747" customFormat="1" ht="21" customHeight="1">
      <c r="A234" s="1289"/>
      <c r="B234" s="1289"/>
      <c r="C234" s="1289"/>
      <c r="D234" s="1289"/>
      <c r="E234" s="24089"/>
      <c r="F234" s="24089" t="s">
        <v>83</v>
      </c>
      <c r="G234" s="24089"/>
      <c r="H234" s="24089"/>
      <c r="I234" s="24090"/>
      <c r="J234" s="1289"/>
      <c r="K234" s="1289"/>
      <c r="L234" s="1295"/>
      <c r="M234" s="1674"/>
      <c r="N234" s="1674"/>
      <c r="O234" s="1674"/>
      <c r="P234" s="24092"/>
      <c r="Q234" s="1978"/>
      <c r="R234" s="292"/>
      <c r="S234" s="3763"/>
      <c r="T234" s="3764" t="s">
        <v>641</v>
      </c>
      <c r="U234" s="3765"/>
      <c r="V234" s="3766"/>
      <c r="W234" s="3767"/>
      <c r="X234" s="3768"/>
      <c r="Y234" s="3769"/>
      <c r="Z234" s="3770"/>
      <c r="AA234" s="3771"/>
      <c r="AB234" s="3772"/>
      <c r="AC234" s="3773"/>
      <c r="AD234" s="3774"/>
      <c r="AE234" s="3775"/>
      <c r="AF234" s="3776"/>
      <c r="AG234" s="3777"/>
      <c r="AH234" s="3778"/>
      <c r="AI234" s="3779"/>
      <c r="AJ234" s="3780"/>
      <c r="AK234" s="3781"/>
      <c r="AL234" s="3782"/>
      <c r="AM234" s="3783"/>
      <c r="AN234" s="3784"/>
      <c r="AO234" s="3785"/>
      <c r="AP234" s="3786"/>
      <c r="AQ234" s="3787"/>
      <c r="AR234" s="7256"/>
      <c r="AS234" s="7257"/>
      <c r="AT234" s="7258"/>
      <c r="AU234" s="7259"/>
      <c r="AV234" s="7260"/>
      <c r="AW234" s="7261"/>
      <c r="AX234" s="7262"/>
      <c r="AY234" s="7263"/>
      <c r="AZ234" s="7264"/>
      <c r="BA234" s="7265"/>
      <c r="BB234" s="7266"/>
      <c r="BC234" s="7267"/>
      <c r="BD234" s="7268"/>
      <c r="BE234" s="14232"/>
      <c r="BF234" s="14233"/>
      <c r="BG234" s="21880"/>
      <c r="BH234" s="14234"/>
      <c r="BI234" s="14235"/>
      <c r="BJ234" s="14236"/>
      <c r="BK234" s="14237"/>
      <c r="BL234" s="14238"/>
      <c r="BM234" s="14239"/>
      <c r="BN234" s="3788"/>
      <c r="BO234" s="3789"/>
      <c r="BP234" s="14240"/>
      <c r="BQ234" s="14241"/>
      <c r="BR234" s="3790"/>
      <c r="BS234" s="14242"/>
      <c r="BT234" s="14243"/>
      <c r="BU234" s="14244"/>
      <c r="BV234" s="14245"/>
      <c r="BW234" s="14246"/>
      <c r="BX234" s="14247"/>
      <c r="BY234" s="14248"/>
      <c r="BZ234" s="14249"/>
      <c r="CA234" s="14250"/>
      <c r="CB234" s="14251"/>
      <c r="CC234" s="14252"/>
      <c r="CD234" s="14253"/>
      <c r="CE234" s="14254"/>
      <c r="CF234" s="14255"/>
      <c r="CG234" s="14256"/>
      <c r="CH234" s="14257"/>
      <c r="CI234" s="14258"/>
      <c r="CJ234" s="14259"/>
      <c r="CK234" s="14260"/>
      <c r="CL234" s="14261"/>
      <c r="CM234" s="14262"/>
      <c r="CN234" s="14263"/>
      <c r="CO234" s="14264"/>
      <c r="CP234" s="14265"/>
      <c r="CQ234" s="14266"/>
      <c r="CR234" s="14267"/>
      <c r="CS234" s="14268"/>
      <c r="CT234" s="14269"/>
      <c r="CU234" s="14270"/>
      <c r="CV234" s="14271"/>
      <c r="CW234" s="14272"/>
      <c r="CX234" s="14273"/>
      <c r="CY234" s="14274"/>
      <c r="CZ234" s="14275"/>
      <c r="DA234" s="14276"/>
      <c r="DB234" s="14277"/>
      <c r="DC234" s="14278"/>
      <c r="DD234" s="14279"/>
      <c r="DE234" s="14280"/>
      <c r="DF234" s="14281"/>
      <c r="DG234" s="14282"/>
      <c r="DH234" s="14283"/>
      <c r="DI234" s="14284"/>
      <c r="DJ234" s="14285"/>
      <c r="DK234" s="14286"/>
      <c r="DL234" s="14287"/>
      <c r="DM234" s="14288"/>
      <c r="DN234" s="14289"/>
      <c r="DO234" s="14290"/>
      <c r="DP234" s="14291"/>
      <c r="DQ234" s="14292"/>
      <c r="DR234" s="14293"/>
      <c r="DS234" s="14294"/>
      <c r="DT234" s="14295"/>
      <c r="DU234" s="14296"/>
      <c r="DV234" s="14297"/>
      <c r="DW234" s="14298"/>
      <c r="DX234" s="14299"/>
      <c r="DY234" s="14300"/>
      <c r="DZ234" s="14301"/>
      <c r="EA234" s="14302"/>
      <c r="EB234" s="14303"/>
      <c r="EC234" s="14304"/>
      <c r="ED234" s="14305"/>
      <c r="EE234" s="14306"/>
      <c r="EF234" s="14307"/>
      <c r="EG234" s="14308"/>
      <c r="EH234" s="14309"/>
      <c r="EI234" s="14310"/>
      <c r="EJ234" s="14311"/>
      <c r="EK234" s="14312"/>
      <c r="EL234" s="14313"/>
      <c r="EM234" s="21596"/>
      <c r="EN234" s="21597"/>
      <c r="EO234" s="14314"/>
      <c r="EP234" s="14315"/>
      <c r="EQ234" s="21598"/>
      <c r="ER234" s="14316"/>
      <c r="ES234" s="14317"/>
      <c r="ET234" s="14318"/>
      <c r="EU234" s="14319"/>
      <c r="EV234" s="14320"/>
      <c r="EW234" s="14321"/>
      <c r="EX234" s="3791"/>
      <c r="EY234" s="3792"/>
      <c r="EZ234" s="14322"/>
      <c r="FA234" s="14323"/>
      <c r="FB234" s="3793"/>
      <c r="FC234" s="14324"/>
      <c r="FD234" s="14325"/>
      <c r="FE234" s="14326"/>
      <c r="FF234" s="14327"/>
      <c r="FG234" s="14328"/>
      <c r="FH234" s="5716"/>
      <c r="FI234" s="22770"/>
      <c r="FJ234" s="22771"/>
      <c r="FK234" s="23542"/>
      <c r="FL234" s="23543"/>
      <c r="FM234" s="22772"/>
      <c r="FN234" s="23544"/>
      <c r="FO234" s="23545"/>
      <c r="FP234" s="22773"/>
      <c r="FQ234" s="22774"/>
      <c r="FR234" s="22775"/>
      <c r="FS234" s="23546"/>
      <c r="FT234" s="3794"/>
      <c r="FU234" s="3795"/>
      <c r="FV234" s="1568"/>
      <c r="FW234" s="1550"/>
      <c r="FX234" s="1550" t="str">
        <f t="shared" ref="FX234:FX297" si="4">IF(T234="","",T234)</f>
        <v>Добавить группу потребителей</v>
      </c>
      <c r="FY234" s="1550"/>
      <c r="FZ234" s="1550"/>
      <c r="GA234" s="1561">
        <v>0</v>
      </c>
    </row>
    <row r="235" spans="1:183" s="1747" customFormat="1" ht="21" customHeight="1">
      <c r="A235" s="1289"/>
      <c r="B235" s="1289"/>
      <c r="C235" s="1289"/>
      <c r="D235" s="1289"/>
      <c r="E235" s="24089"/>
      <c r="F235" s="24089" t="s">
        <v>83</v>
      </c>
      <c r="G235" s="24089"/>
      <c r="H235" s="24088"/>
      <c r="I235" s="1289"/>
      <c r="J235" s="1289"/>
      <c r="K235" s="1289"/>
      <c r="L235" s="1295"/>
      <c r="M235" s="1291"/>
      <c r="N235" s="1291"/>
      <c r="O235" s="1292"/>
      <c r="P235" s="1720"/>
      <c r="Q235" s="311"/>
      <c r="R235" s="291"/>
      <c r="S235" s="3796"/>
      <c r="T235" s="3797" t="s">
        <v>714</v>
      </c>
      <c r="U235" s="3798"/>
      <c r="V235" s="3799"/>
      <c r="W235" s="3800"/>
      <c r="X235" s="3801"/>
      <c r="Y235" s="3802"/>
      <c r="Z235" s="3803"/>
      <c r="AA235" s="3804"/>
      <c r="AB235" s="3805"/>
      <c r="AC235" s="3806"/>
      <c r="AD235" s="3807"/>
      <c r="AE235" s="3808"/>
      <c r="AF235" s="3809"/>
      <c r="AG235" s="3810"/>
      <c r="AH235" s="3811"/>
      <c r="AI235" s="3812"/>
      <c r="AJ235" s="3813"/>
      <c r="AK235" s="3814"/>
      <c r="AL235" s="3815"/>
      <c r="AM235" s="3816"/>
      <c r="AN235" s="3817"/>
      <c r="AO235" s="3818"/>
      <c r="AP235" s="3819"/>
      <c r="AQ235" s="3820"/>
      <c r="AR235" s="7269"/>
      <c r="AS235" s="7270"/>
      <c r="AT235" s="7271"/>
      <c r="AU235" s="7272"/>
      <c r="AV235" s="7273"/>
      <c r="AW235" s="7274"/>
      <c r="AX235" s="7275"/>
      <c r="AY235" s="7276"/>
      <c r="AZ235" s="7277"/>
      <c r="BA235" s="7278"/>
      <c r="BB235" s="7279"/>
      <c r="BC235" s="7280"/>
      <c r="BD235" s="7281"/>
      <c r="BE235" s="14329"/>
      <c r="BF235" s="14330"/>
      <c r="BG235" s="21881"/>
      <c r="BH235" s="14331"/>
      <c r="BI235" s="14332"/>
      <c r="BJ235" s="14333"/>
      <c r="BK235" s="14334"/>
      <c r="BL235" s="14335"/>
      <c r="BM235" s="14336"/>
      <c r="BN235" s="3821"/>
      <c r="BO235" s="3822"/>
      <c r="BP235" s="14337"/>
      <c r="BQ235" s="14338"/>
      <c r="BR235" s="3823"/>
      <c r="BS235" s="14339"/>
      <c r="BT235" s="14340"/>
      <c r="BU235" s="14341"/>
      <c r="BV235" s="14342"/>
      <c r="BW235" s="14343"/>
      <c r="BX235" s="14344"/>
      <c r="BY235" s="14345"/>
      <c r="BZ235" s="14346"/>
      <c r="CA235" s="14347"/>
      <c r="CB235" s="14348"/>
      <c r="CC235" s="14349"/>
      <c r="CD235" s="14350"/>
      <c r="CE235" s="14351"/>
      <c r="CF235" s="14352"/>
      <c r="CG235" s="14353"/>
      <c r="CH235" s="14354"/>
      <c r="CI235" s="14355"/>
      <c r="CJ235" s="14356"/>
      <c r="CK235" s="14357"/>
      <c r="CL235" s="14358"/>
      <c r="CM235" s="14359"/>
      <c r="CN235" s="14360"/>
      <c r="CO235" s="14361"/>
      <c r="CP235" s="14362"/>
      <c r="CQ235" s="14363"/>
      <c r="CR235" s="14364"/>
      <c r="CS235" s="14365"/>
      <c r="CT235" s="14366"/>
      <c r="CU235" s="14367"/>
      <c r="CV235" s="14368"/>
      <c r="CW235" s="14369"/>
      <c r="CX235" s="14370"/>
      <c r="CY235" s="14371"/>
      <c r="CZ235" s="14372"/>
      <c r="DA235" s="14373"/>
      <c r="DB235" s="14374"/>
      <c r="DC235" s="14375"/>
      <c r="DD235" s="14376"/>
      <c r="DE235" s="14377"/>
      <c r="DF235" s="14378"/>
      <c r="DG235" s="14379"/>
      <c r="DH235" s="14380"/>
      <c r="DI235" s="14381"/>
      <c r="DJ235" s="14382"/>
      <c r="DK235" s="14383"/>
      <c r="DL235" s="14384"/>
      <c r="DM235" s="14385"/>
      <c r="DN235" s="14386"/>
      <c r="DO235" s="14387"/>
      <c r="DP235" s="14388"/>
      <c r="DQ235" s="14389"/>
      <c r="DR235" s="14390"/>
      <c r="DS235" s="14391"/>
      <c r="DT235" s="14392"/>
      <c r="DU235" s="14393"/>
      <c r="DV235" s="14394"/>
      <c r="DW235" s="14395"/>
      <c r="DX235" s="14396"/>
      <c r="DY235" s="14397"/>
      <c r="DZ235" s="14398"/>
      <c r="EA235" s="14399"/>
      <c r="EB235" s="14400"/>
      <c r="EC235" s="14401"/>
      <c r="ED235" s="14402"/>
      <c r="EE235" s="14403"/>
      <c r="EF235" s="14404"/>
      <c r="EG235" s="14405"/>
      <c r="EH235" s="14406"/>
      <c r="EI235" s="14407"/>
      <c r="EJ235" s="14408"/>
      <c r="EK235" s="14409"/>
      <c r="EL235" s="14410"/>
      <c r="EM235" s="21599"/>
      <c r="EN235" s="21600"/>
      <c r="EO235" s="14411"/>
      <c r="EP235" s="14412"/>
      <c r="EQ235" s="21601"/>
      <c r="ER235" s="14413"/>
      <c r="ES235" s="14414"/>
      <c r="ET235" s="14415"/>
      <c r="EU235" s="14416"/>
      <c r="EV235" s="14417"/>
      <c r="EW235" s="14418"/>
      <c r="EX235" s="3824"/>
      <c r="EY235" s="3825"/>
      <c r="EZ235" s="14419"/>
      <c r="FA235" s="14420"/>
      <c r="FB235" s="3826"/>
      <c r="FC235" s="14421"/>
      <c r="FD235" s="14422"/>
      <c r="FE235" s="14423"/>
      <c r="FF235" s="14424"/>
      <c r="FG235" s="14425"/>
      <c r="FH235" s="5717"/>
      <c r="FI235" s="22776"/>
      <c r="FJ235" s="22777"/>
      <c r="FK235" s="23547"/>
      <c r="FL235" s="23548"/>
      <c r="FM235" s="22778"/>
      <c r="FN235" s="23549"/>
      <c r="FO235" s="23550"/>
      <c r="FP235" s="22779"/>
      <c r="FQ235" s="22780"/>
      <c r="FR235" s="22781"/>
      <c r="FS235" s="23551"/>
      <c r="FT235" s="3827"/>
      <c r="FU235" s="3828"/>
      <c r="FV235" s="1568"/>
      <c r="FW235" s="1550"/>
      <c r="FX235" s="1550" t="str">
        <f t="shared" si="4"/>
        <v>Добавить наименование признака дифференциации</v>
      </c>
      <c r="FY235" s="1550"/>
      <c r="FZ235" s="1550"/>
      <c r="GA235" s="1561">
        <v>0</v>
      </c>
    </row>
    <row r="236" spans="1:183" s="558" customFormat="1" ht="14.25" customHeight="1">
      <c r="A236" s="1269"/>
      <c r="B236" s="1269"/>
      <c r="C236" s="1269"/>
      <c r="D236" s="1269"/>
      <c r="E236" s="24089"/>
      <c r="F236" s="24088" t="s">
        <v>83</v>
      </c>
      <c r="G236" s="1269"/>
      <c r="H236" s="1269"/>
      <c r="I236" s="1269"/>
      <c r="J236" s="1269"/>
      <c r="K236" s="1269"/>
      <c r="L236" s="1471"/>
      <c r="M236" s="1247"/>
      <c r="N236" s="1247"/>
      <c r="O236" s="1568"/>
      <c r="P236" s="1242"/>
      <c r="Q236" s="1270"/>
      <c r="R236" s="1242"/>
      <c r="S236" s="1248"/>
      <c r="T236" s="1251" t="s">
        <v>370</v>
      </c>
      <c r="U236" s="1250"/>
      <c r="V236" s="1250"/>
      <c r="W236" s="1250"/>
      <c r="X236" s="1250"/>
      <c r="Y236" s="1250"/>
      <c r="Z236" s="1250"/>
      <c r="AA236" s="1250"/>
      <c r="AB236" s="1250"/>
      <c r="AC236" s="1250"/>
      <c r="AD236" s="1250"/>
      <c r="AE236" s="1250"/>
      <c r="AF236" s="1250"/>
      <c r="AG236" s="1250"/>
      <c r="AH236" s="1250"/>
      <c r="AI236" s="1250"/>
      <c r="AJ236" s="1250"/>
      <c r="AK236" s="1250"/>
      <c r="AL236" s="1250"/>
      <c r="AM236" s="1250"/>
      <c r="AN236" s="1250"/>
      <c r="AO236" s="1250"/>
      <c r="AP236" s="1250"/>
      <c r="AQ236" s="1250"/>
      <c r="AR236" s="1250"/>
      <c r="AS236" s="1250"/>
      <c r="AT236" s="1250"/>
      <c r="AU236" s="1250"/>
      <c r="AV236" s="1250"/>
      <c r="AW236" s="1250"/>
      <c r="AX236" s="1250"/>
      <c r="AY236" s="1250"/>
      <c r="AZ236" s="1250"/>
      <c r="BA236" s="1250"/>
      <c r="BB236" s="1250"/>
      <c r="BC236" s="1250"/>
      <c r="BD236" s="1250"/>
      <c r="BE236" s="1250"/>
      <c r="BF236" s="1250"/>
      <c r="BG236" s="1250"/>
      <c r="BH236" s="1250"/>
      <c r="BI236" s="1250"/>
      <c r="BJ236" s="1250"/>
      <c r="BK236" s="1250"/>
      <c r="BL236" s="1250"/>
      <c r="BM236" s="1250"/>
      <c r="BN236" s="1250"/>
      <c r="BO236" s="1250"/>
      <c r="BP236" s="1250"/>
      <c r="BQ236" s="1250"/>
      <c r="BR236" s="1250"/>
      <c r="BS236" s="1250"/>
      <c r="BT236" s="1250"/>
      <c r="BU236" s="1250"/>
      <c r="BV236" s="1250"/>
      <c r="BW236" s="1250"/>
      <c r="BX236" s="1250"/>
      <c r="BY236" s="1250"/>
      <c r="BZ236" s="1250"/>
      <c r="CA236" s="1250"/>
      <c r="CB236" s="1250"/>
      <c r="CC236" s="1250"/>
      <c r="CD236" s="1250"/>
      <c r="CE236" s="1250"/>
      <c r="CF236" s="1250"/>
      <c r="CG236" s="1250"/>
      <c r="CH236" s="1250"/>
      <c r="CI236" s="1250"/>
      <c r="CJ236" s="1250"/>
      <c r="CK236" s="1250"/>
      <c r="CL236" s="1250"/>
      <c r="CM236" s="1250"/>
      <c r="CN236" s="1250"/>
      <c r="CO236" s="1250"/>
      <c r="CP236" s="1250"/>
      <c r="CQ236" s="1250"/>
      <c r="CR236" s="1250"/>
      <c r="CS236" s="1250"/>
      <c r="CT236" s="1250"/>
      <c r="CU236" s="1250"/>
      <c r="CV236" s="1250"/>
      <c r="CW236" s="1250"/>
      <c r="CX236" s="1250"/>
      <c r="CY236" s="1250"/>
      <c r="CZ236" s="1250"/>
      <c r="DA236" s="1250"/>
      <c r="DB236" s="1250"/>
      <c r="DC236" s="1250"/>
      <c r="DD236" s="1250"/>
      <c r="DE236" s="1250"/>
      <c r="DF236" s="1250"/>
      <c r="DG236" s="1250"/>
      <c r="DH236" s="1250"/>
      <c r="DI236" s="1250"/>
      <c r="DJ236" s="1250"/>
      <c r="DK236" s="1250"/>
      <c r="DL236" s="1250"/>
      <c r="DM236" s="1250"/>
      <c r="DN236" s="1250"/>
      <c r="DO236" s="1250"/>
      <c r="DP236" s="1250"/>
      <c r="DQ236" s="1250"/>
      <c r="DR236" s="1250"/>
      <c r="DS236" s="1250"/>
      <c r="DT236" s="1250"/>
      <c r="DU236" s="1250"/>
      <c r="DV236" s="1250"/>
      <c r="DW236" s="1250"/>
      <c r="DX236" s="1250"/>
      <c r="DY236" s="1250"/>
      <c r="DZ236" s="1250"/>
      <c r="EA236" s="1250"/>
      <c r="EB236" s="1250"/>
      <c r="EC236" s="1250"/>
      <c r="ED236" s="1250"/>
      <c r="EE236" s="1250"/>
      <c r="EF236" s="1250"/>
      <c r="EG236" s="1250"/>
      <c r="EH236" s="1250"/>
      <c r="EI236" s="1250"/>
      <c r="EJ236" s="1250"/>
      <c r="EK236" s="1250"/>
      <c r="EL236" s="1250"/>
      <c r="EM236" s="1250"/>
      <c r="EN236" s="1250"/>
      <c r="EO236" s="1250"/>
      <c r="EP236" s="1250"/>
      <c r="EQ236" s="1250"/>
      <c r="ER236" s="1250"/>
      <c r="ES236" s="1250"/>
      <c r="ET236" s="1250"/>
      <c r="EU236" s="1250"/>
      <c r="EV236" s="1250"/>
      <c r="EW236" s="1250"/>
      <c r="EX236" s="1250"/>
      <c r="EY236" s="1250"/>
      <c r="EZ236" s="1250"/>
      <c r="FA236" s="1250"/>
      <c r="FB236" s="1250"/>
      <c r="FC236" s="1250"/>
      <c r="FD236" s="1250"/>
      <c r="FE236" s="1250"/>
      <c r="FF236" s="1250"/>
      <c r="FG236" s="1250"/>
      <c r="FH236" s="1250"/>
      <c r="FI236" s="1250"/>
      <c r="FJ236" s="1250"/>
      <c r="FK236" s="1250"/>
      <c r="FL236" s="1250"/>
      <c r="FM236" s="1250"/>
      <c r="FN236" s="1250"/>
      <c r="FO236" s="1250"/>
      <c r="FP236" s="1250"/>
      <c r="FQ236" s="1250"/>
      <c r="FR236" s="1250"/>
      <c r="FS236" s="1250"/>
      <c r="FT236" s="1250"/>
      <c r="FU236" s="1250"/>
      <c r="FV236" s="1568"/>
      <c r="FW236" s="1550"/>
      <c r="FX236" s="1550" t="str">
        <f t="shared" si="4"/>
        <v>Добавить централизованную систему для дифференциации</v>
      </c>
      <c r="FY236" s="1550"/>
      <c r="FZ236" s="1550"/>
      <c r="GA236" s="1568">
        <v>0</v>
      </c>
    </row>
    <row r="237" spans="1:183" s="1747" customFormat="1" ht="23.25" customHeight="1">
      <c r="A237" s="1289"/>
      <c r="B237" s="1289" t="s">
        <v>408</v>
      </c>
      <c r="C237" s="1289"/>
      <c r="D237" s="1289"/>
      <c r="E237" s="24089"/>
      <c r="F237" s="24088" t="s">
        <v>90</v>
      </c>
      <c r="G237" s="1289"/>
      <c r="H237" s="1289"/>
      <c r="I237" s="1289"/>
      <c r="J237" s="1289"/>
      <c r="K237" s="1289"/>
      <c r="L237" s="1295"/>
      <c r="M237" s="1291"/>
      <c r="N237" s="1291"/>
      <c r="O237" s="1291"/>
      <c r="P237" s="1971"/>
      <c r="Q237" s="288"/>
      <c r="R237" s="289"/>
      <c r="S237" s="1976" t="str">
        <f>INDEX(PT_DIFFERENTIATION_NUM_TER,MATCH(B237,PT_DIFFERENTIATION_TER_ID,0))</f>
        <v>1.8</v>
      </c>
      <c r="T237" s="1448" t="s">
        <v>626</v>
      </c>
      <c r="U237" s="236"/>
      <c r="V237" s="24082"/>
      <c r="W237" s="24083"/>
      <c r="X237" s="24083"/>
      <c r="Y237" s="24083"/>
      <c r="Z237" s="24083"/>
      <c r="AA237" s="24083"/>
      <c r="AB237" s="24083"/>
      <c r="AC237" s="24083"/>
      <c r="AD237" s="24083"/>
      <c r="AE237" s="24083"/>
      <c r="AF237" s="24084"/>
      <c r="AG237" s="24082" t="str">
        <f>INDEX(PT_DIFFERENTIATION_TER,MATCH(B237,PT_DIFFERENTIATION_TER_ID,0))</f>
        <v>Территория 8</v>
      </c>
      <c r="AH237" s="24083"/>
      <c r="AI237" s="24083"/>
      <c r="AJ237" s="24083"/>
      <c r="AK237" s="24083"/>
      <c r="AL237" s="24083"/>
      <c r="AM237" s="24083"/>
      <c r="AN237" s="24083"/>
      <c r="AO237" s="24083"/>
      <c r="AP237" s="24083"/>
      <c r="AQ237" s="24083"/>
      <c r="AR237" s="24173"/>
      <c r="AS237" s="24174"/>
      <c r="AT237" s="24174"/>
      <c r="AU237" s="24174"/>
      <c r="AV237" s="24174"/>
      <c r="AW237" s="24174"/>
      <c r="AX237" s="24174"/>
      <c r="AY237" s="24174"/>
      <c r="AZ237" s="24174"/>
      <c r="BA237" s="24174"/>
      <c r="BB237" s="24175"/>
      <c r="BC237" s="24173"/>
      <c r="BD237" s="24174"/>
      <c r="BE237" s="24174"/>
      <c r="BF237" s="24174"/>
      <c r="BG237" s="24174"/>
      <c r="BH237" s="24174"/>
      <c r="BI237" s="24174"/>
      <c r="BJ237" s="24174"/>
      <c r="BK237" s="24174"/>
      <c r="BL237" s="24174"/>
      <c r="BM237" s="24175"/>
      <c r="BN237" s="24082"/>
      <c r="BO237" s="24083"/>
      <c r="BP237" s="24174"/>
      <c r="BQ237" s="24174"/>
      <c r="BR237" s="24083"/>
      <c r="BS237" s="24174"/>
      <c r="BT237" s="24174"/>
      <c r="BU237" s="24174"/>
      <c r="BV237" s="24174"/>
      <c r="BW237" s="24174"/>
      <c r="BX237" s="24175"/>
      <c r="BY237" s="24173"/>
      <c r="BZ237" s="24174"/>
      <c r="CA237" s="24174"/>
      <c r="CB237" s="24174"/>
      <c r="CC237" s="24174"/>
      <c r="CD237" s="24174"/>
      <c r="CE237" s="24174"/>
      <c r="CF237" s="24174"/>
      <c r="CG237" s="24174"/>
      <c r="CH237" s="24174"/>
      <c r="CI237" s="24175"/>
      <c r="CJ237" s="24173"/>
      <c r="CK237" s="24174"/>
      <c r="CL237" s="24174"/>
      <c r="CM237" s="24174"/>
      <c r="CN237" s="24174"/>
      <c r="CO237" s="24174"/>
      <c r="CP237" s="24174"/>
      <c r="CQ237" s="24174"/>
      <c r="CR237" s="24174"/>
      <c r="CS237" s="24174"/>
      <c r="CT237" s="24175"/>
      <c r="CU237" s="24173"/>
      <c r="CV237" s="24174"/>
      <c r="CW237" s="24174"/>
      <c r="CX237" s="24174"/>
      <c r="CY237" s="24174"/>
      <c r="CZ237" s="24174"/>
      <c r="DA237" s="24174"/>
      <c r="DB237" s="24174"/>
      <c r="DC237" s="24174"/>
      <c r="DD237" s="24174"/>
      <c r="DE237" s="24175"/>
      <c r="DF237" s="24173"/>
      <c r="DG237" s="24174"/>
      <c r="DH237" s="24174"/>
      <c r="DI237" s="24174"/>
      <c r="DJ237" s="24174"/>
      <c r="DK237" s="24174"/>
      <c r="DL237" s="24174"/>
      <c r="DM237" s="24174"/>
      <c r="DN237" s="24174"/>
      <c r="DO237" s="24174"/>
      <c r="DP237" s="24175"/>
      <c r="DQ237" s="24173"/>
      <c r="DR237" s="24174"/>
      <c r="DS237" s="24174"/>
      <c r="DT237" s="24174"/>
      <c r="DU237" s="24174"/>
      <c r="DV237" s="24174"/>
      <c r="DW237" s="24174"/>
      <c r="DX237" s="24174"/>
      <c r="DY237" s="24174"/>
      <c r="DZ237" s="24174"/>
      <c r="EA237" s="24175"/>
      <c r="EB237" s="24173"/>
      <c r="EC237" s="24174"/>
      <c r="ED237" s="24174"/>
      <c r="EE237" s="24174"/>
      <c r="EF237" s="24174"/>
      <c r="EG237" s="24174"/>
      <c r="EH237" s="24174"/>
      <c r="EI237" s="24174"/>
      <c r="EJ237" s="24174"/>
      <c r="EK237" s="24174"/>
      <c r="EL237" s="24175"/>
      <c r="EM237" s="24173"/>
      <c r="EN237" s="24174"/>
      <c r="EO237" s="24174"/>
      <c r="EP237" s="24174"/>
      <c r="EQ237" s="24174"/>
      <c r="ER237" s="24174"/>
      <c r="ES237" s="24174"/>
      <c r="ET237" s="24174"/>
      <c r="EU237" s="24174"/>
      <c r="EV237" s="24174"/>
      <c r="EW237" s="24175"/>
      <c r="EX237" s="24082"/>
      <c r="EY237" s="24083"/>
      <c r="EZ237" s="24174"/>
      <c r="FA237" s="24174"/>
      <c r="FB237" s="24083"/>
      <c r="FC237" s="24174"/>
      <c r="FD237" s="24174"/>
      <c r="FE237" s="24174"/>
      <c r="FF237" s="24174"/>
      <c r="FG237" s="24174"/>
      <c r="FH237" s="24175"/>
      <c r="FI237" s="24082"/>
      <c r="FJ237" s="24083"/>
      <c r="FK237" s="24174"/>
      <c r="FL237" s="24174"/>
      <c r="FM237" s="24083"/>
      <c r="FN237" s="24174"/>
      <c r="FO237" s="24174"/>
      <c r="FP237" s="24083"/>
      <c r="FQ237" s="24083"/>
      <c r="FR237" s="24083"/>
      <c r="FS237" s="24175"/>
      <c r="FT237" s="24084"/>
      <c r="FU237" s="1184" t="s">
        <v>627</v>
      </c>
      <c r="FV237" s="1568"/>
      <c r="FW237" s="1550"/>
      <c r="FX237" s="1550" t="str">
        <f t="shared" si="4"/>
        <v>Территория действия тарифа</v>
      </c>
      <c r="FY237" s="1550"/>
      <c r="FZ237" s="1550"/>
      <c r="GA237" s="1561">
        <v>0</v>
      </c>
    </row>
    <row r="238" spans="1:183" s="1747" customFormat="1" ht="23.25" customHeight="1">
      <c r="A238" s="1289"/>
      <c r="B238" s="1289"/>
      <c r="C238" s="1289" t="s">
        <v>409</v>
      </c>
      <c r="D238" s="1289"/>
      <c r="E238" s="24089"/>
      <c r="F238" s="24089" t="s">
        <v>84</v>
      </c>
      <c r="G238" s="24088">
        <v>1</v>
      </c>
      <c r="H238" s="1289"/>
      <c r="I238" s="1289"/>
      <c r="J238" s="1289"/>
      <c r="K238" s="1289"/>
      <c r="L238" s="1295"/>
      <c r="M238" s="1291"/>
      <c r="N238" s="1291"/>
      <c r="O238" s="1291"/>
      <c r="P238" s="290"/>
      <c r="Q238" s="288"/>
      <c r="R238" s="289"/>
      <c r="S238" s="1976" t="str">
        <f>INDEX(PT_DIFFERENTIATION_NUM_CS,MATCH(C238,PT_DIFFERENTIATION_CS_ID,0))</f>
        <v>1.8.1</v>
      </c>
      <c r="T238" s="245" t="s">
        <v>756</v>
      </c>
      <c r="U238" s="236"/>
      <c r="V238" s="24082"/>
      <c r="W238" s="24083"/>
      <c r="X238" s="24083"/>
      <c r="Y238" s="24083"/>
      <c r="Z238" s="24083"/>
      <c r="AA238" s="24083"/>
      <c r="AB238" s="24083"/>
      <c r="AC238" s="24083"/>
      <c r="AD238" s="24083"/>
      <c r="AE238" s="24083"/>
      <c r="AF238" s="24084"/>
      <c r="AG238" s="24082" t="str">
        <f>INDEX(PT_DIFFERENTIATION_CS,MATCH(C238,PT_DIFFERENTIATION_CS_ID,0))</f>
        <v>г. Починок Починковского муниципального округа Смоленской области</v>
      </c>
      <c r="AH238" s="24083"/>
      <c r="AI238" s="24083"/>
      <c r="AJ238" s="24083"/>
      <c r="AK238" s="24083"/>
      <c r="AL238" s="24083"/>
      <c r="AM238" s="24083"/>
      <c r="AN238" s="24083"/>
      <c r="AO238" s="24083"/>
      <c r="AP238" s="24083"/>
      <c r="AQ238" s="24083"/>
      <c r="AR238" s="24173"/>
      <c r="AS238" s="24174"/>
      <c r="AT238" s="24174"/>
      <c r="AU238" s="24174"/>
      <c r="AV238" s="24174"/>
      <c r="AW238" s="24174"/>
      <c r="AX238" s="24174"/>
      <c r="AY238" s="24174"/>
      <c r="AZ238" s="24174"/>
      <c r="BA238" s="24174"/>
      <c r="BB238" s="24175"/>
      <c r="BC238" s="24173"/>
      <c r="BD238" s="24174"/>
      <c r="BE238" s="24174"/>
      <c r="BF238" s="24174"/>
      <c r="BG238" s="24174"/>
      <c r="BH238" s="24174"/>
      <c r="BI238" s="24174"/>
      <c r="BJ238" s="24174"/>
      <c r="BK238" s="24174"/>
      <c r="BL238" s="24174"/>
      <c r="BM238" s="24175"/>
      <c r="BN238" s="24082"/>
      <c r="BO238" s="24083"/>
      <c r="BP238" s="24174"/>
      <c r="BQ238" s="24174"/>
      <c r="BR238" s="24083"/>
      <c r="BS238" s="24174"/>
      <c r="BT238" s="24174"/>
      <c r="BU238" s="24174"/>
      <c r="BV238" s="24174"/>
      <c r="BW238" s="24174"/>
      <c r="BX238" s="24175"/>
      <c r="BY238" s="24173"/>
      <c r="BZ238" s="24174"/>
      <c r="CA238" s="24174"/>
      <c r="CB238" s="24174"/>
      <c r="CC238" s="24174"/>
      <c r="CD238" s="24174"/>
      <c r="CE238" s="24174"/>
      <c r="CF238" s="24174"/>
      <c r="CG238" s="24174"/>
      <c r="CH238" s="24174"/>
      <c r="CI238" s="24175"/>
      <c r="CJ238" s="24173"/>
      <c r="CK238" s="24174"/>
      <c r="CL238" s="24174"/>
      <c r="CM238" s="24174"/>
      <c r="CN238" s="24174"/>
      <c r="CO238" s="24174"/>
      <c r="CP238" s="24174"/>
      <c r="CQ238" s="24174"/>
      <c r="CR238" s="24174"/>
      <c r="CS238" s="24174"/>
      <c r="CT238" s="24175"/>
      <c r="CU238" s="24173"/>
      <c r="CV238" s="24174"/>
      <c r="CW238" s="24174"/>
      <c r="CX238" s="24174"/>
      <c r="CY238" s="24174"/>
      <c r="CZ238" s="24174"/>
      <c r="DA238" s="24174"/>
      <c r="DB238" s="24174"/>
      <c r="DC238" s="24174"/>
      <c r="DD238" s="24174"/>
      <c r="DE238" s="24175"/>
      <c r="DF238" s="24173"/>
      <c r="DG238" s="24174"/>
      <c r="DH238" s="24174"/>
      <c r="DI238" s="24174"/>
      <c r="DJ238" s="24174"/>
      <c r="DK238" s="24174"/>
      <c r="DL238" s="24174"/>
      <c r="DM238" s="24174"/>
      <c r="DN238" s="24174"/>
      <c r="DO238" s="24174"/>
      <c r="DP238" s="24175"/>
      <c r="DQ238" s="24173"/>
      <c r="DR238" s="24174"/>
      <c r="DS238" s="24174"/>
      <c r="DT238" s="24174"/>
      <c r="DU238" s="24174"/>
      <c r="DV238" s="24174"/>
      <c r="DW238" s="24174"/>
      <c r="DX238" s="24174"/>
      <c r="DY238" s="24174"/>
      <c r="DZ238" s="24174"/>
      <c r="EA238" s="24175"/>
      <c r="EB238" s="24173"/>
      <c r="EC238" s="24174"/>
      <c r="ED238" s="24174"/>
      <c r="EE238" s="24174"/>
      <c r="EF238" s="24174"/>
      <c r="EG238" s="24174"/>
      <c r="EH238" s="24174"/>
      <c r="EI238" s="24174"/>
      <c r="EJ238" s="24174"/>
      <c r="EK238" s="24174"/>
      <c r="EL238" s="24175"/>
      <c r="EM238" s="24173"/>
      <c r="EN238" s="24174"/>
      <c r="EO238" s="24174"/>
      <c r="EP238" s="24174"/>
      <c r="EQ238" s="24174"/>
      <c r="ER238" s="24174"/>
      <c r="ES238" s="24174"/>
      <c r="ET238" s="24174"/>
      <c r="EU238" s="24174"/>
      <c r="EV238" s="24174"/>
      <c r="EW238" s="24175"/>
      <c r="EX238" s="24082"/>
      <c r="EY238" s="24083"/>
      <c r="EZ238" s="24174"/>
      <c r="FA238" s="24174"/>
      <c r="FB238" s="24083"/>
      <c r="FC238" s="24174"/>
      <c r="FD238" s="24174"/>
      <c r="FE238" s="24174"/>
      <c r="FF238" s="24174"/>
      <c r="FG238" s="24174"/>
      <c r="FH238" s="24175"/>
      <c r="FI238" s="24082"/>
      <c r="FJ238" s="24083"/>
      <c r="FK238" s="24174"/>
      <c r="FL238" s="24174"/>
      <c r="FM238" s="24083"/>
      <c r="FN238" s="24174"/>
      <c r="FO238" s="24174"/>
      <c r="FP238" s="24083"/>
      <c r="FQ238" s="24083"/>
      <c r="FR238" s="24083"/>
      <c r="FS238" s="24175"/>
      <c r="FT238" s="24084"/>
      <c r="FU238" s="1184" t="s">
        <v>757</v>
      </c>
      <c r="FV238" s="1568"/>
      <c r="FW238" s="1550"/>
      <c r="FX238" s="1550" t="str">
        <f t="shared" si="4"/>
        <v>Наименование централизованной системы горячего водоснабжения</v>
      </c>
      <c r="FY238" s="1550"/>
      <c r="FZ238" s="1550"/>
      <c r="GA238" s="1561">
        <v>0</v>
      </c>
    </row>
    <row r="239" spans="1:183" s="1747" customFormat="1" ht="23.25" customHeight="1">
      <c r="A239" s="1289"/>
      <c r="B239" s="1289"/>
      <c r="C239" s="1289"/>
      <c r="D239" s="1289"/>
      <c r="E239" s="24089"/>
      <c r="F239" s="24089" t="s">
        <v>84</v>
      </c>
      <c r="G239" s="24089"/>
      <c r="H239" s="24089"/>
      <c r="I239" s="24090" t="str">
        <f>S238&amp;".1"</f>
        <v>1.8.1.1</v>
      </c>
      <c r="J239" s="1289"/>
      <c r="K239" s="1289"/>
      <c r="L239" s="1295"/>
      <c r="M239" s="1674"/>
      <c r="N239" s="1674"/>
      <c r="O239" s="1674"/>
      <c r="P239" s="24092">
        <v>1</v>
      </c>
      <c r="Q239" s="1978"/>
      <c r="R239" s="292"/>
      <c r="S239" s="1976" t="str">
        <f>$I239</f>
        <v>1.8.1.1</v>
      </c>
      <c r="T239" s="221" t="s">
        <v>709</v>
      </c>
      <c r="U239" s="236"/>
      <c r="V239" s="24156"/>
      <c r="W239" s="24157"/>
      <c r="X239" s="24157"/>
      <c r="Y239" s="24157"/>
      <c r="Z239" s="24157"/>
      <c r="AA239" s="24157"/>
      <c r="AB239" s="24157"/>
      <c r="AC239" s="24157"/>
      <c r="AD239" s="24157"/>
      <c r="AE239" s="24157"/>
      <c r="AF239" s="24158"/>
      <c r="AG239" s="24159"/>
      <c r="AH239" s="24160"/>
      <c r="AI239" s="24160"/>
      <c r="AJ239" s="24160"/>
      <c r="AK239" s="24160"/>
      <c r="AL239" s="24160"/>
      <c r="AM239" s="24160"/>
      <c r="AN239" s="24160"/>
      <c r="AO239" s="24160"/>
      <c r="AP239" s="24160"/>
      <c r="AQ239" s="24160"/>
      <c r="AR239" s="24176"/>
      <c r="AS239" s="24177"/>
      <c r="AT239" s="24177"/>
      <c r="AU239" s="24177"/>
      <c r="AV239" s="24177"/>
      <c r="AW239" s="24177"/>
      <c r="AX239" s="24177"/>
      <c r="AY239" s="24177"/>
      <c r="AZ239" s="24177"/>
      <c r="BA239" s="24177"/>
      <c r="BB239" s="24178"/>
      <c r="BC239" s="24176"/>
      <c r="BD239" s="24177"/>
      <c r="BE239" s="24177"/>
      <c r="BF239" s="24177"/>
      <c r="BG239" s="24177"/>
      <c r="BH239" s="24177"/>
      <c r="BI239" s="24177"/>
      <c r="BJ239" s="24177"/>
      <c r="BK239" s="24177"/>
      <c r="BL239" s="24177"/>
      <c r="BM239" s="24178"/>
      <c r="BN239" s="24156"/>
      <c r="BO239" s="24157"/>
      <c r="BP239" s="24177"/>
      <c r="BQ239" s="24177"/>
      <c r="BR239" s="24157"/>
      <c r="BS239" s="24177"/>
      <c r="BT239" s="24177"/>
      <c r="BU239" s="24177"/>
      <c r="BV239" s="24177"/>
      <c r="BW239" s="24177"/>
      <c r="BX239" s="24178"/>
      <c r="BY239" s="24176"/>
      <c r="BZ239" s="24177"/>
      <c r="CA239" s="24177"/>
      <c r="CB239" s="24177"/>
      <c r="CC239" s="24177"/>
      <c r="CD239" s="24177"/>
      <c r="CE239" s="24177"/>
      <c r="CF239" s="24177"/>
      <c r="CG239" s="24177"/>
      <c r="CH239" s="24177"/>
      <c r="CI239" s="24178"/>
      <c r="CJ239" s="24176"/>
      <c r="CK239" s="24177"/>
      <c r="CL239" s="24177"/>
      <c r="CM239" s="24177"/>
      <c r="CN239" s="24177"/>
      <c r="CO239" s="24177"/>
      <c r="CP239" s="24177"/>
      <c r="CQ239" s="24177"/>
      <c r="CR239" s="24177"/>
      <c r="CS239" s="24177"/>
      <c r="CT239" s="24178"/>
      <c r="CU239" s="24176"/>
      <c r="CV239" s="24177"/>
      <c r="CW239" s="24177"/>
      <c r="CX239" s="24177"/>
      <c r="CY239" s="24177"/>
      <c r="CZ239" s="24177"/>
      <c r="DA239" s="24177"/>
      <c r="DB239" s="24177"/>
      <c r="DC239" s="24177"/>
      <c r="DD239" s="24177"/>
      <c r="DE239" s="24178"/>
      <c r="DF239" s="24176"/>
      <c r="DG239" s="24177"/>
      <c r="DH239" s="24177"/>
      <c r="DI239" s="24177"/>
      <c r="DJ239" s="24177"/>
      <c r="DK239" s="24177"/>
      <c r="DL239" s="24177"/>
      <c r="DM239" s="24177"/>
      <c r="DN239" s="24177"/>
      <c r="DO239" s="24177"/>
      <c r="DP239" s="24178"/>
      <c r="DQ239" s="24176"/>
      <c r="DR239" s="24177"/>
      <c r="DS239" s="24177"/>
      <c r="DT239" s="24177"/>
      <c r="DU239" s="24177"/>
      <c r="DV239" s="24177"/>
      <c r="DW239" s="24177"/>
      <c r="DX239" s="24177"/>
      <c r="DY239" s="24177"/>
      <c r="DZ239" s="24177"/>
      <c r="EA239" s="24178"/>
      <c r="EB239" s="24176"/>
      <c r="EC239" s="24177"/>
      <c r="ED239" s="24177"/>
      <c r="EE239" s="24177"/>
      <c r="EF239" s="24177"/>
      <c r="EG239" s="24177"/>
      <c r="EH239" s="24177"/>
      <c r="EI239" s="24177"/>
      <c r="EJ239" s="24177"/>
      <c r="EK239" s="24177"/>
      <c r="EL239" s="24178"/>
      <c r="EM239" s="24176"/>
      <c r="EN239" s="24177"/>
      <c r="EO239" s="24177"/>
      <c r="EP239" s="24177"/>
      <c r="EQ239" s="24177"/>
      <c r="ER239" s="24177"/>
      <c r="ES239" s="24177"/>
      <c r="ET239" s="24177"/>
      <c r="EU239" s="24177"/>
      <c r="EV239" s="24177"/>
      <c r="EW239" s="24178"/>
      <c r="EX239" s="24156"/>
      <c r="EY239" s="24157"/>
      <c r="EZ239" s="24177"/>
      <c r="FA239" s="24177"/>
      <c r="FB239" s="24157"/>
      <c r="FC239" s="24177"/>
      <c r="FD239" s="24177"/>
      <c r="FE239" s="24177"/>
      <c r="FF239" s="24177"/>
      <c r="FG239" s="24177"/>
      <c r="FH239" s="24178"/>
      <c r="FI239" s="24156"/>
      <c r="FJ239" s="24157"/>
      <c r="FK239" s="24177"/>
      <c r="FL239" s="24177"/>
      <c r="FM239" s="24157"/>
      <c r="FN239" s="24177"/>
      <c r="FO239" s="24177"/>
      <c r="FP239" s="24157"/>
      <c r="FQ239" s="24157"/>
      <c r="FR239" s="24157"/>
      <c r="FS239" s="24178"/>
      <c r="FT239" s="24161"/>
      <c r="FU239" s="1184" t="s">
        <v>710</v>
      </c>
      <c r="FV239" s="1568"/>
      <c r="FW239" s="1550"/>
      <c r="FX239" s="1550" t="str">
        <f t="shared" si="4"/>
        <v>Наименование признака дифференциации</v>
      </c>
      <c r="FY239" s="1550"/>
      <c r="FZ239" s="1550"/>
      <c r="GA239" s="1561">
        <v>0</v>
      </c>
    </row>
    <row r="240" spans="1:183" s="1747" customFormat="1" ht="23.25" customHeight="1">
      <c r="A240" s="1289"/>
      <c r="B240" s="1289"/>
      <c r="C240" s="1289"/>
      <c r="D240" s="1289"/>
      <c r="E240" s="24089"/>
      <c r="F240" s="24089" t="s">
        <v>84</v>
      </c>
      <c r="G240" s="24089"/>
      <c r="H240" s="24089"/>
      <c r="I240" s="24091"/>
      <c r="J240" s="24090" t="str">
        <f>I239&amp;".1"</f>
        <v>1.8.1.1.1</v>
      </c>
      <c r="K240" s="1289"/>
      <c r="L240" s="1295" t="s">
        <v>635</v>
      </c>
      <c r="M240" s="1674"/>
      <c r="N240" s="1674"/>
      <c r="O240" s="1674"/>
      <c r="P240" s="24092"/>
      <c r="Q240" s="24092">
        <v>1</v>
      </c>
      <c r="R240" s="293"/>
      <c r="S240" s="1976" t="str">
        <f>$J240</f>
        <v>1.8.1.1.1</v>
      </c>
      <c r="T240" s="222" t="s">
        <v>636</v>
      </c>
      <c r="U240" s="236"/>
      <c r="V240" s="24076"/>
      <c r="W240" s="24077"/>
      <c r="X240" s="24077"/>
      <c r="Y240" s="24077"/>
      <c r="Z240" s="24077"/>
      <c r="AA240" s="24077"/>
      <c r="AB240" s="24077"/>
      <c r="AC240" s="24077"/>
      <c r="AD240" s="24077"/>
      <c r="AE240" s="24077"/>
      <c r="AF240" s="24078"/>
      <c r="AG240" s="24076" t="s">
        <v>769</v>
      </c>
      <c r="AH240" s="24077"/>
      <c r="AI240" s="24077"/>
      <c r="AJ240" s="24077"/>
      <c r="AK240" s="24077"/>
      <c r="AL240" s="24077"/>
      <c r="AM240" s="24077"/>
      <c r="AN240" s="24077"/>
      <c r="AO240" s="24077"/>
      <c r="AP240" s="24077"/>
      <c r="AQ240" s="24077"/>
      <c r="AR240" s="24179"/>
      <c r="AS240" s="24180"/>
      <c r="AT240" s="24180"/>
      <c r="AU240" s="24180"/>
      <c r="AV240" s="24180"/>
      <c r="AW240" s="24180"/>
      <c r="AX240" s="24180"/>
      <c r="AY240" s="24180"/>
      <c r="AZ240" s="24180"/>
      <c r="BA240" s="24180"/>
      <c r="BB240" s="24181"/>
      <c r="BC240" s="24179"/>
      <c r="BD240" s="24180"/>
      <c r="BE240" s="24180"/>
      <c r="BF240" s="24180"/>
      <c r="BG240" s="24180"/>
      <c r="BH240" s="24180"/>
      <c r="BI240" s="24180"/>
      <c r="BJ240" s="24180"/>
      <c r="BK240" s="24180"/>
      <c r="BL240" s="24180"/>
      <c r="BM240" s="24181"/>
      <c r="BN240" s="24076"/>
      <c r="BO240" s="24077"/>
      <c r="BP240" s="24180"/>
      <c r="BQ240" s="24180"/>
      <c r="BR240" s="24077"/>
      <c r="BS240" s="24180"/>
      <c r="BT240" s="24180"/>
      <c r="BU240" s="24180"/>
      <c r="BV240" s="24180"/>
      <c r="BW240" s="24180"/>
      <c r="BX240" s="24181"/>
      <c r="BY240" s="24179"/>
      <c r="BZ240" s="24180"/>
      <c r="CA240" s="24180"/>
      <c r="CB240" s="24180"/>
      <c r="CC240" s="24180"/>
      <c r="CD240" s="24180"/>
      <c r="CE240" s="24180"/>
      <c r="CF240" s="24180"/>
      <c r="CG240" s="24180"/>
      <c r="CH240" s="24180"/>
      <c r="CI240" s="24181"/>
      <c r="CJ240" s="24179"/>
      <c r="CK240" s="24180"/>
      <c r="CL240" s="24180"/>
      <c r="CM240" s="24180"/>
      <c r="CN240" s="24180"/>
      <c r="CO240" s="24180"/>
      <c r="CP240" s="24180"/>
      <c r="CQ240" s="24180"/>
      <c r="CR240" s="24180"/>
      <c r="CS240" s="24180"/>
      <c r="CT240" s="24181"/>
      <c r="CU240" s="24179"/>
      <c r="CV240" s="24180"/>
      <c r="CW240" s="24180"/>
      <c r="CX240" s="24180"/>
      <c r="CY240" s="24180"/>
      <c r="CZ240" s="24180"/>
      <c r="DA240" s="24180"/>
      <c r="DB240" s="24180"/>
      <c r="DC240" s="24180"/>
      <c r="DD240" s="24180"/>
      <c r="DE240" s="24181"/>
      <c r="DF240" s="24179"/>
      <c r="DG240" s="24180"/>
      <c r="DH240" s="24180"/>
      <c r="DI240" s="24180"/>
      <c r="DJ240" s="24180"/>
      <c r="DK240" s="24180"/>
      <c r="DL240" s="24180"/>
      <c r="DM240" s="24180"/>
      <c r="DN240" s="24180"/>
      <c r="DO240" s="24180"/>
      <c r="DP240" s="24181"/>
      <c r="DQ240" s="24179"/>
      <c r="DR240" s="24180"/>
      <c r="DS240" s="24180"/>
      <c r="DT240" s="24180"/>
      <c r="DU240" s="24180"/>
      <c r="DV240" s="24180"/>
      <c r="DW240" s="24180"/>
      <c r="DX240" s="24180"/>
      <c r="DY240" s="24180"/>
      <c r="DZ240" s="24180"/>
      <c r="EA240" s="24181"/>
      <c r="EB240" s="24179"/>
      <c r="EC240" s="24180"/>
      <c r="ED240" s="24180"/>
      <c r="EE240" s="24180"/>
      <c r="EF240" s="24180"/>
      <c r="EG240" s="24180"/>
      <c r="EH240" s="24180"/>
      <c r="EI240" s="24180"/>
      <c r="EJ240" s="24180"/>
      <c r="EK240" s="24180"/>
      <c r="EL240" s="24181"/>
      <c r="EM240" s="24179"/>
      <c r="EN240" s="24180"/>
      <c r="EO240" s="24180"/>
      <c r="EP240" s="24180"/>
      <c r="EQ240" s="24180"/>
      <c r="ER240" s="24180"/>
      <c r="ES240" s="24180"/>
      <c r="ET240" s="24180"/>
      <c r="EU240" s="24180"/>
      <c r="EV240" s="24180"/>
      <c r="EW240" s="24181"/>
      <c r="EX240" s="24076"/>
      <c r="EY240" s="24077"/>
      <c r="EZ240" s="24180"/>
      <c r="FA240" s="24180"/>
      <c r="FB240" s="24077"/>
      <c r="FC240" s="24180"/>
      <c r="FD240" s="24180"/>
      <c r="FE240" s="24180"/>
      <c r="FF240" s="24180"/>
      <c r="FG240" s="24180"/>
      <c r="FH240" s="24181"/>
      <c r="FI240" s="24076"/>
      <c r="FJ240" s="24077"/>
      <c r="FK240" s="24180"/>
      <c r="FL240" s="24180"/>
      <c r="FM240" s="24077"/>
      <c r="FN240" s="24180"/>
      <c r="FO240" s="24180"/>
      <c r="FP240" s="24077"/>
      <c r="FQ240" s="24077"/>
      <c r="FR240" s="24077"/>
      <c r="FS240" s="24181"/>
      <c r="FT240" s="24078"/>
      <c r="FU240" s="1233" t="s">
        <v>711</v>
      </c>
      <c r="FV240" s="1568"/>
      <c r="FW240" s="1550"/>
      <c r="FX240" s="1550" t="str">
        <f t="shared" si="4"/>
        <v>Группа потребителей</v>
      </c>
      <c r="FY240" s="1550"/>
      <c r="FZ240" s="1550"/>
      <c r="GA240" s="1561">
        <v>0</v>
      </c>
    </row>
    <row r="241" spans="1:183" s="1747" customFormat="1" ht="23.25" customHeight="1">
      <c r="A241" s="1289"/>
      <c r="B241" s="1289"/>
      <c r="C241" s="1289"/>
      <c r="D241" s="1289"/>
      <c r="E241" s="24089"/>
      <c r="F241" s="24089" t="s">
        <v>84</v>
      </c>
      <c r="G241" s="24089"/>
      <c r="H241" s="24089"/>
      <c r="I241" s="24091"/>
      <c r="J241" s="24091"/>
      <c r="K241" s="24090" t="str">
        <f>J240&amp;".1"</f>
        <v>1.8.1.1.1.1</v>
      </c>
      <c r="L241" s="1295"/>
      <c r="M241" s="1674"/>
      <c r="N241" s="1674"/>
      <c r="O241" s="1674"/>
      <c r="P241" s="24092"/>
      <c r="Q241" s="24092"/>
      <c r="R241" s="293">
        <v>1</v>
      </c>
      <c r="S241" s="1976" t="str">
        <f>$K241</f>
        <v>1.8.1.1.1.1</v>
      </c>
      <c r="T241" s="1363"/>
      <c r="U241" s="236"/>
      <c r="V241" s="1286"/>
      <c r="W241" s="1286"/>
      <c r="X241" s="1286"/>
      <c r="Y241" s="1286"/>
      <c r="Z241" s="1286"/>
      <c r="AA241" s="1286"/>
      <c r="AB241" s="1286"/>
      <c r="AC241" s="24086"/>
      <c r="AD241" s="24085" t="s">
        <v>59</v>
      </c>
      <c r="AE241" s="24086"/>
      <c r="AF241" s="24085" t="s">
        <v>59</v>
      </c>
      <c r="AG241" s="687">
        <v>257.16000000000003</v>
      </c>
      <c r="AH241" s="687">
        <v>44.4</v>
      </c>
      <c r="AI241" s="687"/>
      <c r="AJ241" s="687"/>
      <c r="AK241" s="687">
        <v>3263.74</v>
      </c>
      <c r="AL241" s="687"/>
      <c r="AM241" s="687"/>
      <c r="AN241" s="24093" t="s">
        <v>9</v>
      </c>
      <c r="AO241" s="23957" t="s">
        <v>59</v>
      </c>
      <c r="AP241" s="24095">
        <v>45456</v>
      </c>
      <c r="AQ241" s="23957" t="s">
        <v>59</v>
      </c>
      <c r="AR241" s="687">
        <v>282.95</v>
      </c>
      <c r="AS241" s="687">
        <v>70.19</v>
      </c>
      <c r="AT241" s="687"/>
      <c r="AU241" s="687"/>
      <c r="AV241" s="687">
        <v>3263.74</v>
      </c>
      <c r="AW241" s="687"/>
      <c r="AX241" s="687"/>
      <c r="AY241" s="24093">
        <v>45457</v>
      </c>
      <c r="AZ241" s="23957" t="s">
        <v>59</v>
      </c>
      <c r="BA241" s="24093">
        <v>45473</v>
      </c>
      <c r="BB241" s="23957" t="s">
        <v>59</v>
      </c>
      <c r="BC241" s="687">
        <v>307.85000000000002</v>
      </c>
      <c r="BD241" s="687">
        <v>70.19</v>
      </c>
      <c r="BE241" s="687"/>
      <c r="BF241" s="687"/>
      <c r="BG241" s="687">
        <v>3645.6</v>
      </c>
      <c r="BH241" s="687"/>
      <c r="BI241" s="687"/>
      <c r="BJ241" s="24093">
        <v>45474</v>
      </c>
      <c r="BK241" s="23957" t="s">
        <v>59</v>
      </c>
      <c r="BL241" s="24093">
        <v>45657</v>
      </c>
      <c r="BM241" s="23957" t="s">
        <v>59</v>
      </c>
      <c r="BN241" s="687">
        <v>307.85000000000002</v>
      </c>
      <c r="BO241" s="687">
        <v>70.19</v>
      </c>
      <c r="BP241" s="687"/>
      <c r="BQ241" s="687"/>
      <c r="BR241" s="687">
        <v>3645.6</v>
      </c>
      <c r="BS241" s="687"/>
      <c r="BT241" s="687"/>
      <c r="BU241" s="24093">
        <v>45658</v>
      </c>
      <c r="BV241" s="23957" t="s">
        <v>59</v>
      </c>
      <c r="BW241" s="24093">
        <v>45838</v>
      </c>
      <c r="BX241" s="23957" t="s">
        <v>59</v>
      </c>
      <c r="BY241" s="687">
        <v>336.41</v>
      </c>
      <c r="BZ241" s="687">
        <v>70.5</v>
      </c>
      <c r="CA241" s="687"/>
      <c r="CB241" s="687"/>
      <c r="CC241" s="687">
        <v>4078.94</v>
      </c>
      <c r="CD241" s="687"/>
      <c r="CE241" s="687"/>
      <c r="CF241" s="24093">
        <v>45839</v>
      </c>
      <c r="CG241" s="23957" t="s">
        <v>59</v>
      </c>
      <c r="CH241" s="24093">
        <v>45930</v>
      </c>
      <c r="CI241" s="23957" t="s">
        <v>59</v>
      </c>
      <c r="CJ241" s="687">
        <v>333.05</v>
      </c>
      <c r="CK241" s="687">
        <v>67.14</v>
      </c>
      <c r="CL241" s="687"/>
      <c r="CM241" s="687"/>
      <c r="CN241" s="687">
        <v>4078.94</v>
      </c>
      <c r="CO241" s="687"/>
      <c r="CP241" s="687"/>
      <c r="CQ241" s="24093">
        <v>45931</v>
      </c>
      <c r="CR241" s="23957" t="s">
        <v>59</v>
      </c>
      <c r="CS241" s="24093">
        <v>46022</v>
      </c>
      <c r="CT241" s="23957" t="s">
        <v>59</v>
      </c>
      <c r="CU241" s="687">
        <v>334.19</v>
      </c>
      <c r="CV241" s="687">
        <v>68.28</v>
      </c>
      <c r="CW241" s="687"/>
      <c r="CX241" s="687"/>
      <c r="CY241" s="687">
        <v>4078.94</v>
      </c>
      <c r="CZ241" s="687"/>
      <c r="DA241" s="687"/>
      <c r="DB241" s="24093">
        <v>46023</v>
      </c>
      <c r="DC241" s="23957" t="s">
        <v>59</v>
      </c>
      <c r="DD241" s="24185">
        <v>46295</v>
      </c>
      <c r="DE241" s="23957" t="s">
        <v>59</v>
      </c>
      <c r="DF241" s="687">
        <v>368.89</v>
      </c>
      <c r="DG241" s="687">
        <v>76.47</v>
      </c>
      <c r="DH241" s="687"/>
      <c r="DI241" s="687"/>
      <c r="DJ241" s="687">
        <v>4485.6000000000004</v>
      </c>
      <c r="DK241" s="687"/>
      <c r="DL241" s="687"/>
      <c r="DM241" s="24185">
        <v>46296</v>
      </c>
      <c r="DN241" s="23957" t="s">
        <v>59</v>
      </c>
      <c r="DO241" s="24093">
        <v>46387</v>
      </c>
      <c r="DP241" s="23957" t="s">
        <v>59</v>
      </c>
      <c r="DQ241" s="687">
        <f>DF241</f>
        <v>368.89</v>
      </c>
      <c r="DR241" s="687">
        <f>DG241</f>
        <v>76.47</v>
      </c>
      <c r="DS241" s="687"/>
      <c r="DT241" s="687"/>
      <c r="DU241" s="687">
        <f>DJ241</f>
        <v>4485.6000000000004</v>
      </c>
      <c r="DV241" s="687"/>
      <c r="DW241" s="687"/>
      <c r="DX241" s="24093">
        <v>46388</v>
      </c>
      <c r="DY241" s="23957" t="s">
        <v>59</v>
      </c>
      <c r="DZ241" s="24093">
        <v>46568</v>
      </c>
      <c r="EA241" s="23957" t="s">
        <v>59</v>
      </c>
      <c r="EB241" s="687">
        <v>402.35</v>
      </c>
      <c r="EC241" s="687">
        <v>84.49</v>
      </c>
      <c r="ED241" s="687"/>
      <c r="EE241" s="687"/>
      <c r="EF241" s="687">
        <v>4875.8500000000004</v>
      </c>
      <c r="EG241" s="687"/>
      <c r="EH241" s="687"/>
      <c r="EI241" s="24093">
        <v>46569</v>
      </c>
      <c r="EJ241" s="23957" t="s">
        <v>59</v>
      </c>
      <c r="EK241" s="24093">
        <v>46752</v>
      </c>
      <c r="EL241" s="23957" t="s">
        <v>59</v>
      </c>
      <c r="EM241" s="687">
        <v>317.86</v>
      </c>
      <c r="EN241" s="687">
        <v>0</v>
      </c>
      <c r="EO241" s="687"/>
      <c r="EP241" s="687"/>
      <c r="EQ241" s="687">
        <f>EF241</f>
        <v>4875.8500000000004</v>
      </c>
      <c r="ER241" s="687"/>
      <c r="ES241" s="687"/>
      <c r="ET241" s="24093">
        <v>46753.558136574073</v>
      </c>
      <c r="EU241" s="23957" t="s">
        <v>59</v>
      </c>
      <c r="EV241" s="24095">
        <v>46934.558310185188</v>
      </c>
      <c r="EW241" s="23957" t="s">
        <v>59</v>
      </c>
      <c r="EX241" s="687">
        <v>339.59</v>
      </c>
      <c r="EY241" s="687">
        <v>0</v>
      </c>
      <c r="EZ241" s="687"/>
      <c r="FA241" s="687"/>
      <c r="FB241" s="687">
        <v>5209.29</v>
      </c>
      <c r="FC241" s="687"/>
      <c r="FD241" s="687"/>
      <c r="FE241" s="24093">
        <v>46935.558807870373</v>
      </c>
      <c r="FF241" s="23957" t="s">
        <v>59</v>
      </c>
      <c r="FG241" s="24095">
        <v>47118.558900462966</v>
      </c>
      <c r="FH241" s="24205" t="s">
        <v>6</v>
      </c>
      <c r="FI241" s="1286"/>
      <c r="FJ241" s="1286"/>
      <c r="FK241" s="6354"/>
      <c r="FL241" s="6354"/>
      <c r="FM241" s="1286"/>
      <c r="FN241" s="6354"/>
      <c r="FO241" s="6354"/>
      <c r="FP241" s="24086"/>
      <c r="FQ241" s="24085" t="s">
        <v>59</v>
      </c>
      <c r="FR241" s="24086"/>
      <c r="FS241" s="24208" t="s">
        <v>59</v>
      </c>
      <c r="FT241" s="1364"/>
      <c r="FU24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41" s="1568" t="e">
        <f ca="1">STRCHECKDATE(V242:FT242)</f>
        <v>#NAME?</v>
      </c>
      <c r="FW241" s="1550"/>
      <c r="FX241" s="1550" t="str">
        <f t="shared" si="4"/>
        <v/>
      </c>
      <c r="FY241" s="1550"/>
      <c r="FZ241" s="1550"/>
      <c r="GA241" s="1561">
        <v>0</v>
      </c>
    </row>
    <row r="242" spans="1:183" s="1747" customFormat="1" ht="14.25" customHeight="1">
      <c r="A242" s="1289"/>
      <c r="B242" s="1289"/>
      <c r="C242" s="1289"/>
      <c r="D242" s="1289"/>
      <c r="E242" s="24089"/>
      <c r="F242" s="24089" t="s">
        <v>84</v>
      </c>
      <c r="G242" s="24089"/>
      <c r="H242" s="24089"/>
      <c r="I242" s="24091"/>
      <c r="J242" s="24091"/>
      <c r="K242" s="24090"/>
      <c r="L242" s="1295"/>
      <c r="M242" s="1674"/>
      <c r="N242" s="1674"/>
      <c r="O242" s="1674"/>
      <c r="P242" s="24092"/>
      <c r="Q242" s="24092"/>
      <c r="R242" s="293"/>
      <c r="S242" s="1982"/>
      <c r="T242" s="236"/>
      <c r="U242" s="236"/>
      <c r="V242" s="1286"/>
      <c r="W242" s="1286"/>
      <c r="X242" s="1286"/>
      <c r="Y242" s="1286"/>
      <c r="Z242" s="1286"/>
      <c r="AA242" s="1286"/>
      <c r="AB242" s="1286"/>
      <c r="AC242" s="24085"/>
      <c r="AD242" s="24085"/>
      <c r="AE242" s="24085"/>
      <c r="AF242" s="24085"/>
      <c r="AG242" s="261"/>
      <c r="AH242" s="261"/>
      <c r="AI242" s="261"/>
      <c r="AJ242" s="261"/>
      <c r="AK242" s="261"/>
      <c r="AL242" s="261"/>
      <c r="AM242" s="261"/>
      <c r="AN242" s="24094"/>
      <c r="AO242" s="23957"/>
      <c r="AP242" s="24096"/>
      <c r="AQ242" s="23957"/>
      <c r="AR242" s="261"/>
      <c r="AS242" s="261"/>
      <c r="AT242" s="261"/>
      <c r="AU242" s="261"/>
      <c r="AV242" s="261"/>
      <c r="AW242" s="261"/>
      <c r="AX242" s="261"/>
      <c r="AY242" s="24094"/>
      <c r="AZ242" s="23957"/>
      <c r="BA242" s="24094"/>
      <c r="BB242" s="23957"/>
      <c r="BC242" s="261"/>
      <c r="BD242" s="261"/>
      <c r="BE242" s="261"/>
      <c r="BF242" s="261"/>
      <c r="BG242" s="261"/>
      <c r="BH242" s="261"/>
      <c r="BI242" s="261"/>
      <c r="BJ242" s="24094"/>
      <c r="BK242" s="23957"/>
      <c r="BL242" s="24094"/>
      <c r="BM242" s="23957"/>
      <c r="BN242" s="261"/>
      <c r="BO242" s="261"/>
      <c r="BP242" s="261"/>
      <c r="BQ242" s="261"/>
      <c r="BR242" s="261"/>
      <c r="BS242" s="261"/>
      <c r="BT242" s="261"/>
      <c r="BU242" s="24094"/>
      <c r="BV242" s="23957"/>
      <c r="BW242" s="24094"/>
      <c r="BX242" s="23957"/>
      <c r="BY242" s="261"/>
      <c r="BZ242" s="261"/>
      <c r="CA242" s="261"/>
      <c r="CB242" s="261"/>
      <c r="CC242" s="261"/>
      <c r="CD242" s="261"/>
      <c r="CE242" s="261"/>
      <c r="CF242" s="24094"/>
      <c r="CG242" s="23957"/>
      <c r="CH242" s="24094"/>
      <c r="CI242" s="23957"/>
      <c r="CJ242" s="261"/>
      <c r="CK242" s="261"/>
      <c r="CL242" s="261"/>
      <c r="CM242" s="261"/>
      <c r="CN242" s="261"/>
      <c r="CO242" s="261"/>
      <c r="CP242" s="261"/>
      <c r="CQ242" s="24094"/>
      <c r="CR242" s="23957"/>
      <c r="CS242" s="24094"/>
      <c r="CT242" s="23957"/>
      <c r="CU242" s="261"/>
      <c r="CV242" s="261"/>
      <c r="CW242" s="261"/>
      <c r="CX242" s="261"/>
      <c r="CY242" s="261"/>
      <c r="CZ242" s="261"/>
      <c r="DA242" s="261"/>
      <c r="DB242" s="24094"/>
      <c r="DC242" s="23957"/>
      <c r="DD242" s="24094"/>
      <c r="DE242" s="23957"/>
      <c r="DF242" s="261"/>
      <c r="DG242" s="261"/>
      <c r="DH242" s="261"/>
      <c r="DI242" s="261"/>
      <c r="DJ242" s="261"/>
      <c r="DK242" s="261"/>
      <c r="DL242" s="261"/>
      <c r="DM242" s="24094"/>
      <c r="DN242" s="23957"/>
      <c r="DO242" s="24094"/>
      <c r="DP242" s="23957"/>
      <c r="DQ242" s="261"/>
      <c r="DR242" s="261"/>
      <c r="DS242" s="261"/>
      <c r="DT242" s="261"/>
      <c r="DU242" s="261"/>
      <c r="DV242" s="261"/>
      <c r="DW242" s="261"/>
      <c r="DX242" s="24094"/>
      <c r="DY242" s="23957"/>
      <c r="DZ242" s="24094"/>
      <c r="EA242" s="23957"/>
      <c r="EB242" s="261"/>
      <c r="EC242" s="261"/>
      <c r="ED242" s="261"/>
      <c r="EE242" s="261"/>
      <c r="EF242" s="261"/>
      <c r="EG242" s="261"/>
      <c r="EH242" s="261"/>
      <c r="EI242" s="24094"/>
      <c r="EJ242" s="23957"/>
      <c r="EK242" s="24094"/>
      <c r="EL242" s="23957"/>
      <c r="EM242" s="261"/>
      <c r="EN242" s="261"/>
      <c r="EO242" s="261"/>
      <c r="EP242" s="261"/>
      <c r="EQ242" s="261"/>
      <c r="ER242" s="261"/>
      <c r="ES242" s="261"/>
      <c r="ET242" s="24094"/>
      <c r="EU242" s="23957"/>
      <c r="EV242" s="24096"/>
      <c r="EW242" s="23957"/>
      <c r="EX242" s="261"/>
      <c r="EY242" s="261"/>
      <c r="EZ242" s="261"/>
      <c r="FA242" s="261"/>
      <c r="FB242" s="261"/>
      <c r="FC242" s="261"/>
      <c r="FD242" s="261"/>
      <c r="FE242" s="24094"/>
      <c r="FF242" s="23957"/>
      <c r="FG242" s="24096"/>
      <c r="FH242" s="24205"/>
      <c r="FI242" s="1286"/>
      <c r="FJ242" s="1286"/>
      <c r="FK242" s="6354"/>
      <c r="FL242" s="6354"/>
      <c r="FM242" s="1286"/>
      <c r="FN242" s="6354"/>
      <c r="FO242" s="6354"/>
      <c r="FP242" s="24085"/>
      <c r="FQ242" s="24085"/>
      <c r="FR242" s="24085"/>
      <c r="FS242" s="24208"/>
      <c r="FT242" s="1365"/>
      <c r="FU242" s="24162"/>
      <c r="FV242" s="1568"/>
      <c r="FW242" s="1550"/>
      <c r="FX242" s="1550" t="str">
        <f t="shared" si="4"/>
        <v/>
      </c>
      <c r="FY242" s="1550"/>
      <c r="FZ242" s="1550"/>
      <c r="GA242" s="1561">
        <v>0</v>
      </c>
    </row>
    <row r="243" spans="1:183" s="1747" customFormat="1" ht="21" customHeight="1">
      <c r="A243" s="1289"/>
      <c r="B243" s="1289"/>
      <c r="C243" s="1289"/>
      <c r="D243" s="1289"/>
      <c r="E243" s="24089"/>
      <c r="F243" s="24089" t="s">
        <v>84</v>
      </c>
      <c r="G243" s="24089"/>
      <c r="H243" s="24089"/>
      <c r="I243" s="24091"/>
      <c r="J243" s="24090"/>
      <c r="K243" s="1289"/>
      <c r="L243" s="1295"/>
      <c r="M243" s="1674"/>
      <c r="N243" s="1674"/>
      <c r="O243" s="1674"/>
      <c r="P243" s="24092"/>
      <c r="Q243" s="24092"/>
      <c r="R243" s="292"/>
      <c r="S243" s="3829"/>
      <c r="T243" s="3830" t="s">
        <v>712</v>
      </c>
      <c r="U243" s="3831"/>
      <c r="V243" s="3832"/>
      <c r="W243" s="3833"/>
      <c r="X243" s="3834"/>
      <c r="Y243" s="3835"/>
      <c r="Z243" s="3836"/>
      <c r="AA243" s="3837"/>
      <c r="AB243" s="3838"/>
      <c r="AC243" s="3839"/>
      <c r="AD243" s="3840"/>
      <c r="AE243" s="3841"/>
      <c r="AF243" s="3842"/>
      <c r="AG243" s="3843"/>
      <c r="AH243" s="3844"/>
      <c r="AI243" s="3845"/>
      <c r="AJ243" s="3846"/>
      <c r="AK243" s="3847"/>
      <c r="AL243" s="3848"/>
      <c r="AM243" s="3849"/>
      <c r="AN243" s="3850"/>
      <c r="AO243" s="3851"/>
      <c r="AP243" s="3852"/>
      <c r="AQ243" s="3853"/>
      <c r="AR243" s="7282"/>
      <c r="AS243" s="7283"/>
      <c r="AT243" s="7284"/>
      <c r="AU243" s="7285"/>
      <c r="AV243" s="7286"/>
      <c r="AW243" s="7287"/>
      <c r="AX243" s="7288"/>
      <c r="AY243" s="7289"/>
      <c r="AZ243" s="7290"/>
      <c r="BA243" s="7291"/>
      <c r="BB243" s="7292"/>
      <c r="BC243" s="7293"/>
      <c r="BD243" s="7294"/>
      <c r="BE243" s="14426"/>
      <c r="BF243" s="14427"/>
      <c r="BG243" s="21882"/>
      <c r="BH243" s="14428"/>
      <c r="BI243" s="14429"/>
      <c r="BJ243" s="14430"/>
      <c r="BK243" s="14431"/>
      <c r="BL243" s="14432"/>
      <c r="BM243" s="14433"/>
      <c r="BN243" s="3854"/>
      <c r="BO243" s="3855"/>
      <c r="BP243" s="14434"/>
      <c r="BQ243" s="14435"/>
      <c r="BR243" s="3856"/>
      <c r="BS243" s="14436"/>
      <c r="BT243" s="14437"/>
      <c r="BU243" s="14438"/>
      <c r="BV243" s="14439"/>
      <c r="BW243" s="14440"/>
      <c r="BX243" s="14441"/>
      <c r="BY243" s="14442"/>
      <c r="BZ243" s="14443"/>
      <c r="CA243" s="14444"/>
      <c r="CB243" s="14445"/>
      <c r="CC243" s="14446"/>
      <c r="CD243" s="14447"/>
      <c r="CE243" s="14448"/>
      <c r="CF243" s="14449"/>
      <c r="CG243" s="14450"/>
      <c r="CH243" s="14451"/>
      <c r="CI243" s="14452"/>
      <c r="CJ243" s="14453"/>
      <c r="CK243" s="14454"/>
      <c r="CL243" s="14455"/>
      <c r="CM243" s="14456"/>
      <c r="CN243" s="14457"/>
      <c r="CO243" s="14458"/>
      <c r="CP243" s="14459"/>
      <c r="CQ243" s="14460"/>
      <c r="CR243" s="14461"/>
      <c r="CS243" s="14462"/>
      <c r="CT243" s="14463"/>
      <c r="CU243" s="14464"/>
      <c r="CV243" s="14465"/>
      <c r="CW243" s="14466"/>
      <c r="CX243" s="14467"/>
      <c r="CY243" s="14468"/>
      <c r="CZ243" s="14469"/>
      <c r="DA243" s="14470"/>
      <c r="DB243" s="14471"/>
      <c r="DC243" s="14472"/>
      <c r="DD243" s="14473"/>
      <c r="DE243" s="14474"/>
      <c r="DF243" s="14475"/>
      <c r="DG243" s="14476"/>
      <c r="DH243" s="14477"/>
      <c r="DI243" s="14478"/>
      <c r="DJ243" s="14479"/>
      <c r="DK243" s="14480"/>
      <c r="DL243" s="14481"/>
      <c r="DM243" s="14482"/>
      <c r="DN243" s="14483"/>
      <c r="DO243" s="14484"/>
      <c r="DP243" s="14485"/>
      <c r="DQ243" s="14486"/>
      <c r="DR243" s="14487"/>
      <c r="DS243" s="14488"/>
      <c r="DT243" s="14489"/>
      <c r="DU243" s="14490"/>
      <c r="DV243" s="14491"/>
      <c r="DW243" s="14492"/>
      <c r="DX243" s="14493"/>
      <c r="DY243" s="14494"/>
      <c r="DZ243" s="14495"/>
      <c r="EA243" s="14496"/>
      <c r="EB243" s="14497"/>
      <c r="EC243" s="14498"/>
      <c r="ED243" s="14499"/>
      <c r="EE243" s="14500"/>
      <c r="EF243" s="14501"/>
      <c r="EG243" s="14502"/>
      <c r="EH243" s="14503"/>
      <c r="EI243" s="14504"/>
      <c r="EJ243" s="14505"/>
      <c r="EK243" s="14506"/>
      <c r="EL243" s="14507"/>
      <c r="EM243" s="21602"/>
      <c r="EN243" s="21603"/>
      <c r="EO243" s="14508"/>
      <c r="EP243" s="14509"/>
      <c r="EQ243" s="21604"/>
      <c r="ER243" s="14510"/>
      <c r="ES243" s="14511"/>
      <c r="ET243" s="14512"/>
      <c r="EU243" s="14513"/>
      <c r="EV243" s="14514"/>
      <c r="EW243" s="14515"/>
      <c r="EX243" s="3857"/>
      <c r="EY243" s="3858"/>
      <c r="EZ243" s="14516"/>
      <c r="FA243" s="14517"/>
      <c r="FB243" s="3859"/>
      <c r="FC243" s="14518"/>
      <c r="FD243" s="14519"/>
      <c r="FE243" s="14520"/>
      <c r="FF243" s="14521"/>
      <c r="FG243" s="14522"/>
      <c r="FH243" s="5718"/>
      <c r="FI243" s="22782"/>
      <c r="FJ243" s="22783"/>
      <c r="FK243" s="23552"/>
      <c r="FL243" s="23553"/>
      <c r="FM243" s="22784"/>
      <c r="FN243" s="23554"/>
      <c r="FO243" s="23555"/>
      <c r="FP243" s="22785"/>
      <c r="FQ243" s="22786"/>
      <c r="FR243" s="22787"/>
      <c r="FS243" s="23556"/>
      <c r="FT243" s="3860"/>
      <c r="FU243" s="1184" t="s">
        <v>713</v>
      </c>
      <c r="FV243" s="1568"/>
      <c r="FW243" s="1550"/>
      <c r="FX243" s="1550" t="str">
        <f t="shared" si="4"/>
        <v>Добавить значение признака дифференциации</v>
      </c>
      <c r="FY243" s="1550"/>
      <c r="FZ243" s="1550"/>
      <c r="GA243" s="1561">
        <v>0</v>
      </c>
    </row>
    <row r="244" spans="1:183" s="1747" customFormat="1" ht="23.25" customHeight="1">
      <c r="A244" s="1289"/>
      <c r="B244" s="1289"/>
      <c r="C244" s="1289"/>
      <c r="D244" s="1289"/>
      <c r="E244" s="24089"/>
      <c r="F244" s="24089"/>
      <c r="G244" s="24089"/>
      <c r="H244" s="24089"/>
      <c r="I244" s="24091"/>
      <c r="J244" s="24090" t="str">
        <f>I239&amp;".2"</f>
        <v>1.8.1.1.2</v>
      </c>
      <c r="K244" s="1289"/>
      <c r="L244" s="1295" t="s">
        <v>635</v>
      </c>
      <c r="M244" s="1674"/>
      <c r="N244" s="1674"/>
      <c r="O244" s="1674"/>
      <c r="P244" s="24092"/>
      <c r="Q244" s="24206" t="s">
        <v>96</v>
      </c>
      <c r="R244" s="293"/>
      <c r="S244" s="1976" t="str">
        <f>$J244</f>
        <v>1.8.1.1.2</v>
      </c>
      <c r="T244" s="222" t="s">
        <v>636</v>
      </c>
      <c r="U244" s="236"/>
      <c r="V244" s="24076"/>
      <c r="W244" s="24077"/>
      <c r="X244" s="24077"/>
      <c r="Y244" s="24077"/>
      <c r="Z244" s="24077"/>
      <c r="AA244" s="24077"/>
      <c r="AB244" s="24077"/>
      <c r="AC244" s="24077"/>
      <c r="AD244" s="24077"/>
      <c r="AE244" s="24077"/>
      <c r="AF244" s="24078"/>
      <c r="AG244" s="24076" t="s">
        <v>771</v>
      </c>
      <c r="AH244" s="24077"/>
      <c r="AI244" s="24077"/>
      <c r="AJ244" s="24077"/>
      <c r="AK244" s="24077"/>
      <c r="AL244" s="24077"/>
      <c r="AM244" s="24077"/>
      <c r="AN244" s="24077"/>
      <c r="AO244" s="24077"/>
      <c r="AP244" s="24077"/>
      <c r="AQ244" s="24077"/>
      <c r="AR244" s="24179"/>
      <c r="AS244" s="24180"/>
      <c r="AT244" s="24180"/>
      <c r="AU244" s="24180"/>
      <c r="AV244" s="24180"/>
      <c r="AW244" s="24180"/>
      <c r="AX244" s="24180"/>
      <c r="AY244" s="24180"/>
      <c r="AZ244" s="24180"/>
      <c r="BA244" s="24180"/>
      <c r="BB244" s="24181"/>
      <c r="BC244" s="24179"/>
      <c r="BD244" s="24180"/>
      <c r="BE244" s="24180"/>
      <c r="BF244" s="24180"/>
      <c r="BG244" s="24180"/>
      <c r="BH244" s="24180"/>
      <c r="BI244" s="24180"/>
      <c r="BJ244" s="24180"/>
      <c r="BK244" s="24180"/>
      <c r="BL244" s="24180"/>
      <c r="BM244" s="24181"/>
      <c r="BN244" s="24076"/>
      <c r="BO244" s="24077"/>
      <c r="BP244" s="24180"/>
      <c r="BQ244" s="24180"/>
      <c r="BR244" s="24077"/>
      <c r="BS244" s="24180"/>
      <c r="BT244" s="24180"/>
      <c r="BU244" s="24180"/>
      <c r="BV244" s="24180"/>
      <c r="BW244" s="24180"/>
      <c r="BX244" s="24181"/>
      <c r="BY244" s="24179"/>
      <c r="BZ244" s="24180"/>
      <c r="CA244" s="24180"/>
      <c r="CB244" s="24180"/>
      <c r="CC244" s="24180"/>
      <c r="CD244" s="24180"/>
      <c r="CE244" s="24180"/>
      <c r="CF244" s="24180"/>
      <c r="CG244" s="24180"/>
      <c r="CH244" s="24180"/>
      <c r="CI244" s="24181"/>
      <c r="CJ244" s="24179"/>
      <c r="CK244" s="24180"/>
      <c r="CL244" s="24180"/>
      <c r="CM244" s="24180"/>
      <c r="CN244" s="24180"/>
      <c r="CO244" s="24180"/>
      <c r="CP244" s="24180"/>
      <c r="CQ244" s="24180"/>
      <c r="CR244" s="24180"/>
      <c r="CS244" s="24180"/>
      <c r="CT244" s="24181"/>
      <c r="CU244" s="24179"/>
      <c r="CV244" s="24180"/>
      <c r="CW244" s="24180"/>
      <c r="CX244" s="24180"/>
      <c r="CY244" s="24180"/>
      <c r="CZ244" s="24180"/>
      <c r="DA244" s="24180"/>
      <c r="DB244" s="24180"/>
      <c r="DC244" s="24180"/>
      <c r="DD244" s="24180"/>
      <c r="DE244" s="24181"/>
      <c r="DF244" s="24179"/>
      <c r="DG244" s="24180"/>
      <c r="DH244" s="24180"/>
      <c r="DI244" s="24180"/>
      <c r="DJ244" s="24180"/>
      <c r="DK244" s="24180"/>
      <c r="DL244" s="24180"/>
      <c r="DM244" s="24180"/>
      <c r="DN244" s="24180"/>
      <c r="DO244" s="24180"/>
      <c r="DP244" s="24181"/>
      <c r="DQ244" s="24179"/>
      <c r="DR244" s="24180"/>
      <c r="DS244" s="24180"/>
      <c r="DT244" s="24180"/>
      <c r="DU244" s="24180"/>
      <c r="DV244" s="24180"/>
      <c r="DW244" s="24180"/>
      <c r="DX244" s="24180"/>
      <c r="DY244" s="24180"/>
      <c r="DZ244" s="24180"/>
      <c r="EA244" s="24181"/>
      <c r="EB244" s="24179"/>
      <c r="EC244" s="24180"/>
      <c r="ED244" s="24180"/>
      <c r="EE244" s="24180"/>
      <c r="EF244" s="24180"/>
      <c r="EG244" s="24180"/>
      <c r="EH244" s="24180"/>
      <c r="EI244" s="24180"/>
      <c r="EJ244" s="24180"/>
      <c r="EK244" s="24180"/>
      <c r="EL244" s="24181"/>
      <c r="EM244" s="24179"/>
      <c r="EN244" s="24180"/>
      <c r="EO244" s="24180"/>
      <c r="EP244" s="24180"/>
      <c r="EQ244" s="24180"/>
      <c r="ER244" s="24180"/>
      <c r="ES244" s="24180"/>
      <c r="ET244" s="24180"/>
      <c r="EU244" s="24180"/>
      <c r="EV244" s="24180"/>
      <c r="EW244" s="24181"/>
      <c r="EX244" s="24076"/>
      <c r="EY244" s="24077"/>
      <c r="EZ244" s="24180"/>
      <c r="FA244" s="24180"/>
      <c r="FB244" s="24077"/>
      <c r="FC244" s="24180"/>
      <c r="FD244" s="24180"/>
      <c r="FE244" s="24180"/>
      <c r="FF244" s="24180"/>
      <c r="FG244" s="24180"/>
      <c r="FH244" s="24181"/>
      <c r="FI244" s="24076"/>
      <c r="FJ244" s="24077"/>
      <c r="FK244" s="24180"/>
      <c r="FL244" s="24180"/>
      <c r="FM244" s="24077"/>
      <c r="FN244" s="24180"/>
      <c r="FO244" s="24180"/>
      <c r="FP244" s="24077"/>
      <c r="FQ244" s="24077"/>
      <c r="FR244" s="24077"/>
      <c r="FS244" s="24181"/>
      <c r="FT244" s="24078"/>
      <c r="FU244" s="1233" t="s">
        <v>711</v>
      </c>
      <c r="FV244" s="1568"/>
      <c r="FW244" s="1550"/>
      <c r="FX244" s="1550" t="str">
        <f t="shared" si="4"/>
        <v>Группа потребителей</v>
      </c>
      <c r="FY244" s="1550"/>
      <c r="FZ244" s="1550"/>
      <c r="GA244" s="1561">
        <v>0</v>
      </c>
    </row>
    <row r="245" spans="1:183" s="1747" customFormat="1" ht="23.25" customHeight="1">
      <c r="A245" s="1289"/>
      <c r="B245" s="1289"/>
      <c r="C245" s="1289"/>
      <c r="D245" s="1289"/>
      <c r="E245" s="24089"/>
      <c r="F245" s="24089"/>
      <c r="G245" s="24089"/>
      <c r="H245" s="24089"/>
      <c r="I245" s="24091"/>
      <c r="J245" s="24091" t="str">
        <f>I239&amp;".1"</f>
        <v>1.8.1.1.1</v>
      </c>
      <c r="K245" s="24090" t="str">
        <f>J244&amp;".1"</f>
        <v>1.8.1.1.2.1</v>
      </c>
      <c r="L245" s="1295"/>
      <c r="M245" s="1674"/>
      <c r="N245" s="1674"/>
      <c r="O245" s="1674"/>
      <c r="P245" s="24092"/>
      <c r="Q245" s="24092"/>
      <c r="R245" s="293">
        <v>1</v>
      </c>
      <c r="S245" s="1976" t="str">
        <f>$K245</f>
        <v>1.8.1.1.2.1</v>
      </c>
      <c r="T245" s="1363"/>
      <c r="U245" s="236"/>
      <c r="V245" s="1286"/>
      <c r="W245" s="1286"/>
      <c r="X245" s="1286"/>
      <c r="Y245" s="1286"/>
      <c r="Z245" s="1286"/>
      <c r="AA245" s="1286"/>
      <c r="AB245" s="1286"/>
      <c r="AC245" s="24086"/>
      <c r="AD245" s="24085" t="s">
        <v>59</v>
      </c>
      <c r="AE245" s="24086"/>
      <c r="AF245" s="24085" t="s">
        <v>59</v>
      </c>
      <c r="AG245" s="687">
        <v>218.12</v>
      </c>
      <c r="AH245" s="687">
        <v>44.4</v>
      </c>
      <c r="AI245" s="687"/>
      <c r="AJ245" s="687"/>
      <c r="AK245" s="687">
        <v>2528.71</v>
      </c>
      <c r="AL245" s="687"/>
      <c r="AM245" s="687"/>
      <c r="AN245" s="24093" t="s">
        <v>9</v>
      </c>
      <c r="AO245" s="23957" t="s">
        <v>59</v>
      </c>
      <c r="AP245" s="24095" t="s">
        <v>770</v>
      </c>
      <c r="AQ245" s="23957" t="s">
        <v>59</v>
      </c>
      <c r="AR245" s="687">
        <v>239.84</v>
      </c>
      <c r="AS245" s="687">
        <v>48.76</v>
      </c>
      <c r="AT245" s="687"/>
      <c r="AU245" s="687"/>
      <c r="AV245" s="687">
        <v>2781.59</v>
      </c>
      <c r="AW245" s="687"/>
      <c r="AX245" s="687"/>
      <c r="AY245" s="24185" t="s">
        <v>772</v>
      </c>
      <c r="AZ245" s="23957" t="s">
        <v>59</v>
      </c>
      <c r="BA245" s="24185" t="s">
        <v>773</v>
      </c>
      <c r="BB245" s="23957" t="s">
        <v>59</v>
      </c>
      <c r="BC245" s="687">
        <v>239.84</v>
      </c>
      <c r="BD245" s="687">
        <v>48.76</v>
      </c>
      <c r="BE245" s="687"/>
      <c r="BF245" s="687"/>
      <c r="BG245" s="687">
        <v>2781.59</v>
      </c>
      <c r="BH245" s="687"/>
      <c r="BI245" s="687"/>
      <c r="BJ245" s="24093" t="s">
        <v>774</v>
      </c>
      <c r="BK245" s="23957" t="s">
        <v>59</v>
      </c>
      <c r="BL245" s="24093" t="s">
        <v>775</v>
      </c>
      <c r="BM245" s="23957" t="s">
        <v>59</v>
      </c>
      <c r="BN245" s="687">
        <v>267.11</v>
      </c>
      <c r="BO245" s="687">
        <v>54.56</v>
      </c>
      <c r="BP245" s="687"/>
      <c r="BQ245" s="687"/>
      <c r="BR245" s="687">
        <v>3093.12</v>
      </c>
      <c r="BS245" s="687"/>
      <c r="BT245" s="687"/>
      <c r="BU245" s="24185" t="s">
        <v>776</v>
      </c>
      <c r="BV245" s="23957" t="s">
        <v>59</v>
      </c>
      <c r="BW245" s="24093">
        <v>45930</v>
      </c>
      <c r="BX245" s="23957" t="s">
        <v>59</v>
      </c>
      <c r="BY245" s="687">
        <v>267.11</v>
      </c>
      <c r="BZ245" s="687">
        <v>54.56</v>
      </c>
      <c r="CA245" s="687"/>
      <c r="CB245" s="687"/>
      <c r="CC245" s="687">
        <v>3140.92</v>
      </c>
      <c r="CD245" s="687"/>
      <c r="CE245" s="687"/>
      <c r="CF245" s="24093">
        <v>45931</v>
      </c>
      <c r="CG245" s="23957" t="s">
        <v>59</v>
      </c>
      <c r="CH245" s="24093">
        <v>46022</v>
      </c>
      <c r="CI245" s="23957" t="s">
        <v>59</v>
      </c>
      <c r="CJ245" s="687">
        <v>271.64999999999998</v>
      </c>
      <c r="CK245" s="687">
        <v>55.48</v>
      </c>
      <c r="CL245" s="687"/>
      <c r="CM245" s="687"/>
      <c r="CN245" s="687">
        <v>3178.1</v>
      </c>
      <c r="CO245" s="687"/>
      <c r="CP245" s="687"/>
      <c r="CQ245" s="24185">
        <v>46023</v>
      </c>
      <c r="CR245" s="23957" t="s">
        <v>59</v>
      </c>
      <c r="CS245" s="24185">
        <v>46295</v>
      </c>
      <c r="CT245" s="23957" t="s">
        <v>59</v>
      </c>
      <c r="CU245" s="687">
        <v>304.24</v>
      </c>
      <c r="CV245" s="687">
        <v>62.14</v>
      </c>
      <c r="CW245" s="687"/>
      <c r="CX245" s="687"/>
      <c r="CY245" s="687">
        <v>3559.47</v>
      </c>
      <c r="CZ245" s="687"/>
      <c r="DA245" s="687"/>
      <c r="DB245" s="24185">
        <v>46296</v>
      </c>
      <c r="DC245" s="23957" t="s">
        <v>59</v>
      </c>
      <c r="DD245" s="24185">
        <v>46387</v>
      </c>
      <c r="DE245" s="23957" t="s">
        <v>59</v>
      </c>
      <c r="DF245" s="687">
        <f>CU245</f>
        <v>304.24</v>
      </c>
      <c r="DG245" s="687">
        <f>CV245</f>
        <v>62.14</v>
      </c>
      <c r="DH245" s="687"/>
      <c r="DI245" s="687"/>
      <c r="DJ245" s="687">
        <f>CY245</f>
        <v>3559.47</v>
      </c>
      <c r="DK245" s="687"/>
      <c r="DL245" s="687"/>
      <c r="DM245" s="24185">
        <v>46388</v>
      </c>
      <c r="DN245" s="23957" t="s">
        <v>59</v>
      </c>
      <c r="DO245" s="24185">
        <v>46568</v>
      </c>
      <c r="DP245" s="23957" t="s">
        <v>59</v>
      </c>
      <c r="DQ245" s="687">
        <v>330.72</v>
      </c>
      <c r="DR245" s="687">
        <v>67.55</v>
      </c>
      <c r="DS245" s="687"/>
      <c r="DT245" s="687"/>
      <c r="DU245" s="687">
        <v>3869.14</v>
      </c>
      <c r="DV245" s="687"/>
      <c r="DW245" s="687"/>
      <c r="DX245" s="24093">
        <v>46569</v>
      </c>
      <c r="DY245" s="23957" t="s">
        <v>59</v>
      </c>
      <c r="DZ245" s="24093">
        <v>46752</v>
      </c>
      <c r="EA245" s="23957" t="s">
        <v>59</v>
      </c>
      <c r="EB245" s="687">
        <v>252.24</v>
      </c>
      <c r="EC245" s="687">
        <v>0</v>
      </c>
      <c r="ED245" s="687"/>
      <c r="EE245" s="687"/>
      <c r="EF245" s="687">
        <v>3869.14</v>
      </c>
      <c r="EG245" s="687"/>
      <c r="EH245" s="687"/>
      <c r="EI245" s="24185">
        <v>46753</v>
      </c>
      <c r="EJ245" s="23957" t="s">
        <v>59</v>
      </c>
      <c r="EK245" s="24093">
        <v>46934</v>
      </c>
      <c r="EL245" s="23957" t="s">
        <v>59</v>
      </c>
      <c r="EM245" s="687">
        <v>270.13</v>
      </c>
      <c r="EN245" s="687">
        <v>0</v>
      </c>
      <c r="EO245" s="687"/>
      <c r="EP245" s="687"/>
      <c r="EQ245" s="687">
        <v>4143.8500000000004</v>
      </c>
      <c r="ER245" s="687"/>
      <c r="ES245" s="687"/>
      <c r="ET245" s="24093">
        <v>46935.580196759256</v>
      </c>
      <c r="EU245" s="23957" t="s">
        <v>59</v>
      </c>
      <c r="EV245" s="24095">
        <v>47118.580358796295</v>
      </c>
      <c r="EW245" s="23957" t="s">
        <v>6</v>
      </c>
      <c r="EX245" s="1286"/>
      <c r="EY245" s="1286"/>
      <c r="EZ245" s="1286"/>
      <c r="FA245" s="1286"/>
      <c r="FB245" s="1286"/>
      <c r="FC245" s="1286"/>
      <c r="FD245" s="1286"/>
      <c r="FE245" s="24086"/>
      <c r="FF245" s="24085" t="s">
        <v>59</v>
      </c>
      <c r="FG245" s="24086"/>
      <c r="FH245" s="24208" t="s">
        <v>59</v>
      </c>
      <c r="FI245" s="1286"/>
      <c r="FJ245" s="1286"/>
      <c r="FK245" s="1286"/>
      <c r="FL245" s="1286"/>
      <c r="FM245" s="1286"/>
      <c r="FN245" s="1286"/>
      <c r="FO245" s="1286"/>
      <c r="FP245" s="24086"/>
      <c r="FQ245" s="24085" t="s">
        <v>59</v>
      </c>
      <c r="FR245" s="24086"/>
      <c r="FS245" s="24085" t="s">
        <v>59</v>
      </c>
      <c r="FT245" s="1364"/>
      <c r="FU24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45" s="1568" t="e">
        <f ca="1">STRCHECKDATE(V246:FT246)</f>
        <v>#NAME?</v>
      </c>
      <c r="FW245" s="1550"/>
      <c r="FX245" s="1550" t="str">
        <f t="shared" si="4"/>
        <v/>
      </c>
      <c r="FY245" s="1550"/>
      <c r="FZ245" s="1550"/>
      <c r="GA245" s="1561">
        <v>0</v>
      </c>
    </row>
    <row r="246" spans="1:183" s="1747" customFormat="1" ht="14.25" customHeight="1">
      <c r="A246" s="1289"/>
      <c r="B246" s="1289"/>
      <c r="C246" s="1289"/>
      <c r="D246" s="1289"/>
      <c r="E246" s="24089"/>
      <c r="F246" s="24089"/>
      <c r="G246" s="24089"/>
      <c r="H246" s="24089"/>
      <c r="I246" s="24091"/>
      <c r="J246" s="24091" t="str">
        <f>I239&amp;".1"</f>
        <v>1.8.1.1.1</v>
      </c>
      <c r="K246" s="24090"/>
      <c r="L246" s="1295"/>
      <c r="M246" s="1674"/>
      <c r="N246" s="1674"/>
      <c r="O246" s="1674"/>
      <c r="P246" s="24092"/>
      <c r="Q246" s="24092"/>
      <c r="R246" s="293"/>
      <c r="S246" s="1982"/>
      <c r="T246" s="236"/>
      <c r="U246" s="236"/>
      <c r="V246" s="1286"/>
      <c r="W246" s="1286"/>
      <c r="X246" s="1286"/>
      <c r="Y246" s="1286"/>
      <c r="Z246" s="1286"/>
      <c r="AA246" s="1286"/>
      <c r="AB246" s="1286"/>
      <c r="AC246" s="24085"/>
      <c r="AD246" s="24085"/>
      <c r="AE246" s="24085"/>
      <c r="AF246" s="24085"/>
      <c r="AG246" s="261"/>
      <c r="AH246" s="261"/>
      <c r="AI246" s="261"/>
      <c r="AJ246" s="261"/>
      <c r="AK246" s="261"/>
      <c r="AL246" s="261"/>
      <c r="AM246" s="261"/>
      <c r="AN246" s="24094"/>
      <c r="AO246" s="23957"/>
      <c r="AP246" s="24096"/>
      <c r="AQ246" s="23957"/>
      <c r="AR246" s="261"/>
      <c r="AS246" s="261"/>
      <c r="AT246" s="261"/>
      <c r="AU246" s="261"/>
      <c r="AV246" s="261"/>
      <c r="AW246" s="261"/>
      <c r="AX246" s="261"/>
      <c r="AY246" s="24094"/>
      <c r="AZ246" s="23957"/>
      <c r="BA246" s="24094"/>
      <c r="BB246" s="23957"/>
      <c r="BC246" s="261"/>
      <c r="BD246" s="261"/>
      <c r="BE246" s="261"/>
      <c r="BF246" s="261"/>
      <c r="BG246" s="261"/>
      <c r="BH246" s="261"/>
      <c r="BI246" s="261"/>
      <c r="BJ246" s="24094"/>
      <c r="BK246" s="23957"/>
      <c r="BL246" s="24094"/>
      <c r="BM246" s="23957"/>
      <c r="BN246" s="261"/>
      <c r="BO246" s="261"/>
      <c r="BP246" s="261"/>
      <c r="BQ246" s="261"/>
      <c r="BR246" s="261"/>
      <c r="BS246" s="261"/>
      <c r="BT246" s="261"/>
      <c r="BU246" s="24094"/>
      <c r="BV246" s="23957"/>
      <c r="BW246" s="24094"/>
      <c r="BX246" s="23957"/>
      <c r="BY246" s="261"/>
      <c r="BZ246" s="261"/>
      <c r="CA246" s="261"/>
      <c r="CB246" s="261"/>
      <c r="CC246" s="261"/>
      <c r="CD246" s="261"/>
      <c r="CE246" s="261"/>
      <c r="CF246" s="24094"/>
      <c r="CG246" s="23957"/>
      <c r="CH246" s="24094"/>
      <c r="CI246" s="23957"/>
      <c r="CJ246" s="261"/>
      <c r="CK246" s="261"/>
      <c r="CL246" s="261"/>
      <c r="CM246" s="261"/>
      <c r="CN246" s="261"/>
      <c r="CO246" s="261"/>
      <c r="CP246" s="261"/>
      <c r="CQ246" s="24094"/>
      <c r="CR246" s="23957"/>
      <c r="CS246" s="24094"/>
      <c r="CT246" s="23957"/>
      <c r="CU246" s="261"/>
      <c r="CV246" s="261"/>
      <c r="CW246" s="261"/>
      <c r="CX246" s="261"/>
      <c r="CY246" s="261"/>
      <c r="CZ246" s="261"/>
      <c r="DA246" s="261"/>
      <c r="DB246" s="24094"/>
      <c r="DC246" s="23957"/>
      <c r="DD246" s="24094"/>
      <c r="DE246" s="23957"/>
      <c r="DF246" s="261"/>
      <c r="DG246" s="261"/>
      <c r="DH246" s="261"/>
      <c r="DI246" s="261"/>
      <c r="DJ246" s="261"/>
      <c r="DK246" s="261"/>
      <c r="DL246" s="261"/>
      <c r="DM246" s="24094"/>
      <c r="DN246" s="23957"/>
      <c r="DO246" s="24094"/>
      <c r="DP246" s="23957"/>
      <c r="DQ246" s="261"/>
      <c r="DR246" s="261"/>
      <c r="DS246" s="261"/>
      <c r="DT246" s="261"/>
      <c r="DU246" s="261"/>
      <c r="DV246" s="261"/>
      <c r="DW246" s="261"/>
      <c r="DX246" s="24094"/>
      <c r="DY246" s="23957"/>
      <c r="DZ246" s="24094"/>
      <c r="EA246" s="23957"/>
      <c r="EB246" s="261"/>
      <c r="EC246" s="261"/>
      <c r="ED246" s="261"/>
      <c r="EE246" s="261"/>
      <c r="EF246" s="261"/>
      <c r="EG246" s="261"/>
      <c r="EH246" s="261"/>
      <c r="EI246" s="24094"/>
      <c r="EJ246" s="23957"/>
      <c r="EK246" s="24094"/>
      <c r="EL246" s="23957"/>
      <c r="EM246" s="261"/>
      <c r="EN246" s="261"/>
      <c r="EO246" s="261"/>
      <c r="EP246" s="261"/>
      <c r="EQ246" s="261"/>
      <c r="ER246" s="261"/>
      <c r="ES246" s="261"/>
      <c r="ET246" s="24094"/>
      <c r="EU246" s="23957"/>
      <c r="EV246" s="24096"/>
      <c r="EW246" s="23957"/>
      <c r="EX246" s="1286"/>
      <c r="EY246" s="1286"/>
      <c r="EZ246" s="1286"/>
      <c r="FA246" s="1286"/>
      <c r="FB246" s="1286"/>
      <c r="FC246" s="1286"/>
      <c r="FD246" s="1286"/>
      <c r="FE246" s="24085"/>
      <c r="FF246" s="24085"/>
      <c r="FG246" s="24085"/>
      <c r="FH246" s="24208"/>
      <c r="FI246" s="1286"/>
      <c r="FJ246" s="1286"/>
      <c r="FK246" s="1286"/>
      <c r="FL246" s="1286"/>
      <c r="FM246" s="1286"/>
      <c r="FN246" s="1286"/>
      <c r="FO246" s="1286"/>
      <c r="FP246" s="24085"/>
      <c r="FQ246" s="24085"/>
      <c r="FR246" s="24085"/>
      <c r="FS246" s="24085"/>
      <c r="FT246" s="1365"/>
      <c r="FU246" s="24162"/>
      <c r="FV246" s="1568"/>
      <c r="FW246" s="1550"/>
      <c r="FX246" s="1550" t="str">
        <f t="shared" si="4"/>
        <v/>
      </c>
      <c r="FY246" s="1550"/>
      <c r="FZ246" s="1550"/>
      <c r="GA246" s="1561">
        <v>0</v>
      </c>
    </row>
    <row r="247" spans="1:183" s="1747" customFormat="1" ht="21" customHeight="1">
      <c r="A247" s="1289"/>
      <c r="B247" s="1289"/>
      <c r="C247" s="1289"/>
      <c r="D247" s="1289"/>
      <c r="E247" s="24089"/>
      <c r="F247" s="24089"/>
      <c r="G247" s="24089"/>
      <c r="H247" s="24089"/>
      <c r="I247" s="24091"/>
      <c r="J247" s="24090" t="str">
        <f>I239&amp;".1"</f>
        <v>1.8.1.1.1</v>
      </c>
      <c r="K247" s="1289"/>
      <c r="L247" s="1295"/>
      <c r="M247" s="1674"/>
      <c r="N247" s="1674"/>
      <c r="O247" s="1674"/>
      <c r="P247" s="24092"/>
      <c r="Q247" s="24092"/>
      <c r="R247" s="292"/>
      <c r="S247" s="3861"/>
      <c r="T247" s="3862" t="s">
        <v>712</v>
      </c>
      <c r="U247" s="3863"/>
      <c r="V247" s="3864"/>
      <c r="W247" s="3865"/>
      <c r="X247" s="3866"/>
      <c r="Y247" s="3867"/>
      <c r="Z247" s="3868"/>
      <c r="AA247" s="3869"/>
      <c r="AB247" s="3870"/>
      <c r="AC247" s="3871"/>
      <c r="AD247" s="3872"/>
      <c r="AE247" s="3873"/>
      <c r="AF247" s="3874"/>
      <c r="AG247" s="3875"/>
      <c r="AH247" s="3876"/>
      <c r="AI247" s="3877"/>
      <c r="AJ247" s="3878"/>
      <c r="AK247" s="3879"/>
      <c r="AL247" s="3880"/>
      <c r="AM247" s="3881"/>
      <c r="AN247" s="3882"/>
      <c r="AO247" s="3883"/>
      <c r="AP247" s="3884"/>
      <c r="AQ247" s="3885"/>
      <c r="AR247" s="7295"/>
      <c r="AS247" s="7296"/>
      <c r="AT247" s="7297"/>
      <c r="AU247" s="7298"/>
      <c r="AV247" s="7299"/>
      <c r="AW247" s="7300"/>
      <c r="AX247" s="7301"/>
      <c r="AY247" s="7302"/>
      <c r="AZ247" s="7303"/>
      <c r="BA247" s="7304"/>
      <c r="BB247" s="7305"/>
      <c r="BC247" s="7306"/>
      <c r="BD247" s="7307"/>
      <c r="BE247" s="14523"/>
      <c r="BF247" s="14524"/>
      <c r="BG247" s="21883"/>
      <c r="BH247" s="14525"/>
      <c r="BI247" s="14526"/>
      <c r="BJ247" s="14527"/>
      <c r="BK247" s="14528"/>
      <c r="BL247" s="14529"/>
      <c r="BM247" s="14530"/>
      <c r="BN247" s="3886"/>
      <c r="BO247" s="3887"/>
      <c r="BP247" s="14531"/>
      <c r="BQ247" s="14532"/>
      <c r="BR247" s="3888"/>
      <c r="BS247" s="14533"/>
      <c r="BT247" s="14534"/>
      <c r="BU247" s="14535"/>
      <c r="BV247" s="14536"/>
      <c r="BW247" s="14537"/>
      <c r="BX247" s="14538"/>
      <c r="BY247" s="14539"/>
      <c r="BZ247" s="14540"/>
      <c r="CA247" s="14541"/>
      <c r="CB247" s="14542"/>
      <c r="CC247" s="14543"/>
      <c r="CD247" s="14544"/>
      <c r="CE247" s="14545"/>
      <c r="CF247" s="14546"/>
      <c r="CG247" s="14547"/>
      <c r="CH247" s="14548"/>
      <c r="CI247" s="14549"/>
      <c r="CJ247" s="14550"/>
      <c r="CK247" s="14551"/>
      <c r="CL247" s="14552"/>
      <c r="CM247" s="14553"/>
      <c r="CN247" s="14554"/>
      <c r="CO247" s="14555"/>
      <c r="CP247" s="14556"/>
      <c r="CQ247" s="14557"/>
      <c r="CR247" s="14558"/>
      <c r="CS247" s="14559"/>
      <c r="CT247" s="14560"/>
      <c r="CU247" s="14561"/>
      <c r="CV247" s="14562"/>
      <c r="CW247" s="14563"/>
      <c r="CX247" s="14564"/>
      <c r="CY247" s="14565"/>
      <c r="CZ247" s="14566"/>
      <c r="DA247" s="14567"/>
      <c r="DB247" s="14568"/>
      <c r="DC247" s="14569"/>
      <c r="DD247" s="14570"/>
      <c r="DE247" s="14571"/>
      <c r="DF247" s="14572"/>
      <c r="DG247" s="14573"/>
      <c r="DH247" s="14574"/>
      <c r="DI247" s="14575"/>
      <c r="DJ247" s="14576"/>
      <c r="DK247" s="14577"/>
      <c r="DL247" s="14578"/>
      <c r="DM247" s="14579"/>
      <c r="DN247" s="14580"/>
      <c r="DO247" s="14581"/>
      <c r="DP247" s="14582"/>
      <c r="DQ247" s="14583"/>
      <c r="DR247" s="14584"/>
      <c r="DS247" s="14585"/>
      <c r="DT247" s="14586"/>
      <c r="DU247" s="14587"/>
      <c r="DV247" s="14588"/>
      <c r="DW247" s="14589"/>
      <c r="DX247" s="14590"/>
      <c r="DY247" s="14591"/>
      <c r="DZ247" s="14592"/>
      <c r="EA247" s="14593"/>
      <c r="EB247" s="14594"/>
      <c r="EC247" s="14595"/>
      <c r="ED247" s="14596"/>
      <c r="EE247" s="14597"/>
      <c r="EF247" s="14598"/>
      <c r="EG247" s="14599"/>
      <c r="EH247" s="14600"/>
      <c r="EI247" s="14601"/>
      <c r="EJ247" s="14602"/>
      <c r="EK247" s="14603"/>
      <c r="EL247" s="14604"/>
      <c r="EM247" s="21605"/>
      <c r="EN247" s="21606"/>
      <c r="EO247" s="14605"/>
      <c r="EP247" s="14606"/>
      <c r="EQ247" s="21607"/>
      <c r="ER247" s="14607"/>
      <c r="ES247" s="14608"/>
      <c r="ET247" s="14609"/>
      <c r="EU247" s="14610"/>
      <c r="EV247" s="14611"/>
      <c r="EW247" s="14612"/>
      <c r="EX247" s="3889"/>
      <c r="EY247" s="3890"/>
      <c r="EZ247" s="14613"/>
      <c r="FA247" s="14614"/>
      <c r="FB247" s="3891"/>
      <c r="FC247" s="14615"/>
      <c r="FD247" s="14616"/>
      <c r="FE247" s="14617"/>
      <c r="FF247" s="14618"/>
      <c r="FG247" s="14619"/>
      <c r="FH247" s="5719"/>
      <c r="FI247" s="22788"/>
      <c r="FJ247" s="22789"/>
      <c r="FK247" s="23557"/>
      <c r="FL247" s="23558"/>
      <c r="FM247" s="22790"/>
      <c r="FN247" s="23559"/>
      <c r="FO247" s="23560"/>
      <c r="FP247" s="22791"/>
      <c r="FQ247" s="22792"/>
      <c r="FR247" s="22793"/>
      <c r="FS247" s="23561"/>
      <c r="FT247" s="3892"/>
      <c r="FU247" s="1184" t="s">
        <v>713</v>
      </c>
      <c r="FV247" s="1568"/>
      <c r="FW247" s="1550"/>
      <c r="FX247" s="1550" t="str">
        <f t="shared" si="4"/>
        <v>Добавить значение признака дифференциации</v>
      </c>
      <c r="FY247" s="1550"/>
      <c r="FZ247" s="1550"/>
      <c r="GA247" s="1561">
        <v>0</v>
      </c>
    </row>
    <row r="248" spans="1:183" s="1747" customFormat="1" ht="21" customHeight="1">
      <c r="A248" s="1289"/>
      <c r="B248" s="1289"/>
      <c r="C248" s="1289"/>
      <c r="D248" s="1289"/>
      <c r="E248" s="24089"/>
      <c r="F248" s="24089" t="s">
        <v>84</v>
      </c>
      <c r="G248" s="24089"/>
      <c r="H248" s="24089"/>
      <c r="I248" s="24090"/>
      <c r="J248" s="1289"/>
      <c r="K248" s="1289"/>
      <c r="L248" s="1295"/>
      <c r="M248" s="1674"/>
      <c r="N248" s="1674"/>
      <c r="O248" s="1674"/>
      <c r="P248" s="24092"/>
      <c r="Q248" s="1978"/>
      <c r="R248" s="292"/>
      <c r="S248" s="3893"/>
      <c r="T248" s="3894" t="s">
        <v>641</v>
      </c>
      <c r="U248" s="3895"/>
      <c r="V248" s="3896"/>
      <c r="W248" s="3897"/>
      <c r="X248" s="3898"/>
      <c r="Y248" s="3899"/>
      <c r="Z248" s="3900"/>
      <c r="AA248" s="3901"/>
      <c r="AB248" s="3902"/>
      <c r="AC248" s="3903"/>
      <c r="AD248" s="3904"/>
      <c r="AE248" s="3905"/>
      <c r="AF248" s="3906"/>
      <c r="AG248" s="3907"/>
      <c r="AH248" s="3908"/>
      <c r="AI248" s="3909"/>
      <c r="AJ248" s="3910"/>
      <c r="AK248" s="3911"/>
      <c r="AL248" s="3912"/>
      <c r="AM248" s="3913"/>
      <c r="AN248" s="3914"/>
      <c r="AO248" s="3915"/>
      <c r="AP248" s="3916"/>
      <c r="AQ248" s="3917"/>
      <c r="AR248" s="7308"/>
      <c r="AS248" s="7309"/>
      <c r="AT248" s="7310"/>
      <c r="AU248" s="7311"/>
      <c r="AV248" s="7312"/>
      <c r="AW248" s="7313"/>
      <c r="AX248" s="7314"/>
      <c r="AY248" s="7315"/>
      <c r="AZ248" s="7316"/>
      <c r="BA248" s="7317"/>
      <c r="BB248" s="7318"/>
      <c r="BC248" s="7319"/>
      <c r="BD248" s="7320"/>
      <c r="BE248" s="14620"/>
      <c r="BF248" s="14621"/>
      <c r="BG248" s="21884"/>
      <c r="BH248" s="14622"/>
      <c r="BI248" s="14623"/>
      <c r="BJ248" s="14624"/>
      <c r="BK248" s="14625"/>
      <c r="BL248" s="14626"/>
      <c r="BM248" s="14627"/>
      <c r="BN248" s="3918"/>
      <c r="BO248" s="3919"/>
      <c r="BP248" s="14628"/>
      <c r="BQ248" s="14629"/>
      <c r="BR248" s="3920"/>
      <c r="BS248" s="14630"/>
      <c r="BT248" s="14631"/>
      <c r="BU248" s="14632"/>
      <c r="BV248" s="14633"/>
      <c r="BW248" s="14634"/>
      <c r="BX248" s="14635"/>
      <c r="BY248" s="14636"/>
      <c r="BZ248" s="14637"/>
      <c r="CA248" s="14638"/>
      <c r="CB248" s="14639"/>
      <c r="CC248" s="14640"/>
      <c r="CD248" s="14641"/>
      <c r="CE248" s="14642"/>
      <c r="CF248" s="14643"/>
      <c r="CG248" s="14644"/>
      <c r="CH248" s="14645"/>
      <c r="CI248" s="14646"/>
      <c r="CJ248" s="14647"/>
      <c r="CK248" s="14648"/>
      <c r="CL248" s="14649"/>
      <c r="CM248" s="14650"/>
      <c r="CN248" s="14651"/>
      <c r="CO248" s="14652"/>
      <c r="CP248" s="14653"/>
      <c r="CQ248" s="14654"/>
      <c r="CR248" s="14655"/>
      <c r="CS248" s="14656"/>
      <c r="CT248" s="14657"/>
      <c r="CU248" s="14658"/>
      <c r="CV248" s="14659"/>
      <c r="CW248" s="14660"/>
      <c r="CX248" s="14661"/>
      <c r="CY248" s="14662"/>
      <c r="CZ248" s="14663"/>
      <c r="DA248" s="14664"/>
      <c r="DB248" s="14665"/>
      <c r="DC248" s="14666"/>
      <c r="DD248" s="14667"/>
      <c r="DE248" s="14668"/>
      <c r="DF248" s="14669"/>
      <c r="DG248" s="14670"/>
      <c r="DH248" s="14671"/>
      <c r="DI248" s="14672"/>
      <c r="DJ248" s="14673"/>
      <c r="DK248" s="14674"/>
      <c r="DL248" s="14675"/>
      <c r="DM248" s="14676"/>
      <c r="DN248" s="14677"/>
      <c r="DO248" s="14678"/>
      <c r="DP248" s="14679"/>
      <c r="DQ248" s="14680"/>
      <c r="DR248" s="14681"/>
      <c r="DS248" s="14682"/>
      <c r="DT248" s="14683"/>
      <c r="DU248" s="14684"/>
      <c r="DV248" s="14685"/>
      <c r="DW248" s="14686"/>
      <c r="DX248" s="14687"/>
      <c r="DY248" s="14688"/>
      <c r="DZ248" s="14689"/>
      <c r="EA248" s="14690"/>
      <c r="EB248" s="14691"/>
      <c r="EC248" s="14692"/>
      <c r="ED248" s="14693"/>
      <c r="EE248" s="14694"/>
      <c r="EF248" s="14695"/>
      <c r="EG248" s="14696"/>
      <c r="EH248" s="14697"/>
      <c r="EI248" s="14698"/>
      <c r="EJ248" s="14699"/>
      <c r="EK248" s="14700"/>
      <c r="EL248" s="14701"/>
      <c r="EM248" s="21608"/>
      <c r="EN248" s="21609"/>
      <c r="EO248" s="14702"/>
      <c r="EP248" s="14703"/>
      <c r="EQ248" s="21610"/>
      <c r="ER248" s="14704"/>
      <c r="ES248" s="14705"/>
      <c r="ET248" s="14706"/>
      <c r="EU248" s="14707"/>
      <c r="EV248" s="14708"/>
      <c r="EW248" s="14709"/>
      <c r="EX248" s="3921"/>
      <c r="EY248" s="3922"/>
      <c r="EZ248" s="14710"/>
      <c r="FA248" s="14711"/>
      <c r="FB248" s="3923"/>
      <c r="FC248" s="14712"/>
      <c r="FD248" s="14713"/>
      <c r="FE248" s="14714"/>
      <c r="FF248" s="14715"/>
      <c r="FG248" s="14716"/>
      <c r="FH248" s="5720"/>
      <c r="FI248" s="22794"/>
      <c r="FJ248" s="22795"/>
      <c r="FK248" s="23562"/>
      <c r="FL248" s="23563"/>
      <c r="FM248" s="22796"/>
      <c r="FN248" s="23564"/>
      <c r="FO248" s="23565"/>
      <c r="FP248" s="22797"/>
      <c r="FQ248" s="22798"/>
      <c r="FR248" s="22799"/>
      <c r="FS248" s="23566"/>
      <c r="FT248" s="3924"/>
      <c r="FU248" s="3925"/>
      <c r="FV248" s="1568"/>
      <c r="FW248" s="1550"/>
      <c r="FX248" s="1550" t="str">
        <f t="shared" si="4"/>
        <v>Добавить группу потребителей</v>
      </c>
      <c r="FY248" s="1550"/>
      <c r="FZ248" s="1550"/>
      <c r="GA248" s="1561">
        <v>0</v>
      </c>
    </row>
    <row r="249" spans="1:183" s="1747" customFormat="1" ht="21" customHeight="1">
      <c r="A249" s="1289"/>
      <c r="B249" s="1289"/>
      <c r="C249" s="1289"/>
      <c r="D249" s="1289"/>
      <c r="E249" s="24089"/>
      <c r="F249" s="24089" t="s">
        <v>84</v>
      </c>
      <c r="G249" s="24089"/>
      <c r="H249" s="24088"/>
      <c r="I249" s="1289"/>
      <c r="J249" s="1289"/>
      <c r="K249" s="1289"/>
      <c r="L249" s="1295"/>
      <c r="M249" s="1291"/>
      <c r="N249" s="1291"/>
      <c r="O249" s="1292"/>
      <c r="P249" s="1720"/>
      <c r="Q249" s="311"/>
      <c r="R249" s="291"/>
      <c r="S249" s="3926"/>
      <c r="T249" s="3927" t="s">
        <v>714</v>
      </c>
      <c r="U249" s="3928"/>
      <c r="V249" s="3929"/>
      <c r="W249" s="3930"/>
      <c r="X249" s="3931"/>
      <c r="Y249" s="3932"/>
      <c r="Z249" s="3933"/>
      <c r="AA249" s="3934"/>
      <c r="AB249" s="3935"/>
      <c r="AC249" s="3936"/>
      <c r="AD249" s="3937"/>
      <c r="AE249" s="3938"/>
      <c r="AF249" s="3939"/>
      <c r="AG249" s="3940"/>
      <c r="AH249" s="3941"/>
      <c r="AI249" s="3942"/>
      <c r="AJ249" s="3943"/>
      <c r="AK249" s="3944"/>
      <c r="AL249" s="3945"/>
      <c r="AM249" s="3946"/>
      <c r="AN249" s="3947"/>
      <c r="AO249" s="3948"/>
      <c r="AP249" s="3949"/>
      <c r="AQ249" s="3950"/>
      <c r="AR249" s="7321"/>
      <c r="AS249" s="7322"/>
      <c r="AT249" s="7323"/>
      <c r="AU249" s="7324"/>
      <c r="AV249" s="7325"/>
      <c r="AW249" s="7326"/>
      <c r="AX249" s="7327"/>
      <c r="AY249" s="7328"/>
      <c r="AZ249" s="7329"/>
      <c r="BA249" s="7330"/>
      <c r="BB249" s="7331"/>
      <c r="BC249" s="7332"/>
      <c r="BD249" s="7333"/>
      <c r="BE249" s="14717"/>
      <c r="BF249" s="14718"/>
      <c r="BG249" s="21885"/>
      <c r="BH249" s="14719"/>
      <c r="BI249" s="14720"/>
      <c r="BJ249" s="14721"/>
      <c r="BK249" s="14722"/>
      <c r="BL249" s="14723"/>
      <c r="BM249" s="14724"/>
      <c r="BN249" s="3951"/>
      <c r="BO249" s="3952"/>
      <c r="BP249" s="14725"/>
      <c r="BQ249" s="14726"/>
      <c r="BR249" s="3953"/>
      <c r="BS249" s="14727"/>
      <c r="BT249" s="14728"/>
      <c r="BU249" s="14729"/>
      <c r="BV249" s="14730"/>
      <c r="BW249" s="14731"/>
      <c r="BX249" s="14732"/>
      <c r="BY249" s="14733"/>
      <c r="BZ249" s="14734"/>
      <c r="CA249" s="14735"/>
      <c r="CB249" s="14736"/>
      <c r="CC249" s="14737"/>
      <c r="CD249" s="14738"/>
      <c r="CE249" s="14739"/>
      <c r="CF249" s="14740"/>
      <c r="CG249" s="14741"/>
      <c r="CH249" s="14742"/>
      <c r="CI249" s="14743"/>
      <c r="CJ249" s="14744"/>
      <c r="CK249" s="14745"/>
      <c r="CL249" s="14746"/>
      <c r="CM249" s="14747"/>
      <c r="CN249" s="14748"/>
      <c r="CO249" s="14749"/>
      <c r="CP249" s="14750"/>
      <c r="CQ249" s="14751"/>
      <c r="CR249" s="14752"/>
      <c r="CS249" s="14753"/>
      <c r="CT249" s="14754"/>
      <c r="CU249" s="14755"/>
      <c r="CV249" s="14756"/>
      <c r="CW249" s="14757"/>
      <c r="CX249" s="14758"/>
      <c r="CY249" s="14759"/>
      <c r="CZ249" s="14760"/>
      <c r="DA249" s="14761"/>
      <c r="DB249" s="14762"/>
      <c r="DC249" s="14763"/>
      <c r="DD249" s="14764"/>
      <c r="DE249" s="14765"/>
      <c r="DF249" s="14766"/>
      <c r="DG249" s="14767"/>
      <c r="DH249" s="14768"/>
      <c r="DI249" s="14769"/>
      <c r="DJ249" s="14770"/>
      <c r="DK249" s="14771"/>
      <c r="DL249" s="14772"/>
      <c r="DM249" s="14773"/>
      <c r="DN249" s="14774"/>
      <c r="DO249" s="14775"/>
      <c r="DP249" s="14776"/>
      <c r="DQ249" s="14777"/>
      <c r="DR249" s="14778"/>
      <c r="DS249" s="14779"/>
      <c r="DT249" s="14780"/>
      <c r="DU249" s="14781"/>
      <c r="DV249" s="14782"/>
      <c r="DW249" s="14783"/>
      <c r="DX249" s="14784"/>
      <c r="DY249" s="14785"/>
      <c r="DZ249" s="14786"/>
      <c r="EA249" s="14787"/>
      <c r="EB249" s="14788"/>
      <c r="EC249" s="14789"/>
      <c r="ED249" s="14790"/>
      <c r="EE249" s="14791"/>
      <c r="EF249" s="14792"/>
      <c r="EG249" s="14793"/>
      <c r="EH249" s="14794"/>
      <c r="EI249" s="14795"/>
      <c r="EJ249" s="14796"/>
      <c r="EK249" s="14797"/>
      <c r="EL249" s="14798"/>
      <c r="EM249" s="21611"/>
      <c r="EN249" s="21612"/>
      <c r="EO249" s="14799"/>
      <c r="EP249" s="14800"/>
      <c r="EQ249" s="21613"/>
      <c r="ER249" s="14801"/>
      <c r="ES249" s="14802"/>
      <c r="ET249" s="14803"/>
      <c r="EU249" s="14804"/>
      <c r="EV249" s="14805"/>
      <c r="EW249" s="14806"/>
      <c r="EX249" s="3954"/>
      <c r="EY249" s="3955"/>
      <c r="EZ249" s="14807"/>
      <c r="FA249" s="14808"/>
      <c r="FB249" s="3956"/>
      <c r="FC249" s="14809"/>
      <c r="FD249" s="14810"/>
      <c r="FE249" s="14811"/>
      <c r="FF249" s="14812"/>
      <c r="FG249" s="14813"/>
      <c r="FH249" s="5721"/>
      <c r="FI249" s="22800"/>
      <c r="FJ249" s="22801"/>
      <c r="FK249" s="23567"/>
      <c r="FL249" s="23568"/>
      <c r="FM249" s="22802"/>
      <c r="FN249" s="23569"/>
      <c r="FO249" s="23570"/>
      <c r="FP249" s="22803"/>
      <c r="FQ249" s="22804"/>
      <c r="FR249" s="22805"/>
      <c r="FS249" s="23571"/>
      <c r="FT249" s="3957"/>
      <c r="FU249" s="3958"/>
      <c r="FV249" s="1568"/>
      <c r="FW249" s="1550"/>
      <c r="FX249" s="1550" t="str">
        <f t="shared" si="4"/>
        <v>Добавить наименование признака дифференциации</v>
      </c>
      <c r="FY249" s="1550"/>
      <c r="FZ249" s="1550"/>
      <c r="GA249" s="1561">
        <v>0</v>
      </c>
    </row>
    <row r="250" spans="1:183" s="558" customFormat="1" ht="14.25" customHeight="1">
      <c r="A250" s="1269"/>
      <c r="B250" s="1269"/>
      <c r="C250" s="1269"/>
      <c r="D250" s="1269"/>
      <c r="E250" s="24089"/>
      <c r="F250" s="24088" t="s">
        <v>84</v>
      </c>
      <c r="G250" s="1269"/>
      <c r="H250" s="1269"/>
      <c r="I250" s="1269"/>
      <c r="J250" s="1269"/>
      <c r="K250" s="1269"/>
      <c r="L250" s="1471"/>
      <c r="M250" s="1247"/>
      <c r="N250" s="1247"/>
      <c r="O250" s="1568"/>
      <c r="P250" s="1242"/>
      <c r="Q250" s="1270"/>
      <c r="R250" s="1242"/>
      <c r="S250" s="1248"/>
      <c r="T250" s="1251" t="s">
        <v>370</v>
      </c>
      <c r="U250" s="1250"/>
      <c r="V250" s="1250"/>
      <c r="W250" s="1250"/>
      <c r="X250" s="1250"/>
      <c r="Y250" s="1250"/>
      <c r="Z250" s="1250"/>
      <c r="AA250" s="1250"/>
      <c r="AB250" s="1250"/>
      <c r="AC250" s="1250"/>
      <c r="AD250" s="1250"/>
      <c r="AE250" s="1250"/>
      <c r="AF250" s="1250"/>
      <c r="AG250" s="1250"/>
      <c r="AH250" s="1250"/>
      <c r="AI250" s="1250"/>
      <c r="AJ250" s="1250"/>
      <c r="AK250" s="1250"/>
      <c r="AL250" s="1250"/>
      <c r="AM250" s="1250"/>
      <c r="AN250" s="1250"/>
      <c r="AO250" s="1250"/>
      <c r="AP250" s="1250"/>
      <c r="AQ250" s="1250"/>
      <c r="AR250" s="1250"/>
      <c r="AS250" s="1250"/>
      <c r="AT250" s="1250"/>
      <c r="AU250" s="1250"/>
      <c r="AV250" s="1250"/>
      <c r="AW250" s="1250"/>
      <c r="AX250" s="1250"/>
      <c r="AY250" s="1250"/>
      <c r="AZ250" s="1250"/>
      <c r="BA250" s="1250"/>
      <c r="BB250" s="1250"/>
      <c r="BC250" s="1250"/>
      <c r="BD250" s="1250"/>
      <c r="BE250" s="1250"/>
      <c r="BF250" s="1250"/>
      <c r="BG250" s="1250"/>
      <c r="BH250" s="1250"/>
      <c r="BI250" s="1250"/>
      <c r="BJ250" s="1250"/>
      <c r="BK250" s="1250"/>
      <c r="BL250" s="1250"/>
      <c r="BM250" s="1250"/>
      <c r="BN250" s="1250"/>
      <c r="BO250" s="1250"/>
      <c r="BP250" s="1250"/>
      <c r="BQ250" s="1250"/>
      <c r="BR250" s="1250"/>
      <c r="BS250" s="1250"/>
      <c r="BT250" s="1250"/>
      <c r="BU250" s="1250"/>
      <c r="BV250" s="1250"/>
      <c r="BW250" s="1250"/>
      <c r="BX250" s="1250"/>
      <c r="BY250" s="1250"/>
      <c r="BZ250" s="1250"/>
      <c r="CA250" s="1250"/>
      <c r="CB250" s="1250"/>
      <c r="CC250" s="1250"/>
      <c r="CD250" s="1250"/>
      <c r="CE250" s="1250"/>
      <c r="CF250" s="1250"/>
      <c r="CG250" s="1250"/>
      <c r="CH250" s="1250"/>
      <c r="CI250" s="1250"/>
      <c r="CJ250" s="1250"/>
      <c r="CK250" s="1250"/>
      <c r="CL250" s="1250"/>
      <c r="CM250" s="1250"/>
      <c r="CN250" s="1250"/>
      <c r="CO250" s="1250"/>
      <c r="CP250" s="1250"/>
      <c r="CQ250" s="1250"/>
      <c r="CR250" s="1250"/>
      <c r="CS250" s="1250"/>
      <c r="CT250" s="1250"/>
      <c r="CU250" s="1250"/>
      <c r="CV250" s="1250"/>
      <c r="CW250" s="1250"/>
      <c r="CX250" s="1250"/>
      <c r="CY250" s="1250"/>
      <c r="CZ250" s="1250"/>
      <c r="DA250" s="1250"/>
      <c r="DB250" s="1250"/>
      <c r="DC250" s="1250"/>
      <c r="DD250" s="1250"/>
      <c r="DE250" s="1250"/>
      <c r="DF250" s="1250"/>
      <c r="DG250" s="1250"/>
      <c r="DH250" s="1250"/>
      <c r="DI250" s="1250"/>
      <c r="DJ250" s="1250"/>
      <c r="DK250" s="1250"/>
      <c r="DL250" s="1250"/>
      <c r="DM250" s="1250"/>
      <c r="DN250" s="1250"/>
      <c r="DO250" s="1250"/>
      <c r="DP250" s="1250"/>
      <c r="DQ250" s="1250"/>
      <c r="DR250" s="1250"/>
      <c r="DS250" s="1250"/>
      <c r="DT250" s="1250"/>
      <c r="DU250" s="1250"/>
      <c r="DV250" s="1250"/>
      <c r="DW250" s="1250"/>
      <c r="DX250" s="1250"/>
      <c r="DY250" s="1250"/>
      <c r="DZ250" s="1250"/>
      <c r="EA250" s="1250"/>
      <c r="EB250" s="1250"/>
      <c r="EC250" s="1250"/>
      <c r="ED250" s="1250"/>
      <c r="EE250" s="1250"/>
      <c r="EF250" s="1250"/>
      <c r="EG250" s="1250"/>
      <c r="EH250" s="1250"/>
      <c r="EI250" s="1250"/>
      <c r="EJ250" s="1250"/>
      <c r="EK250" s="1250"/>
      <c r="EL250" s="1250"/>
      <c r="EM250" s="1250"/>
      <c r="EN250" s="1250"/>
      <c r="EO250" s="1250"/>
      <c r="EP250" s="1250"/>
      <c r="EQ250" s="1250"/>
      <c r="ER250" s="1250"/>
      <c r="ES250" s="1250"/>
      <c r="ET250" s="1250"/>
      <c r="EU250" s="1250"/>
      <c r="EV250" s="1250"/>
      <c r="EW250" s="1250"/>
      <c r="EX250" s="1250"/>
      <c r="EY250" s="1250"/>
      <c r="EZ250" s="1250"/>
      <c r="FA250" s="1250"/>
      <c r="FB250" s="1250"/>
      <c r="FC250" s="1250"/>
      <c r="FD250" s="1250"/>
      <c r="FE250" s="1250"/>
      <c r="FF250" s="1250"/>
      <c r="FG250" s="1250"/>
      <c r="FH250" s="1250"/>
      <c r="FI250" s="1250"/>
      <c r="FJ250" s="1250"/>
      <c r="FK250" s="1250"/>
      <c r="FL250" s="1250"/>
      <c r="FM250" s="1250"/>
      <c r="FN250" s="1250"/>
      <c r="FO250" s="1250"/>
      <c r="FP250" s="1250"/>
      <c r="FQ250" s="1250"/>
      <c r="FR250" s="1250"/>
      <c r="FS250" s="1250"/>
      <c r="FT250" s="1250"/>
      <c r="FU250" s="1250"/>
      <c r="FV250" s="1568"/>
      <c r="FW250" s="1550"/>
      <c r="FX250" s="1550" t="str">
        <f t="shared" si="4"/>
        <v>Добавить централизованную систему для дифференциации</v>
      </c>
      <c r="FY250" s="1550"/>
      <c r="FZ250" s="1550"/>
      <c r="GA250" s="1568">
        <v>0</v>
      </c>
    </row>
    <row r="251" spans="1:183" s="1747" customFormat="1" ht="23.25" customHeight="1">
      <c r="A251" s="1289"/>
      <c r="B251" s="1289" t="s">
        <v>412</v>
      </c>
      <c r="C251" s="1289"/>
      <c r="D251" s="1289"/>
      <c r="E251" s="24089"/>
      <c r="F251" s="24088" t="s">
        <v>128</v>
      </c>
      <c r="G251" s="1289"/>
      <c r="H251" s="1289"/>
      <c r="I251" s="1289"/>
      <c r="J251" s="1289"/>
      <c r="K251" s="1289"/>
      <c r="L251" s="1295"/>
      <c r="M251" s="1291"/>
      <c r="N251" s="1291"/>
      <c r="O251" s="1291"/>
      <c r="P251" s="1971"/>
      <c r="Q251" s="288"/>
      <c r="R251" s="289"/>
      <c r="S251" s="1976" t="str">
        <f>INDEX(PT_DIFFERENTIATION_NUM_TER,MATCH(B251,PT_DIFFERENTIATION_TER_ID,0))</f>
        <v>1.9</v>
      </c>
      <c r="T251" s="1448" t="s">
        <v>626</v>
      </c>
      <c r="U251" s="236"/>
      <c r="V251" s="24082"/>
      <c r="W251" s="24083"/>
      <c r="X251" s="24083"/>
      <c r="Y251" s="24083"/>
      <c r="Z251" s="24083"/>
      <c r="AA251" s="24083"/>
      <c r="AB251" s="24083"/>
      <c r="AC251" s="24083"/>
      <c r="AD251" s="24083"/>
      <c r="AE251" s="24083"/>
      <c r="AF251" s="24084"/>
      <c r="AG251" s="24082" t="str">
        <f>INDEX(PT_DIFFERENTIATION_TER,MATCH(B251,PT_DIFFERENTIATION_TER_ID,0))</f>
        <v>Территория 9</v>
      </c>
      <c r="AH251" s="24083"/>
      <c r="AI251" s="24083"/>
      <c r="AJ251" s="24083"/>
      <c r="AK251" s="24083"/>
      <c r="AL251" s="24083"/>
      <c r="AM251" s="24083"/>
      <c r="AN251" s="24083"/>
      <c r="AO251" s="24083"/>
      <c r="AP251" s="24083"/>
      <c r="AQ251" s="24083"/>
      <c r="AR251" s="24173"/>
      <c r="AS251" s="24174"/>
      <c r="AT251" s="24174"/>
      <c r="AU251" s="24174"/>
      <c r="AV251" s="24174"/>
      <c r="AW251" s="24174"/>
      <c r="AX251" s="24174"/>
      <c r="AY251" s="24174"/>
      <c r="AZ251" s="24174"/>
      <c r="BA251" s="24174"/>
      <c r="BB251" s="24175"/>
      <c r="BC251" s="24173"/>
      <c r="BD251" s="24174"/>
      <c r="BE251" s="24174"/>
      <c r="BF251" s="24174"/>
      <c r="BG251" s="24174"/>
      <c r="BH251" s="24174"/>
      <c r="BI251" s="24174"/>
      <c r="BJ251" s="24174"/>
      <c r="BK251" s="24174"/>
      <c r="BL251" s="24174"/>
      <c r="BM251" s="24175"/>
      <c r="BN251" s="24082"/>
      <c r="BO251" s="24083"/>
      <c r="BP251" s="24174"/>
      <c r="BQ251" s="24174"/>
      <c r="BR251" s="24083"/>
      <c r="BS251" s="24174"/>
      <c r="BT251" s="24174"/>
      <c r="BU251" s="24174"/>
      <c r="BV251" s="24174"/>
      <c r="BW251" s="24174"/>
      <c r="BX251" s="24175"/>
      <c r="BY251" s="24173"/>
      <c r="BZ251" s="24174"/>
      <c r="CA251" s="24174"/>
      <c r="CB251" s="24174"/>
      <c r="CC251" s="24174"/>
      <c r="CD251" s="24174"/>
      <c r="CE251" s="24174"/>
      <c r="CF251" s="24174"/>
      <c r="CG251" s="24174"/>
      <c r="CH251" s="24174"/>
      <c r="CI251" s="24175"/>
      <c r="CJ251" s="24173"/>
      <c r="CK251" s="24174"/>
      <c r="CL251" s="24174"/>
      <c r="CM251" s="24174"/>
      <c r="CN251" s="24174"/>
      <c r="CO251" s="24174"/>
      <c r="CP251" s="24174"/>
      <c r="CQ251" s="24174"/>
      <c r="CR251" s="24174"/>
      <c r="CS251" s="24174"/>
      <c r="CT251" s="24175"/>
      <c r="CU251" s="24173"/>
      <c r="CV251" s="24174"/>
      <c r="CW251" s="24174"/>
      <c r="CX251" s="24174"/>
      <c r="CY251" s="24174"/>
      <c r="CZ251" s="24174"/>
      <c r="DA251" s="24174"/>
      <c r="DB251" s="24174"/>
      <c r="DC251" s="24174"/>
      <c r="DD251" s="24174"/>
      <c r="DE251" s="24175"/>
      <c r="DF251" s="24173"/>
      <c r="DG251" s="24174"/>
      <c r="DH251" s="24174"/>
      <c r="DI251" s="24174"/>
      <c r="DJ251" s="24174"/>
      <c r="DK251" s="24174"/>
      <c r="DL251" s="24174"/>
      <c r="DM251" s="24174"/>
      <c r="DN251" s="24174"/>
      <c r="DO251" s="24174"/>
      <c r="DP251" s="24175"/>
      <c r="DQ251" s="24173"/>
      <c r="DR251" s="24174"/>
      <c r="DS251" s="24174"/>
      <c r="DT251" s="24174"/>
      <c r="DU251" s="24174"/>
      <c r="DV251" s="24174"/>
      <c r="DW251" s="24174"/>
      <c r="DX251" s="24174"/>
      <c r="DY251" s="24174"/>
      <c r="DZ251" s="24174"/>
      <c r="EA251" s="24175"/>
      <c r="EB251" s="24173"/>
      <c r="EC251" s="24174"/>
      <c r="ED251" s="24174"/>
      <c r="EE251" s="24174"/>
      <c r="EF251" s="24174"/>
      <c r="EG251" s="24174"/>
      <c r="EH251" s="24174"/>
      <c r="EI251" s="24174"/>
      <c r="EJ251" s="24174"/>
      <c r="EK251" s="24174"/>
      <c r="EL251" s="24175"/>
      <c r="EM251" s="24173"/>
      <c r="EN251" s="24174"/>
      <c r="EO251" s="24174"/>
      <c r="EP251" s="24174"/>
      <c r="EQ251" s="24174"/>
      <c r="ER251" s="24174"/>
      <c r="ES251" s="24174"/>
      <c r="ET251" s="24174"/>
      <c r="EU251" s="24174"/>
      <c r="EV251" s="24174"/>
      <c r="EW251" s="24175"/>
      <c r="EX251" s="24082"/>
      <c r="EY251" s="24083"/>
      <c r="EZ251" s="24174"/>
      <c r="FA251" s="24174"/>
      <c r="FB251" s="24083"/>
      <c r="FC251" s="24174"/>
      <c r="FD251" s="24174"/>
      <c r="FE251" s="24174"/>
      <c r="FF251" s="24174"/>
      <c r="FG251" s="24174"/>
      <c r="FH251" s="24175"/>
      <c r="FI251" s="24082"/>
      <c r="FJ251" s="24083"/>
      <c r="FK251" s="24174"/>
      <c r="FL251" s="24174"/>
      <c r="FM251" s="24083"/>
      <c r="FN251" s="24174"/>
      <c r="FO251" s="24174"/>
      <c r="FP251" s="24083"/>
      <c r="FQ251" s="24083"/>
      <c r="FR251" s="24083"/>
      <c r="FS251" s="24175"/>
      <c r="FT251" s="24084"/>
      <c r="FU251" s="1184" t="s">
        <v>627</v>
      </c>
      <c r="FV251" s="1568"/>
      <c r="FW251" s="1550"/>
      <c r="FX251" s="1550" t="str">
        <f t="shared" si="4"/>
        <v>Территория действия тарифа</v>
      </c>
      <c r="FY251" s="1550"/>
      <c r="FZ251" s="1550"/>
      <c r="GA251" s="1561">
        <v>0</v>
      </c>
    </row>
    <row r="252" spans="1:183" s="1747" customFormat="1" ht="23.25" customHeight="1">
      <c r="A252" s="1289"/>
      <c r="B252" s="1289"/>
      <c r="C252" s="1289" t="s">
        <v>413</v>
      </c>
      <c r="D252" s="1289"/>
      <c r="E252" s="24089"/>
      <c r="F252" s="24089" t="s">
        <v>90</v>
      </c>
      <c r="G252" s="24088">
        <v>1</v>
      </c>
      <c r="H252" s="1289"/>
      <c r="I252" s="1289"/>
      <c r="J252" s="1289"/>
      <c r="K252" s="1289"/>
      <c r="L252" s="1295"/>
      <c r="M252" s="1291"/>
      <c r="N252" s="1291"/>
      <c r="O252" s="1291"/>
      <c r="P252" s="290"/>
      <c r="Q252" s="288"/>
      <c r="R252" s="289"/>
      <c r="S252" s="1976" t="str">
        <f>INDEX(PT_DIFFERENTIATION_NUM_CS,MATCH(C252,PT_DIFFERENTIATION_CS_ID,0))</f>
        <v>1.9.1</v>
      </c>
      <c r="T252" s="245" t="s">
        <v>756</v>
      </c>
      <c r="U252" s="236"/>
      <c r="V252" s="24082"/>
      <c r="W252" s="24083"/>
      <c r="X252" s="24083"/>
      <c r="Y252" s="24083"/>
      <c r="Z252" s="24083"/>
      <c r="AA252" s="24083"/>
      <c r="AB252" s="24083"/>
      <c r="AC252" s="24083"/>
      <c r="AD252" s="24083"/>
      <c r="AE252" s="24083"/>
      <c r="AF252" s="24084"/>
      <c r="AG252" s="24082" t="str">
        <f>INDEX(PT_DIFFERENTIATION_CS,MATCH(C252,PT_DIFFERENTIATION_CS_ID,0))</f>
        <v>д. Лосня Починковского муниципального округа Смоленской области</v>
      </c>
      <c r="AH252" s="24083"/>
      <c r="AI252" s="24083"/>
      <c r="AJ252" s="24083"/>
      <c r="AK252" s="24083"/>
      <c r="AL252" s="24083"/>
      <c r="AM252" s="24083"/>
      <c r="AN252" s="24083"/>
      <c r="AO252" s="24083"/>
      <c r="AP252" s="24083"/>
      <c r="AQ252" s="24083"/>
      <c r="AR252" s="24173"/>
      <c r="AS252" s="24174"/>
      <c r="AT252" s="24174"/>
      <c r="AU252" s="24174"/>
      <c r="AV252" s="24174"/>
      <c r="AW252" s="24174"/>
      <c r="AX252" s="24174"/>
      <c r="AY252" s="24174"/>
      <c r="AZ252" s="24174"/>
      <c r="BA252" s="24174"/>
      <c r="BB252" s="24175"/>
      <c r="BC252" s="24173"/>
      <c r="BD252" s="24174"/>
      <c r="BE252" s="24174"/>
      <c r="BF252" s="24174"/>
      <c r="BG252" s="24174"/>
      <c r="BH252" s="24174"/>
      <c r="BI252" s="24174"/>
      <c r="BJ252" s="24174"/>
      <c r="BK252" s="24174"/>
      <c r="BL252" s="24174"/>
      <c r="BM252" s="24175"/>
      <c r="BN252" s="24082"/>
      <c r="BO252" s="24083"/>
      <c r="BP252" s="24174"/>
      <c r="BQ252" s="24174"/>
      <c r="BR252" s="24083"/>
      <c r="BS252" s="24174"/>
      <c r="BT252" s="24174"/>
      <c r="BU252" s="24174"/>
      <c r="BV252" s="24174"/>
      <c r="BW252" s="24174"/>
      <c r="BX252" s="24175"/>
      <c r="BY252" s="24173"/>
      <c r="BZ252" s="24174"/>
      <c r="CA252" s="24174"/>
      <c r="CB252" s="24174"/>
      <c r="CC252" s="24174"/>
      <c r="CD252" s="24174"/>
      <c r="CE252" s="24174"/>
      <c r="CF252" s="24174"/>
      <c r="CG252" s="24174"/>
      <c r="CH252" s="24174"/>
      <c r="CI252" s="24175"/>
      <c r="CJ252" s="24173"/>
      <c r="CK252" s="24174"/>
      <c r="CL252" s="24174"/>
      <c r="CM252" s="24174"/>
      <c r="CN252" s="24174"/>
      <c r="CO252" s="24174"/>
      <c r="CP252" s="24174"/>
      <c r="CQ252" s="24174"/>
      <c r="CR252" s="24174"/>
      <c r="CS252" s="24174"/>
      <c r="CT252" s="24175"/>
      <c r="CU252" s="24173"/>
      <c r="CV252" s="24174"/>
      <c r="CW252" s="24174"/>
      <c r="CX252" s="24174"/>
      <c r="CY252" s="24174"/>
      <c r="CZ252" s="24174"/>
      <c r="DA252" s="24174"/>
      <c r="DB252" s="24174"/>
      <c r="DC252" s="24174"/>
      <c r="DD252" s="24174"/>
      <c r="DE252" s="24175"/>
      <c r="DF252" s="24173"/>
      <c r="DG252" s="24174"/>
      <c r="DH252" s="24174"/>
      <c r="DI252" s="24174"/>
      <c r="DJ252" s="24174"/>
      <c r="DK252" s="24174"/>
      <c r="DL252" s="24174"/>
      <c r="DM252" s="24174"/>
      <c r="DN252" s="24174"/>
      <c r="DO252" s="24174"/>
      <c r="DP252" s="24175"/>
      <c r="DQ252" s="24173"/>
      <c r="DR252" s="24174"/>
      <c r="DS252" s="24174"/>
      <c r="DT252" s="24174"/>
      <c r="DU252" s="24174"/>
      <c r="DV252" s="24174"/>
      <c r="DW252" s="24174"/>
      <c r="DX252" s="24174"/>
      <c r="DY252" s="24174"/>
      <c r="DZ252" s="24174"/>
      <c r="EA252" s="24175"/>
      <c r="EB252" s="24173"/>
      <c r="EC252" s="24174"/>
      <c r="ED252" s="24174"/>
      <c r="EE252" s="24174"/>
      <c r="EF252" s="24174"/>
      <c r="EG252" s="24174"/>
      <c r="EH252" s="24174"/>
      <c r="EI252" s="24174"/>
      <c r="EJ252" s="24174"/>
      <c r="EK252" s="24174"/>
      <c r="EL252" s="24175"/>
      <c r="EM252" s="24173"/>
      <c r="EN252" s="24174"/>
      <c r="EO252" s="24174"/>
      <c r="EP252" s="24174"/>
      <c r="EQ252" s="24174"/>
      <c r="ER252" s="24174"/>
      <c r="ES252" s="24174"/>
      <c r="ET252" s="24174"/>
      <c r="EU252" s="24174"/>
      <c r="EV252" s="24174"/>
      <c r="EW252" s="24175"/>
      <c r="EX252" s="24082"/>
      <c r="EY252" s="24083"/>
      <c r="EZ252" s="24174"/>
      <c r="FA252" s="24174"/>
      <c r="FB252" s="24083"/>
      <c r="FC252" s="24174"/>
      <c r="FD252" s="24174"/>
      <c r="FE252" s="24174"/>
      <c r="FF252" s="24174"/>
      <c r="FG252" s="24174"/>
      <c r="FH252" s="24175"/>
      <c r="FI252" s="24082"/>
      <c r="FJ252" s="24083"/>
      <c r="FK252" s="24174"/>
      <c r="FL252" s="24174"/>
      <c r="FM252" s="24083"/>
      <c r="FN252" s="24174"/>
      <c r="FO252" s="24174"/>
      <c r="FP252" s="24083"/>
      <c r="FQ252" s="24083"/>
      <c r="FR252" s="24083"/>
      <c r="FS252" s="24175"/>
      <c r="FT252" s="24084"/>
      <c r="FU252" s="1184" t="s">
        <v>757</v>
      </c>
      <c r="FV252" s="1568"/>
      <c r="FW252" s="1550"/>
      <c r="FX252" s="1550" t="str">
        <f t="shared" si="4"/>
        <v>Наименование централизованной системы горячего водоснабжения</v>
      </c>
      <c r="FY252" s="1550"/>
      <c r="FZ252" s="1550"/>
      <c r="GA252" s="1561">
        <v>0</v>
      </c>
    </row>
    <row r="253" spans="1:183" s="1747" customFormat="1" ht="23.25" customHeight="1">
      <c r="A253" s="1289"/>
      <c r="B253" s="1289"/>
      <c r="C253" s="1289"/>
      <c r="D253" s="1289"/>
      <c r="E253" s="24089"/>
      <c r="F253" s="24089" t="s">
        <v>90</v>
      </c>
      <c r="G253" s="24089"/>
      <c r="H253" s="24089"/>
      <c r="I253" s="24090" t="str">
        <f>S252&amp;".1"</f>
        <v>1.9.1.1</v>
      </c>
      <c r="J253" s="1289"/>
      <c r="K253" s="1289"/>
      <c r="L253" s="1295"/>
      <c r="M253" s="1674"/>
      <c r="N253" s="1674"/>
      <c r="O253" s="1674"/>
      <c r="P253" s="24092">
        <v>1</v>
      </c>
      <c r="Q253" s="1978"/>
      <c r="R253" s="292"/>
      <c r="S253" s="1976" t="str">
        <f>$I253</f>
        <v>1.9.1.1</v>
      </c>
      <c r="T253" s="221" t="s">
        <v>709</v>
      </c>
      <c r="U253" s="236"/>
      <c r="V253" s="24156"/>
      <c r="W253" s="24157"/>
      <c r="X253" s="24157"/>
      <c r="Y253" s="24157"/>
      <c r="Z253" s="24157"/>
      <c r="AA253" s="24157"/>
      <c r="AB253" s="24157"/>
      <c r="AC253" s="24157"/>
      <c r="AD253" s="24157"/>
      <c r="AE253" s="24157"/>
      <c r="AF253" s="24158"/>
      <c r="AG253" s="24159"/>
      <c r="AH253" s="24160"/>
      <c r="AI253" s="24160"/>
      <c r="AJ253" s="24160"/>
      <c r="AK253" s="24160"/>
      <c r="AL253" s="24160"/>
      <c r="AM253" s="24160"/>
      <c r="AN253" s="24160"/>
      <c r="AO253" s="24160"/>
      <c r="AP253" s="24160"/>
      <c r="AQ253" s="24160"/>
      <c r="AR253" s="24176"/>
      <c r="AS253" s="24177"/>
      <c r="AT253" s="24177"/>
      <c r="AU253" s="24177"/>
      <c r="AV253" s="24177"/>
      <c r="AW253" s="24177"/>
      <c r="AX253" s="24177"/>
      <c r="AY253" s="24177"/>
      <c r="AZ253" s="24177"/>
      <c r="BA253" s="24177"/>
      <c r="BB253" s="24178"/>
      <c r="BC253" s="24176"/>
      <c r="BD253" s="24177"/>
      <c r="BE253" s="24177"/>
      <c r="BF253" s="24177"/>
      <c r="BG253" s="24177"/>
      <c r="BH253" s="24177"/>
      <c r="BI253" s="24177"/>
      <c r="BJ253" s="24177"/>
      <c r="BK253" s="24177"/>
      <c r="BL253" s="24177"/>
      <c r="BM253" s="24178"/>
      <c r="BN253" s="24156"/>
      <c r="BO253" s="24157"/>
      <c r="BP253" s="24177"/>
      <c r="BQ253" s="24177"/>
      <c r="BR253" s="24157"/>
      <c r="BS253" s="24177"/>
      <c r="BT253" s="24177"/>
      <c r="BU253" s="24177"/>
      <c r="BV253" s="24177"/>
      <c r="BW253" s="24177"/>
      <c r="BX253" s="24178"/>
      <c r="BY253" s="24176"/>
      <c r="BZ253" s="24177"/>
      <c r="CA253" s="24177"/>
      <c r="CB253" s="24177"/>
      <c r="CC253" s="24177"/>
      <c r="CD253" s="24177"/>
      <c r="CE253" s="24177"/>
      <c r="CF253" s="24177"/>
      <c r="CG253" s="24177"/>
      <c r="CH253" s="24177"/>
      <c r="CI253" s="24178"/>
      <c r="CJ253" s="24176"/>
      <c r="CK253" s="24177"/>
      <c r="CL253" s="24177"/>
      <c r="CM253" s="24177"/>
      <c r="CN253" s="24177"/>
      <c r="CO253" s="24177"/>
      <c r="CP253" s="24177"/>
      <c r="CQ253" s="24177"/>
      <c r="CR253" s="24177"/>
      <c r="CS253" s="24177"/>
      <c r="CT253" s="24178"/>
      <c r="CU253" s="24176"/>
      <c r="CV253" s="24177"/>
      <c r="CW253" s="24177"/>
      <c r="CX253" s="24177"/>
      <c r="CY253" s="24177"/>
      <c r="CZ253" s="24177"/>
      <c r="DA253" s="24177"/>
      <c r="DB253" s="24177"/>
      <c r="DC253" s="24177"/>
      <c r="DD253" s="24177"/>
      <c r="DE253" s="24178"/>
      <c r="DF253" s="24176"/>
      <c r="DG253" s="24177"/>
      <c r="DH253" s="24177"/>
      <c r="DI253" s="24177"/>
      <c r="DJ253" s="24177"/>
      <c r="DK253" s="24177"/>
      <c r="DL253" s="24177"/>
      <c r="DM253" s="24177"/>
      <c r="DN253" s="24177"/>
      <c r="DO253" s="24177"/>
      <c r="DP253" s="24178"/>
      <c r="DQ253" s="24176"/>
      <c r="DR253" s="24177"/>
      <c r="DS253" s="24177"/>
      <c r="DT253" s="24177"/>
      <c r="DU253" s="24177"/>
      <c r="DV253" s="24177"/>
      <c r="DW253" s="24177"/>
      <c r="DX253" s="24177"/>
      <c r="DY253" s="24177"/>
      <c r="DZ253" s="24177"/>
      <c r="EA253" s="24178"/>
      <c r="EB253" s="24176"/>
      <c r="EC253" s="24177"/>
      <c r="ED253" s="24177"/>
      <c r="EE253" s="24177"/>
      <c r="EF253" s="24177"/>
      <c r="EG253" s="24177"/>
      <c r="EH253" s="24177"/>
      <c r="EI253" s="24177"/>
      <c r="EJ253" s="24177"/>
      <c r="EK253" s="24177"/>
      <c r="EL253" s="24178"/>
      <c r="EM253" s="24176"/>
      <c r="EN253" s="24177"/>
      <c r="EO253" s="24177"/>
      <c r="EP253" s="24177"/>
      <c r="EQ253" s="24177"/>
      <c r="ER253" s="24177"/>
      <c r="ES253" s="24177"/>
      <c r="ET253" s="24177"/>
      <c r="EU253" s="24177"/>
      <c r="EV253" s="24177"/>
      <c r="EW253" s="24178"/>
      <c r="EX253" s="24156"/>
      <c r="EY253" s="24157"/>
      <c r="EZ253" s="24177"/>
      <c r="FA253" s="24177"/>
      <c r="FB253" s="24157"/>
      <c r="FC253" s="24177"/>
      <c r="FD253" s="24177"/>
      <c r="FE253" s="24177"/>
      <c r="FF253" s="24177"/>
      <c r="FG253" s="24177"/>
      <c r="FH253" s="24178"/>
      <c r="FI253" s="24156"/>
      <c r="FJ253" s="24157"/>
      <c r="FK253" s="24177"/>
      <c r="FL253" s="24177"/>
      <c r="FM253" s="24157"/>
      <c r="FN253" s="24177"/>
      <c r="FO253" s="24177"/>
      <c r="FP253" s="24157"/>
      <c r="FQ253" s="24157"/>
      <c r="FR253" s="24157"/>
      <c r="FS253" s="24178"/>
      <c r="FT253" s="24161"/>
      <c r="FU253" s="1184" t="s">
        <v>710</v>
      </c>
      <c r="FV253" s="1568"/>
      <c r="FW253" s="1550"/>
      <c r="FX253" s="1550" t="str">
        <f t="shared" si="4"/>
        <v>Наименование признака дифференциации</v>
      </c>
      <c r="FY253" s="1550"/>
      <c r="FZ253" s="1550"/>
      <c r="GA253" s="1561">
        <v>0</v>
      </c>
    </row>
    <row r="254" spans="1:183" s="1747" customFormat="1" ht="23.25" customHeight="1">
      <c r="A254" s="1289"/>
      <c r="B254" s="1289"/>
      <c r="C254" s="1289"/>
      <c r="D254" s="1289"/>
      <c r="E254" s="24089"/>
      <c r="F254" s="24089" t="s">
        <v>90</v>
      </c>
      <c r="G254" s="24089"/>
      <c r="H254" s="24089"/>
      <c r="I254" s="24091"/>
      <c r="J254" s="24090" t="str">
        <f>I253&amp;".1"</f>
        <v>1.9.1.1.1</v>
      </c>
      <c r="K254" s="1289"/>
      <c r="L254" s="1295" t="s">
        <v>635</v>
      </c>
      <c r="M254" s="1674"/>
      <c r="N254" s="1674"/>
      <c r="O254" s="1674"/>
      <c r="P254" s="24092"/>
      <c r="Q254" s="24092">
        <v>1</v>
      </c>
      <c r="R254" s="293"/>
      <c r="S254" s="1976" t="str">
        <f>$J254</f>
        <v>1.9.1.1.1</v>
      </c>
      <c r="T254" s="222" t="s">
        <v>636</v>
      </c>
      <c r="U254" s="236"/>
      <c r="V254" s="24076"/>
      <c r="W254" s="24077"/>
      <c r="X254" s="24077"/>
      <c r="Y254" s="24077"/>
      <c r="Z254" s="24077"/>
      <c r="AA254" s="24077"/>
      <c r="AB254" s="24077"/>
      <c r="AC254" s="24077"/>
      <c r="AD254" s="24077"/>
      <c r="AE254" s="24077"/>
      <c r="AF254" s="24078"/>
      <c r="AG254" s="24076" t="s">
        <v>769</v>
      </c>
      <c r="AH254" s="24077"/>
      <c r="AI254" s="24077"/>
      <c r="AJ254" s="24077"/>
      <c r="AK254" s="24077"/>
      <c r="AL254" s="24077"/>
      <c r="AM254" s="24077"/>
      <c r="AN254" s="24077"/>
      <c r="AO254" s="24077"/>
      <c r="AP254" s="24077"/>
      <c r="AQ254" s="24077"/>
      <c r="AR254" s="24179"/>
      <c r="AS254" s="24180"/>
      <c r="AT254" s="24180"/>
      <c r="AU254" s="24180"/>
      <c r="AV254" s="24180"/>
      <c r="AW254" s="24180"/>
      <c r="AX254" s="24180"/>
      <c r="AY254" s="24180"/>
      <c r="AZ254" s="24180"/>
      <c r="BA254" s="24180"/>
      <c r="BB254" s="24181"/>
      <c r="BC254" s="24179"/>
      <c r="BD254" s="24180"/>
      <c r="BE254" s="24180"/>
      <c r="BF254" s="24180"/>
      <c r="BG254" s="24180"/>
      <c r="BH254" s="24180"/>
      <c r="BI254" s="24180"/>
      <c r="BJ254" s="24180"/>
      <c r="BK254" s="24180"/>
      <c r="BL254" s="24180"/>
      <c r="BM254" s="24181"/>
      <c r="BN254" s="24076"/>
      <c r="BO254" s="24077"/>
      <c r="BP254" s="24180"/>
      <c r="BQ254" s="24180"/>
      <c r="BR254" s="24077"/>
      <c r="BS254" s="24180"/>
      <c r="BT254" s="24180"/>
      <c r="BU254" s="24180"/>
      <c r="BV254" s="24180"/>
      <c r="BW254" s="24180"/>
      <c r="BX254" s="24181"/>
      <c r="BY254" s="24179"/>
      <c r="BZ254" s="24180"/>
      <c r="CA254" s="24180"/>
      <c r="CB254" s="24180"/>
      <c r="CC254" s="24180"/>
      <c r="CD254" s="24180"/>
      <c r="CE254" s="24180"/>
      <c r="CF254" s="24180"/>
      <c r="CG254" s="24180"/>
      <c r="CH254" s="24180"/>
      <c r="CI254" s="24181"/>
      <c r="CJ254" s="24179"/>
      <c r="CK254" s="24180"/>
      <c r="CL254" s="24180"/>
      <c r="CM254" s="24180"/>
      <c r="CN254" s="24180"/>
      <c r="CO254" s="24180"/>
      <c r="CP254" s="24180"/>
      <c r="CQ254" s="24180"/>
      <c r="CR254" s="24180"/>
      <c r="CS254" s="24180"/>
      <c r="CT254" s="24181"/>
      <c r="CU254" s="24179"/>
      <c r="CV254" s="24180"/>
      <c r="CW254" s="24180"/>
      <c r="CX254" s="24180"/>
      <c r="CY254" s="24180"/>
      <c r="CZ254" s="24180"/>
      <c r="DA254" s="24180"/>
      <c r="DB254" s="24180"/>
      <c r="DC254" s="24180"/>
      <c r="DD254" s="24180"/>
      <c r="DE254" s="24181"/>
      <c r="DF254" s="24179"/>
      <c r="DG254" s="24180"/>
      <c r="DH254" s="24180"/>
      <c r="DI254" s="24180"/>
      <c r="DJ254" s="24180"/>
      <c r="DK254" s="24180"/>
      <c r="DL254" s="24180"/>
      <c r="DM254" s="24180"/>
      <c r="DN254" s="24180"/>
      <c r="DO254" s="24180"/>
      <c r="DP254" s="24181"/>
      <c r="DQ254" s="24179"/>
      <c r="DR254" s="24180"/>
      <c r="DS254" s="24180"/>
      <c r="DT254" s="24180"/>
      <c r="DU254" s="24180"/>
      <c r="DV254" s="24180"/>
      <c r="DW254" s="24180"/>
      <c r="DX254" s="24180"/>
      <c r="DY254" s="24180"/>
      <c r="DZ254" s="24180"/>
      <c r="EA254" s="24181"/>
      <c r="EB254" s="24179"/>
      <c r="EC254" s="24180"/>
      <c r="ED254" s="24180"/>
      <c r="EE254" s="24180"/>
      <c r="EF254" s="24180"/>
      <c r="EG254" s="24180"/>
      <c r="EH254" s="24180"/>
      <c r="EI254" s="24180"/>
      <c r="EJ254" s="24180"/>
      <c r="EK254" s="24180"/>
      <c r="EL254" s="24181"/>
      <c r="EM254" s="24179"/>
      <c r="EN254" s="24180"/>
      <c r="EO254" s="24180"/>
      <c r="EP254" s="24180"/>
      <c r="EQ254" s="24180"/>
      <c r="ER254" s="24180"/>
      <c r="ES254" s="24180"/>
      <c r="ET254" s="24180"/>
      <c r="EU254" s="24180"/>
      <c r="EV254" s="24180"/>
      <c r="EW254" s="24181"/>
      <c r="EX254" s="24076"/>
      <c r="EY254" s="24077"/>
      <c r="EZ254" s="24180"/>
      <c r="FA254" s="24180"/>
      <c r="FB254" s="24077"/>
      <c r="FC254" s="24180"/>
      <c r="FD254" s="24180"/>
      <c r="FE254" s="24180"/>
      <c r="FF254" s="24180"/>
      <c r="FG254" s="24180"/>
      <c r="FH254" s="24181"/>
      <c r="FI254" s="24076"/>
      <c r="FJ254" s="24077"/>
      <c r="FK254" s="24180"/>
      <c r="FL254" s="24180"/>
      <c r="FM254" s="24077"/>
      <c r="FN254" s="24180"/>
      <c r="FO254" s="24180"/>
      <c r="FP254" s="24077"/>
      <c r="FQ254" s="24077"/>
      <c r="FR254" s="24077"/>
      <c r="FS254" s="24181"/>
      <c r="FT254" s="24078"/>
      <c r="FU254" s="1233" t="s">
        <v>711</v>
      </c>
      <c r="FV254" s="1568"/>
      <c r="FW254" s="1550"/>
      <c r="FX254" s="1550" t="str">
        <f t="shared" si="4"/>
        <v>Группа потребителей</v>
      </c>
      <c r="FY254" s="1550"/>
      <c r="FZ254" s="1550"/>
      <c r="GA254" s="1561">
        <v>0</v>
      </c>
    </row>
    <row r="255" spans="1:183" s="1747" customFormat="1" ht="23.25" customHeight="1">
      <c r="A255" s="1289"/>
      <c r="B255" s="1289"/>
      <c r="C255" s="1289"/>
      <c r="D255" s="1289"/>
      <c r="E255" s="24089"/>
      <c r="F255" s="24089" t="s">
        <v>90</v>
      </c>
      <c r="G255" s="24089"/>
      <c r="H255" s="24089"/>
      <c r="I255" s="24091"/>
      <c r="J255" s="24091"/>
      <c r="K255" s="24090" t="str">
        <f>J254&amp;".1"</f>
        <v>1.9.1.1.1.1</v>
      </c>
      <c r="L255" s="1295"/>
      <c r="M255" s="1674"/>
      <c r="N255" s="1674"/>
      <c r="O255" s="1674"/>
      <c r="P255" s="24092"/>
      <c r="Q255" s="24092"/>
      <c r="R255" s="293">
        <v>1</v>
      </c>
      <c r="S255" s="1976" t="str">
        <f>$K255</f>
        <v>1.9.1.1.1.1</v>
      </c>
      <c r="T255" s="1363"/>
      <c r="U255" s="236"/>
      <c r="V255" s="1286"/>
      <c r="W255" s="1286"/>
      <c r="X255" s="1286"/>
      <c r="Y255" s="1286"/>
      <c r="Z255" s="1286"/>
      <c r="AA255" s="1286"/>
      <c r="AB255" s="1286"/>
      <c r="AC255" s="24086"/>
      <c r="AD255" s="24085" t="s">
        <v>59</v>
      </c>
      <c r="AE255" s="24086"/>
      <c r="AF255" s="24085" t="s">
        <v>59</v>
      </c>
      <c r="AG255" s="687">
        <v>281.75</v>
      </c>
      <c r="AH255" s="687">
        <v>60.79</v>
      </c>
      <c r="AI255" s="687"/>
      <c r="AJ255" s="687"/>
      <c r="AK255" s="687">
        <v>3263.74</v>
      </c>
      <c r="AL255" s="687"/>
      <c r="AM255" s="687"/>
      <c r="AN255" s="24093" t="s">
        <v>9</v>
      </c>
      <c r="AO255" s="23957" t="s">
        <v>59</v>
      </c>
      <c r="AP255" s="24095">
        <v>45456</v>
      </c>
      <c r="AQ255" s="23957" t="s">
        <v>59</v>
      </c>
      <c r="AR255" s="687">
        <v>291.14999999999998</v>
      </c>
      <c r="AS255" s="687">
        <v>70.19</v>
      </c>
      <c r="AT255" s="687"/>
      <c r="AU255" s="687"/>
      <c r="AV255" s="687">
        <v>3263.74</v>
      </c>
      <c r="AW255" s="687"/>
      <c r="AX255" s="687"/>
      <c r="AY255" s="24093">
        <v>45457</v>
      </c>
      <c r="AZ255" s="23957" t="s">
        <v>59</v>
      </c>
      <c r="BA255" s="24093">
        <v>45473</v>
      </c>
      <c r="BB255" s="23957" t="s">
        <v>59</v>
      </c>
      <c r="BC255" s="687">
        <v>317</v>
      </c>
      <c r="BD255" s="687">
        <v>70.19</v>
      </c>
      <c r="BE255" s="687"/>
      <c r="BF255" s="687"/>
      <c r="BG255" s="687">
        <v>3645.6</v>
      </c>
      <c r="BH255" s="687"/>
      <c r="BI255" s="687"/>
      <c r="BJ255" s="24093">
        <v>45474</v>
      </c>
      <c r="BK255" s="23957" t="s">
        <v>59</v>
      </c>
      <c r="BL255" s="24093">
        <v>45657</v>
      </c>
      <c r="BM255" s="23957" t="s">
        <v>59</v>
      </c>
      <c r="BN255" s="687">
        <v>317</v>
      </c>
      <c r="BO255" s="687">
        <v>70.19</v>
      </c>
      <c r="BP255" s="687"/>
      <c r="BQ255" s="687"/>
      <c r="BR255" s="687">
        <v>3645.6</v>
      </c>
      <c r="BS255" s="687"/>
      <c r="BT255" s="687"/>
      <c r="BU255" s="24093">
        <v>45658</v>
      </c>
      <c r="BV255" s="23957" t="s">
        <v>59</v>
      </c>
      <c r="BW255" s="24093">
        <v>45838</v>
      </c>
      <c r="BX255" s="23957" t="s">
        <v>59</v>
      </c>
      <c r="BY255" s="687">
        <v>346.64</v>
      </c>
      <c r="BZ255" s="687">
        <v>70.5</v>
      </c>
      <c r="CA255" s="687"/>
      <c r="CB255" s="687"/>
      <c r="CC255" s="687">
        <v>4078.94</v>
      </c>
      <c r="CD255" s="687"/>
      <c r="CE255" s="687"/>
      <c r="CF255" s="24093">
        <v>45839</v>
      </c>
      <c r="CG255" s="23957" t="s">
        <v>59</v>
      </c>
      <c r="CH255" s="24093">
        <v>45930</v>
      </c>
      <c r="CI255" s="23957" t="s">
        <v>59</v>
      </c>
      <c r="CJ255" s="687">
        <v>343.28</v>
      </c>
      <c r="CK255" s="687">
        <v>67.14</v>
      </c>
      <c r="CL255" s="687"/>
      <c r="CM255" s="687"/>
      <c r="CN255" s="687">
        <v>4078.94</v>
      </c>
      <c r="CO255" s="687"/>
      <c r="CP255" s="687"/>
      <c r="CQ255" s="24093">
        <v>45931</v>
      </c>
      <c r="CR255" s="23957" t="s">
        <v>59</v>
      </c>
      <c r="CS255" s="24093">
        <v>46022</v>
      </c>
      <c r="CT255" s="23957" t="s">
        <v>59</v>
      </c>
      <c r="CU255" s="687">
        <v>344.42</v>
      </c>
      <c r="CV255" s="687">
        <v>68.28</v>
      </c>
      <c r="CW255" s="687"/>
      <c r="CX255" s="687"/>
      <c r="CY255" s="687">
        <v>4078.94</v>
      </c>
      <c r="CZ255" s="687"/>
      <c r="DA255" s="687"/>
      <c r="DB255" s="24093">
        <v>46023</v>
      </c>
      <c r="DC255" s="23957" t="s">
        <v>59</v>
      </c>
      <c r="DD255" s="24185">
        <v>46295</v>
      </c>
      <c r="DE255" s="23957" t="s">
        <v>59</v>
      </c>
      <c r="DF255" s="687">
        <v>380.15</v>
      </c>
      <c r="DG255" s="687">
        <v>76.47</v>
      </c>
      <c r="DH255" s="687"/>
      <c r="DI255" s="687"/>
      <c r="DJ255" s="687">
        <v>4485.6000000000004</v>
      </c>
      <c r="DK255" s="687"/>
      <c r="DL255" s="687"/>
      <c r="DM255" s="24185">
        <v>46296</v>
      </c>
      <c r="DN255" s="23957" t="s">
        <v>59</v>
      </c>
      <c r="DO255" s="24093">
        <v>46387</v>
      </c>
      <c r="DP255" s="23957" t="s">
        <v>59</v>
      </c>
      <c r="DQ255" s="687">
        <f>DF255</f>
        <v>380.15</v>
      </c>
      <c r="DR255" s="687">
        <f>DG255</f>
        <v>76.47</v>
      </c>
      <c r="DS255" s="687"/>
      <c r="DT255" s="687"/>
      <c r="DU255" s="687">
        <f>DJ255</f>
        <v>4485.6000000000004</v>
      </c>
      <c r="DV255" s="687"/>
      <c r="DW255" s="687"/>
      <c r="DX255" s="24093">
        <v>46388</v>
      </c>
      <c r="DY255" s="23957" t="s">
        <v>59</v>
      </c>
      <c r="DZ255" s="24093">
        <v>46568</v>
      </c>
      <c r="EA255" s="23957" t="s">
        <v>59</v>
      </c>
      <c r="EB255" s="687">
        <v>414.59</v>
      </c>
      <c r="EC255" s="687">
        <v>84.49</v>
      </c>
      <c r="ED255" s="687"/>
      <c r="EE255" s="687"/>
      <c r="EF255" s="687">
        <v>4875.8500000000004</v>
      </c>
      <c r="EG255" s="687"/>
      <c r="EH255" s="687"/>
      <c r="EI255" s="24093">
        <v>46569</v>
      </c>
      <c r="EJ255" s="23957" t="s">
        <v>59</v>
      </c>
      <c r="EK255" s="24093">
        <v>46752</v>
      </c>
      <c r="EL255" s="23957" t="s">
        <v>59</v>
      </c>
      <c r="EM255" s="687">
        <v>330.1</v>
      </c>
      <c r="EN255" s="687"/>
      <c r="EO255" s="687"/>
      <c r="EP255" s="687"/>
      <c r="EQ255" s="687">
        <v>4875.8500000000004</v>
      </c>
      <c r="ER255" s="687"/>
      <c r="ES255" s="687"/>
      <c r="ET255" s="24093">
        <v>46753.586597222224</v>
      </c>
      <c r="EU255" s="23957" t="s">
        <v>59</v>
      </c>
      <c r="EV255" s="24095">
        <v>46934.586759259262</v>
      </c>
      <c r="EW255" s="23957" t="s">
        <v>59</v>
      </c>
      <c r="EX255" s="687">
        <v>352.67</v>
      </c>
      <c r="EY255" s="687"/>
      <c r="EZ255" s="687"/>
      <c r="FA255" s="687"/>
      <c r="FB255" s="687">
        <v>5209.29</v>
      </c>
      <c r="FC255" s="687"/>
      <c r="FD255" s="687"/>
      <c r="FE255" s="24093">
        <v>46935.650682870371</v>
      </c>
      <c r="FF255" s="23957" t="s">
        <v>59</v>
      </c>
      <c r="FG255" s="24095">
        <v>47118.650810185187</v>
      </c>
      <c r="FH255" s="24205" t="s">
        <v>6</v>
      </c>
      <c r="FI255" s="1286"/>
      <c r="FJ255" s="1286"/>
      <c r="FK255" s="6354"/>
      <c r="FL255" s="6354"/>
      <c r="FM255" s="1286"/>
      <c r="FN255" s="6354"/>
      <c r="FO255" s="6354"/>
      <c r="FP255" s="24086"/>
      <c r="FQ255" s="24085" t="s">
        <v>59</v>
      </c>
      <c r="FR255" s="24086"/>
      <c r="FS255" s="24208" t="s">
        <v>59</v>
      </c>
      <c r="FT255" s="1364"/>
      <c r="FU25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55" s="1568" t="e">
        <f ca="1">STRCHECKDATE(V256:FT256)</f>
        <v>#NAME?</v>
      </c>
      <c r="FW255" s="1550"/>
      <c r="FX255" s="1550" t="str">
        <f t="shared" si="4"/>
        <v/>
      </c>
      <c r="FY255" s="1550"/>
      <c r="FZ255" s="1550"/>
      <c r="GA255" s="1561">
        <v>0</v>
      </c>
    </row>
    <row r="256" spans="1:183" s="1747" customFormat="1" ht="14.25" customHeight="1">
      <c r="A256" s="1289"/>
      <c r="B256" s="1289"/>
      <c r="C256" s="1289"/>
      <c r="D256" s="1289"/>
      <c r="E256" s="24089"/>
      <c r="F256" s="24089" t="s">
        <v>90</v>
      </c>
      <c r="G256" s="24089"/>
      <c r="H256" s="24089"/>
      <c r="I256" s="24091"/>
      <c r="J256" s="24091"/>
      <c r="K256" s="24090"/>
      <c r="L256" s="1295"/>
      <c r="M256" s="1674"/>
      <c r="N256" s="1674"/>
      <c r="O256" s="1674"/>
      <c r="P256" s="24092"/>
      <c r="Q256" s="24092"/>
      <c r="R256" s="293"/>
      <c r="S256" s="1982"/>
      <c r="T256" s="236"/>
      <c r="U256" s="236"/>
      <c r="V256" s="1286"/>
      <c r="W256" s="1286"/>
      <c r="X256" s="1286"/>
      <c r="Y256" s="1286"/>
      <c r="Z256" s="1286"/>
      <c r="AA256" s="1286"/>
      <c r="AB256" s="1286"/>
      <c r="AC256" s="24085"/>
      <c r="AD256" s="24085"/>
      <c r="AE256" s="24085"/>
      <c r="AF256" s="24085"/>
      <c r="AG256" s="261"/>
      <c r="AH256" s="261"/>
      <c r="AI256" s="261"/>
      <c r="AJ256" s="261"/>
      <c r="AK256" s="261"/>
      <c r="AL256" s="261"/>
      <c r="AM256" s="261"/>
      <c r="AN256" s="24094"/>
      <c r="AO256" s="23957"/>
      <c r="AP256" s="24096"/>
      <c r="AQ256" s="23957"/>
      <c r="AR256" s="261"/>
      <c r="AS256" s="261"/>
      <c r="AT256" s="261"/>
      <c r="AU256" s="261"/>
      <c r="AV256" s="261"/>
      <c r="AW256" s="261"/>
      <c r="AX256" s="261"/>
      <c r="AY256" s="24094"/>
      <c r="AZ256" s="23957"/>
      <c r="BA256" s="24094"/>
      <c r="BB256" s="23957"/>
      <c r="BC256" s="261"/>
      <c r="BD256" s="261"/>
      <c r="BE256" s="261"/>
      <c r="BF256" s="261"/>
      <c r="BG256" s="261"/>
      <c r="BH256" s="261"/>
      <c r="BI256" s="261"/>
      <c r="BJ256" s="24094"/>
      <c r="BK256" s="23957"/>
      <c r="BL256" s="24094"/>
      <c r="BM256" s="23957"/>
      <c r="BN256" s="261"/>
      <c r="BO256" s="261"/>
      <c r="BP256" s="261"/>
      <c r="BQ256" s="261"/>
      <c r="BR256" s="261"/>
      <c r="BS256" s="261"/>
      <c r="BT256" s="261"/>
      <c r="BU256" s="24094"/>
      <c r="BV256" s="23957"/>
      <c r="BW256" s="24094"/>
      <c r="BX256" s="23957"/>
      <c r="BY256" s="261"/>
      <c r="BZ256" s="261"/>
      <c r="CA256" s="261"/>
      <c r="CB256" s="261"/>
      <c r="CC256" s="261"/>
      <c r="CD256" s="261"/>
      <c r="CE256" s="261"/>
      <c r="CF256" s="24094"/>
      <c r="CG256" s="23957"/>
      <c r="CH256" s="24094"/>
      <c r="CI256" s="23957"/>
      <c r="CJ256" s="261"/>
      <c r="CK256" s="261"/>
      <c r="CL256" s="261"/>
      <c r="CM256" s="261"/>
      <c r="CN256" s="261"/>
      <c r="CO256" s="261"/>
      <c r="CP256" s="261"/>
      <c r="CQ256" s="24094"/>
      <c r="CR256" s="23957"/>
      <c r="CS256" s="24094"/>
      <c r="CT256" s="23957"/>
      <c r="CU256" s="261"/>
      <c r="CV256" s="261"/>
      <c r="CW256" s="261"/>
      <c r="CX256" s="261"/>
      <c r="CY256" s="261"/>
      <c r="CZ256" s="261"/>
      <c r="DA256" s="261"/>
      <c r="DB256" s="24094"/>
      <c r="DC256" s="23957"/>
      <c r="DD256" s="24094"/>
      <c r="DE256" s="23957"/>
      <c r="DF256" s="261"/>
      <c r="DG256" s="261"/>
      <c r="DH256" s="261"/>
      <c r="DI256" s="261"/>
      <c r="DJ256" s="261"/>
      <c r="DK256" s="261"/>
      <c r="DL256" s="261"/>
      <c r="DM256" s="24094"/>
      <c r="DN256" s="23957"/>
      <c r="DO256" s="24094"/>
      <c r="DP256" s="23957"/>
      <c r="DQ256" s="261"/>
      <c r="DR256" s="261"/>
      <c r="DS256" s="261"/>
      <c r="DT256" s="261"/>
      <c r="DU256" s="261"/>
      <c r="DV256" s="261"/>
      <c r="DW256" s="261"/>
      <c r="DX256" s="24094"/>
      <c r="DY256" s="23957"/>
      <c r="DZ256" s="24094"/>
      <c r="EA256" s="23957"/>
      <c r="EB256" s="261"/>
      <c r="EC256" s="261"/>
      <c r="ED256" s="261"/>
      <c r="EE256" s="261"/>
      <c r="EF256" s="261"/>
      <c r="EG256" s="261"/>
      <c r="EH256" s="261"/>
      <c r="EI256" s="24094"/>
      <c r="EJ256" s="23957"/>
      <c r="EK256" s="24094"/>
      <c r="EL256" s="23957"/>
      <c r="EM256" s="261"/>
      <c r="EN256" s="261"/>
      <c r="EO256" s="261"/>
      <c r="EP256" s="261"/>
      <c r="EQ256" s="261"/>
      <c r="ER256" s="261"/>
      <c r="ES256" s="261"/>
      <c r="ET256" s="24094"/>
      <c r="EU256" s="23957"/>
      <c r="EV256" s="24096"/>
      <c r="EW256" s="23957"/>
      <c r="EX256" s="261"/>
      <c r="EY256" s="261"/>
      <c r="EZ256" s="261"/>
      <c r="FA256" s="261"/>
      <c r="FB256" s="261"/>
      <c r="FC256" s="261"/>
      <c r="FD256" s="261"/>
      <c r="FE256" s="24094"/>
      <c r="FF256" s="23957"/>
      <c r="FG256" s="24096"/>
      <c r="FH256" s="24205"/>
      <c r="FI256" s="1286"/>
      <c r="FJ256" s="1286"/>
      <c r="FK256" s="6354"/>
      <c r="FL256" s="6354"/>
      <c r="FM256" s="1286"/>
      <c r="FN256" s="6354"/>
      <c r="FO256" s="6354"/>
      <c r="FP256" s="24085"/>
      <c r="FQ256" s="24085"/>
      <c r="FR256" s="24085"/>
      <c r="FS256" s="24208"/>
      <c r="FT256" s="1365"/>
      <c r="FU256" s="24162"/>
      <c r="FV256" s="1568"/>
      <c r="FW256" s="1550"/>
      <c r="FX256" s="1550" t="str">
        <f t="shared" si="4"/>
        <v/>
      </c>
      <c r="FY256" s="1550"/>
      <c r="FZ256" s="1550"/>
      <c r="GA256" s="1561">
        <v>0</v>
      </c>
    </row>
    <row r="257" spans="1:183" s="1747" customFormat="1" ht="21" customHeight="1">
      <c r="A257" s="1289"/>
      <c r="B257" s="1289"/>
      <c r="C257" s="1289"/>
      <c r="D257" s="1289"/>
      <c r="E257" s="24089"/>
      <c r="F257" s="24089" t="s">
        <v>90</v>
      </c>
      <c r="G257" s="24089"/>
      <c r="H257" s="24089"/>
      <c r="I257" s="24091"/>
      <c r="J257" s="24090"/>
      <c r="K257" s="1289"/>
      <c r="L257" s="1295"/>
      <c r="M257" s="1674"/>
      <c r="N257" s="1674"/>
      <c r="O257" s="1674"/>
      <c r="P257" s="24092"/>
      <c r="Q257" s="24092"/>
      <c r="R257" s="292"/>
      <c r="S257" s="3959"/>
      <c r="T257" s="3960" t="s">
        <v>712</v>
      </c>
      <c r="U257" s="3961"/>
      <c r="V257" s="3962"/>
      <c r="W257" s="3963"/>
      <c r="X257" s="3964"/>
      <c r="Y257" s="3965"/>
      <c r="Z257" s="3966"/>
      <c r="AA257" s="3967"/>
      <c r="AB257" s="3968"/>
      <c r="AC257" s="3969"/>
      <c r="AD257" s="3970"/>
      <c r="AE257" s="3971"/>
      <c r="AF257" s="3972"/>
      <c r="AG257" s="3973"/>
      <c r="AH257" s="3974"/>
      <c r="AI257" s="3975"/>
      <c r="AJ257" s="3976"/>
      <c r="AK257" s="3977"/>
      <c r="AL257" s="3978"/>
      <c r="AM257" s="3979"/>
      <c r="AN257" s="3980"/>
      <c r="AO257" s="3981"/>
      <c r="AP257" s="3982"/>
      <c r="AQ257" s="3983"/>
      <c r="AR257" s="7334"/>
      <c r="AS257" s="7335"/>
      <c r="AT257" s="7336"/>
      <c r="AU257" s="7337"/>
      <c r="AV257" s="7338"/>
      <c r="AW257" s="7339"/>
      <c r="AX257" s="7340"/>
      <c r="AY257" s="7341"/>
      <c r="AZ257" s="7342"/>
      <c r="BA257" s="7343"/>
      <c r="BB257" s="7344"/>
      <c r="BC257" s="7345"/>
      <c r="BD257" s="7346"/>
      <c r="BE257" s="14814"/>
      <c r="BF257" s="14815"/>
      <c r="BG257" s="21886"/>
      <c r="BH257" s="14816"/>
      <c r="BI257" s="14817"/>
      <c r="BJ257" s="14818"/>
      <c r="BK257" s="14819"/>
      <c r="BL257" s="14820"/>
      <c r="BM257" s="14821"/>
      <c r="BN257" s="3984"/>
      <c r="BO257" s="3985"/>
      <c r="BP257" s="14822"/>
      <c r="BQ257" s="14823"/>
      <c r="BR257" s="3986"/>
      <c r="BS257" s="14824"/>
      <c r="BT257" s="14825"/>
      <c r="BU257" s="14826"/>
      <c r="BV257" s="14827"/>
      <c r="BW257" s="14828"/>
      <c r="BX257" s="14829"/>
      <c r="BY257" s="14830"/>
      <c r="BZ257" s="14831"/>
      <c r="CA257" s="14832"/>
      <c r="CB257" s="14833"/>
      <c r="CC257" s="14834"/>
      <c r="CD257" s="14835"/>
      <c r="CE257" s="14836"/>
      <c r="CF257" s="14837"/>
      <c r="CG257" s="14838"/>
      <c r="CH257" s="14839"/>
      <c r="CI257" s="14840"/>
      <c r="CJ257" s="14841"/>
      <c r="CK257" s="14842"/>
      <c r="CL257" s="14843"/>
      <c r="CM257" s="14844"/>
      <c r="CN257" s="14845"/>
      <c r="CO257" s="14846"/>
      <c r="CP257" s="14847"/>
      <c r="CQ257" s="14848"/>
      <c r="CR257" s="14849"/>
      <c r="CS257" s="14850"/>
      <c r="CT257" s="14851"/>
      <c r="CU257" s="14852"/>
      <c r="CV257" s="14853"/>
      <c r="CW257" s="14854"/>
      <c r="CX257" s="14855"/>
      <c r="CY257" s="14856"/>
      <c r="CZ257" s="14857"/>
      <c r="DA257" s="14858"/>
      <c r="DB257" s="14859"/>
      <c r="DC257" s="14860"/>
      <c r="DD257" s="14861"/>
      <c r="DE257" s="14862"/>
      <c r="DF257" s="14863"/>
      <c r="DG257" s="14864"/>
      <c r="DH257" s="14865"/>
      <c r="DI257" s="14866"/>
      <c r="DJ257" s="14867"/>
      <c r="DK257" s="14868"/>
      <c r="DL257" s="14869"/>
      <c r="DM257" s="14870"/>
      <c r="DN257" s="14871"/>
      <c r="DO257" s="14872"/>
      <c r="DP257" s="14873"/>
      <c r="DQ257" s="14874"/>
      <c r="DR257" s="14875"/>
      <c r="DS257" s="14876"/>
      <c r="DT257" s="14877"/>
      <c r="DU257" s="14878"/>
      <c r="DV257" s="14879"/>
      <c r="DW257" s="14880"/>
      <c r="DX257" s="14881"/>
      <c r="DY257" s="14882"/>
      <c r="DZ257" s="14883"/>
      <c r="EA257" s="14884"/>
      <c r="EB257" s="14885"/>
      <c r="EC257" s="14886"/>
      <c r="ED257" s="14887"/>
      <c r="EE257" s="14888"/>
      <c r="EF257" s="14889"/>
      <c r="EG257" s="14890"/>
      <c r="EH257" s="14891"/>
      <c r="EI257" s="14892"/>
      <c r="EJ257" s="14893"/>
      <c r="EK257" s="14894"/>
      <c r="EL257" s="14895"/>
      <c r="EM257" s="21614"/>
      <c r="EN257" s="21615"/>
      <c r="EO257" s="14896"/>
      <c r="EP257" s="14897"/>
      <c r="EQ257" s="21616"/>
      <c r="ER257" s="14898"/>
      <c r="ES257" s="14899"/>
      <c r="ET257" s="14900"/>
      <c r="EU257" s="14901"/>
      <c r="EV257" s="14902"/>
      <c r="EW257" s="14903"/>
      <c r="EX257" s="3987"/>
      <c r="EY257" s="3988"/>
      <c r="EZ257" s="14904"/>
      <c r="FA257" s="14905"/>
      <c r="FB257" s="3989"/>
      <c r="FC257" s="14906"/>
      <c r="FD257" s="14907"/>
      <c r="FE257" s="14908"/>
      <c r="FF257" s="14909"/>
      <c r="FG257" s="14910"/>
      <c r="FH257" s="5722"/>
      <c r="FI257" s="22806"/>
      <c r="FJ257" s="22807"/>
      <c r="FK257" s="23572"/>
      <c r="FL257" s="23573"/>
      <c r="FM257" s="22808"/>
      <c r="FN257" s="23574"/>
      <c r="FO257" s="23575"/>
      <c r="FP257" s="22809"/>
      <c r="FQ257" s="22810"/>
      <c r="FR257" s="22811"/>
      <c r="FS257" s="23576"/>
      <c r="FT257" s="3990"/>
      <c r="FU257" s="1184" t="s">
        <v>713</v>
      </c>
      <c r="FV257" s="1568"/>
      <c r="FW257" s="1550"/>
      <c r="FX257" s="1550" t="str">
        <f t="shared" si="4"/>
        <v>Добавить значение признака дифференциации</v>
      </c>
      <c r="FY257" s="1550"/>
      <c r="FZ257" s="1550"/>
      <c r="GA257" s="1561">
        <v>0</v>
      </c>
    </row>
    <row r="258" spans="1:183" s="1747" customFormat="1" ht="23.25" customHeight="1">
      <c r="A258" s="1289"/>
      <c r="B258" s="1289"/>
      <c r="C258" s="1289"/>
      <c r="D258" s="1289"/>
      <c r="E258" s="24089"/>
      <c r="F258" s="24089"/>
      <c r="G258" s="24089"/>
      <c r="H258" s="24089"/>
      <c r="I258" s="24091"/>
      <c r="J258" s="24090" t="str">
        <f>I253&amp;".2"</f>
        <v>1.9.1.1.2</v>
      </c>
      <c r="K258" s="1289"/>
      <c r="L258" s="1295" t="s">
        <v>635</v>
      </c>
      <c r="M258" s="1674"/>
      <c r="N258" s="1674"/>
      <c r="O258" s="1674"/>
      <c r="P258" s="24092"/>
      <c r="Q258" s="24206" t="s">
        <v>96</v>
      </c>
      <c r="R258" s="293"/>
      <c r="S258" s="1976" t="str">
        <f>$J258</f>
        <v>1.9.1.1.2</v>
      </c>
      <c r="T258" s="222" t="s">
        <v>636</v>
      </c>
      <c r="U258" s="236"/>
      <c r="V258" s="24076"/>
      <c r="W258" s="24077"/>
      <c r="X258" s="24077"/>
      <c r="Y258" s="24077"/>
      <c r="Z258" s="24077"/>
      <c r="AA258" s="24077"/>
      <c r="AB258" s="24077"/>
      <c r="AC258" s="24077"/>
      <c r="AD258" s="24077"/>
      <c r="AE258" s="24077"/>
      <c r="AF258" s="24078"/>
      <c r="AG258" s="24076" t="s">
        <v>771</v>
      </c>
      <c r="AH258" s="24077"/>
      <c r="AI258" s="24077"/>
      <c r="AJ258" s="24077"/>
      <c r="AK258" s="24077"/>
      <c r="AL258" s="24077"/>
      <c r="AM258" s="24077"/>
      <c r="AN258" s="24077"/>
      <c r="AO258" s="24077"/>
      <c r="AP258" s="24077"/>
      <c r="AQ258" s="24077"/>
      <c r="AR258" s="24179"/>
      <c r="AS258" s="24180"/>
      <c r="AT258" s="24180"/>
      <c r="AU258" s="24180"/>
      <c r="AV258" s="24180"/>
      <c r="AW258" s="24180"/>
      <c r="AX258" s="24180"/>
      <c r="AY258" s="24180"/>
      <c r="AZ258" s="24180"/>
      <c r="BA258" s="24180"/>
      <c r="BB258" s="24181"/>
      <c r="BC258" s="24179"/>
      <c r="BD258" s="24180"/>
      <c r="BE258" s="24180"/>
      <c r="BF258" s="24180"/>
      <c r="BG258" s="24180"/>
      <c r="BH258" s="24180"/>
      <c r="BI258" s="24180"/>
      <c r="BJ258" s="24180"/>
      <c r="BK258" s="24180"/>
      <c r="BL258" s="24180"/>
      <c r="BM258" s="24181"/>
      <c r="BN258" s="24076"/>
      <c r="BO258" s="24077"/>
      <c r="BP258" s="24180"/>
      <c r="BQ258" s="24180"/>
      <c r="BR258" s="24077"/>
      <c r="BS258" s="24180"/>
      <c r="BT258" s="24180"/>
      <c r="BU258" s="24180"/>
      <c r="BV258" s="24180"/>
      <c r="BW258" s="24180"/>
      <c r="BX258" s="24181"/>
      <c r="BY258" s="24179"/>
      <c r="BZ258" s="24180"/>
      <c r="CA258" s="24180"/>
      <c r="CB258" s="24180"/>
      <c r="CC258" s="24180"/>
      <c r="CD258" s="24180"/>
      <c r="CE258" s="24180"/>
      <c r="CF258" s="24180"/>
      <c r="CG258" s="24180"/>
      <c r="CH258" s="24180"/>
      <c r="CI258" s="24181"/>
      <c r="CJ258" s="24179"/>
      <c r="CK258" s="24180"/>
      <c r="CL258" s="24180"/>
      <c r="CM258" s="24180"/>
      <c r="CN258" s="24180"/>
      <c r="CO258" s="24180"/>
      <c r="CP258" s="24180"/>
      <c r="CQ258" s="24180"/>
      <c r="CR258" s="24180"/>
      <c r="CS258" s="24180"/>
      <c r="CT258" s="24181"/>
      <c r="CU258" s="24179"/>
      <c r="CV258" s="24180"/>
      <c r="CW258" s="24180"/>
      <c r="CX258" s="24180"/>
      <c r="CY258" s="24180"/>
      <c r="CZ258" s="24180"/>
      <c r="DA258" s="24180"/>
      <c r="DB258" s="24180"/>
      <c r="DC258" s="24180"/>
      <c r="DD258" s="24180"/>
      <c r="DE258" s="24181"/>
      <c r="DF258" s="24179"/>
      <c r="DG258" s="24180"/>
      <c r="DH258" s="24180"/>
      <c r="DI258" s="24180"/>
      <c r="DJ258" s="24180"/>
      <c r="DK258" s="24180"/>
      <c r="DL258" s="24180"/>
      <c r="DM258" s="24180"/>
      <c r="DN258" s="24180"/>
      <c r="DO258" s="24180"/>
      <c r="DP258" s="24181"/>
      <c r="DQ258" s="24179"/>
      <c r="DR258" s="24180"/>
      <c r="DS258" s="24180"/>
      <c r="DT258" s="24180"/>
      <c r="DU258" s="24180"/>
      <c r="DV258" s="24180"/>
      <c r="DW258" s="24180"/>
      <c r="DX258" s="24180"/>
      <c r="DY258" s="24180"/>
      <c r="DZ258" s="24180"/>
      <c r="EA258" s="24181"/>
      <c r="EB258" s="24179"/>
      <c r="EC258" s="24180"/>
      <c r="ED258" s="24180"/>
      <c r="EE258" s="24180"/>
      <c r="EF258" s="24180"/>
      <c r="EG258" s="24180"/>
      <c r="EH258" s="24180"/>
      <c r="EI258" s="24180"/>
      <c r="EJ258" s="24180"/>
      <c r="EK258" s="24180"/>
      <c r="EL258" s="24181"/>
      <c r="EM258" s="24179"/>
      <c r="EN258" s="24180"/>
      <c r="EO258" s="24180"/>
      <c r="EP258" s="24180"/>
      <c r="EQ258" s="24180"/>
      <c r="ER258" s="24180"/>
      <c r="ES258" s="24180"/>
      <c r="ET258" s="24180"/>
      <c r="EU258" s="24180"/>
      <c r="EV258" s="24180"/>
      <c r="EW258" s="24181"/>
      <c r="EX258" s="24076"/>
      <c r="EY258" s="24077"/>
      <c r="EZ258" s="24180"/>
      <c r="FA258" s="24180"/>
      <c r="FB258" s="24077"/>
      <c r="FC258" s="24180"/>
      <c r="FD258" s="24180"/>
      <c r="FE258" s="24180"/>
      <c r="FF258" s="24180"/>
      <c r="FG258" s="24180"/>
      <c r="FH258" s="24181"/>
      <c r="FI258" s="24076"/>
      <c r="FJ258" s="24077"/>
      <c r="FK258" s="24180"/>
      <c r="FL258" s="24180"/>
      <c r="FM258" s="24077"/>
      <c r="FN258" s="24180"/>
      <c r="FO258" s="24180"/>
      <c r="FP258" s="24077"/>
      <c r="FQ258" s="24077"/>
      <c r="FR258" s="24077"/>
      <c r="FS258" s="24181"/>
      <c r="FT258" s="24078"/>
      <c r="FU258" s="1233" t="s">
        <v>711</v>
      </c>
      <c r="FV258" s="1568"/>
      <c r="FW258" s="1550"/>
      <c r="FX258" s="1550" t="str">
        <f t="shared" si="4"/>
        <v>Группа потребителей</v>
      </c>
      <c r="FY258" s="1550"/>
      <c r="FZ258" s="1550"/>
      <c r="GA258" s="1561">
        <v>0</v>
      </c>
    </row>
    <row r="259" spans="1:183" s="1747" customFormat="1" ht="23.25" customHeight="1">
      <c r="A259" s="1289"/>
      <c r="B259" s="1289"/>
      <c r="C259" s="1289"/>
      <c r="D259" s="1289"/>
      <c r="E259" s="24089"/>
      <c r="F259" s="24089"/>
      <c r="G259" s="24089"/>
      <c r="H259" s="24089"/>
      <c r="I259" s="24091"/>
      <c r="J259" s="24091" t="str">
        <f>I253&amp;".1"</f>
        <v>1.9.1.1.1</v>
      </c>
      <c r="K259" s="24090" t="str">
        <f>J258&amp;".1"</f>
        <v>1.9.1.1.2.1</v>
      </c>
      <c r="L259" s="1295"/>
      <c r="M259" s="1674"/>
      <c r="N259" s="1674"/>
      <c r="O259" s="1674"/>
      <c r="P259" s="24092"/>
      <c r="Q259" s="24092"/>
      <c r="R259" s="293">
        <v>1</v>
      </c>
      <c r="S259" s="1976" t="str">
        <f>$K259</f>
        <v>1.9.1.1.2.1</v>
      </c>
      <c r="T259" s="1363"/>
      <c r="U259" s="236"/>
      <c r="V259" s="1286"/>
      <c r="W259" s="1286"/>
      <c r="X259" s="1286"/>
      <c r="Y259" s="1286"/>
      <c r="Z259" s="1286"/>
      <c r="AA259" s="1286"/>
      <c r="AB259" s="1286"/>
      <c r="AC259" s="24086"/>
      <c r="AD259" s="24085" t="s">
        <v>59</v>
      </c>
      <c r="AE259" s="24086"/>
      <c r="AF259" s="24085" t="s">
        <v>59</v>
      </c>
      <c r="AG259" s="687">
        <v>226.27</v>
      </c>
      <c r="AH259" s="687">
        <v>49.15</v>
      </c>
      <c r="AI259" s="687"/>
      <c r="AJ259" s="687"/>
      <c r="AK259" s="687">
        <v>2471.09</v>
      </c>
      <c r="AL259" s="687"/>
      <c r="AM259" s="687"/>
      <c r="AN259" s="24093" t="s">
        <v>9</v>
      </c>
      <c r="AO259" s="23957" t="s">
        <v>59</v>
      </c>
      <c r="AP259" s="24095" t="s">
        <v>770</v>
      </c>
      <c r="AQ259" s="23957" t="s">
        <v>59</v>
      </c>
      <c r="AR259" s="687">
        <v>254.68</v>
      </c>
      <c r="AS259" s="687">
        <v>58.88</v>
      </c>
      <c r="AT259" s="687"/>
      <c r="AU259" s="687"/>
      <c r="AV259" s="687">
        <v>2718.19</v>
      </c>
      <c r="AW259" s="687"/>
      <c r="AX259" s="687"/>
      <c r="AY259" s="24093" t="s">
        <v>772</v>
      </c>
      <c r="AZ259" s="23957" t="s">
        <v>59</v>
      </c>
      <c r="BA259" s="24093" t="s">
        <v>773</v>
      </c>
      <c r="BB259" s="23957" t="s">
        <v>59</v>
      </c>
      <c r="BC259" s="687">
        <v>254.68</v>
      </c>
      <c r="BD259" s="687">
        <v>58.88</v>
      </c>
      <c r="BE259" s="687"/>
      <c r="BF259" s="687"/>
      <c r="BG259" s="687">
        <v>2718.19</v>
      </c>
      <c r="BH259" s="687"/>
      <c r="BI259" s="687"/>
      <c r="BJ259" s="24093" t="s">
        <v>774</v>
      </c>
      <c r="BK259" s="23957" t="s">
        <v>59</v>
      </c>
      <c r="BL259" s="24093" t="s">
        <v>775</v>
      </c>
      <c r="BM259" s="23957" t="s">
        <v>59</v>
      </c>
      <c r="BN259" s="687">
        <v>283.7</v>
      </c>
      <c r="BO259" s="687">
        <v>65.89</v>
      </c>
      <c r="BP259" s="687"/>
      <c r="BQ259" s="687"/>
      <c r="BR259" s="687">
        <v>3022.63</v>
      </c>
      <c r="BS259" s="687"/>
      <c r="BT259" s="687"/>
      <c r="BU259" s="24093" t="s">
        <v>776</v>
      </c>
      <c r="BV259" s="23957" t="s">
        <v>59</v>
      </c>
      <c r="BW259" s="24093">
        <v>45930</v>
      </c>
      <c r="BX259" s="23957" t="s">
        <v>59</v>
      </c>
      <c r="BY259" s="687">
        <v>283.7</v>
      </c>
      <c r="BZ259" s="687">
        <v>65.89</v>
      </c>
      <c r="CA259" s="687"/>
      <c r="CB259" s="687"/>
      <c r="CC259" s="687">
        <v>3078.35</v>
      </c>
      <c r="CD259" s="687"/>
      <c r="CE259" s="687"/>
      <c r="CF259" s="24093">
        <v>45931</v>
      </c>
      <c r="CG259" s="23957" t="s">
        <v>59</v>
      </c>
      <c r="CH259" s="24093">
        <v>46022</v>
      </c>
      <c r="CI259" s="23957" t="s">
        <v>59</v>
      </c>
      <c r="CJ259" s="687">
        <v>288.52</v>
      </c>
      <c r="CK259" s="687">
        <v>67.010000000000005</v>
      </c>
      <c r="CL259" s="687"/>
      <c r="CM259" s="687"/>
      <c r="CN259" s="687">
        <v>3111.63</v>
      </c>
      <c r="CO259" s="687"/>
      <c r="CP259" s="687"/>
      <c r="CQ259" s="24093">
        <v>46023</v>
      </c>
      <c r="CR259" s="23957" t="s">
        <v>59</v>
      </c>
      <c r="CS259" s="24185">
        <v>46295</v>
      </c>
      <c r="CT259" s="23957" t="s">
        <v>59</v>
      </c>
      <c r="CU259" s="687">
        <v>323.14</v>
      </c>
      <c r="CV259" s="687">
        <v>75.05</v>
      </c>
      <c r="CW259" s="687"/>
      <c r="CX259" s="687"/>
      <c r="CY259" s="687">
        <v>3485.03</v>
      </c>
      <c r="CZ259" s="687"/>
      <c r="DA259" s="687"/>
      <c r="DB259" s="24185">
        <v>46296</v>
      </c>
      <c r="DC259" s="23957" t="s">
        <v>59</v>
      </c>
      <c r="DD259" s="24185">
        <v>46387</v>
      </c>
      <c r="DE259" s="23957" t="s">
        <v>59</v>
      </c>
      <c r="DF259" s="687">
        <f>CU259</f>
        <v>323.14</v>
      </c>
      <c r="DG259" s="687">
        <f>CV259</f>
        <v>75.05</v>
      </c>
      <c r="DH259" s="687"/>
      <c r="DI259" s="687"/>
      <c r="DJ259" s="687">
        <f>CY259</f>
        <v>3485.03</v>
      </c>
      <c r="DK259" s="687"/>
      <c r="DL259" s="687"/>
      <c r="DM259" s="24093">
        <v>46388</v>
      </c>
      <c r="DN259" s="23957" t="s">
        <v>59</v>
      </c>
      <c r="DO259" s="24093">
        <v>46568</v>
      </c>
      <c r="DP259" s="23957" t="s">
        <v>59</v>
      </c>
      <c r="DQ259" s="687">
        <v>351.26</v>
      </c>
      <c r="DR259" s="687">
        <v>81.59</v>
      </c>
      <c r="DS259" s="687"/>
      <c r="DT259" s="687"/>
      <c r="DU259" s="687">
        <v>3788.22</v>
      </c>
      <c r="DV259" s="687"/>
      <c r="DW259" s="687"/>
      <c r="DX259" s="24093">
        <v>46569</v>
      </c>
      <c r="DY259" s="23957" t="s">
        <v>59</v>
      </c>
      <c r="DZ259" s="24093">
        <v>46752</v>
      </c>
      <c r="EA259" s="23957" t="s">
        <v>59</v>
      </c>
      <c r="EB259" s="687">
        <v>256.47000000000003</v>
      </c>
      <c r="EC259" s="687">
        <v>0</v>
      </c>
      <c r="ED259" s="687"/>
      <c r="EE259" s="687"/>
      <c r="EF259" s="687">
        <v>3788.22</v>
      </c>
      <c r="EG259" s="687"/>
      <c r="EH259" s="687"/>
      <c r="EI259" s="24093">
        <v>46753</v>
      </c>
      <c r="EJ259" s="23957" t="s">
        <v>59</v>
      </c>
      <c r="EK259" s="24093">
        <v>46934</v>
      </c>
      <c r="EL259" s="23957" t="s">
        <v>59</v>
      </c>
      <c r="EM259" s="687">
        <v>274.67</v>
      </c>
      <c r="EN259" s="687"/>
      <c r="EO259" s="687"/>
      <c r="EP259" s="687"/>
      <c r="EQ259" s="687">
        <v>4057.18</v>
      </c>
      <c r="ER259" s="687"/>
      <c r="ES259" s="687"/>
      <c r="ET259" s="24093">
        <v>46935.656064814815</v>
      </c>
      <c r="EU259" s="23957" t="s">
        <v>59</v>
      </c>
      <c r="EV259" s="24095">
        <v>47118.65625</v>
      </c>
      <c r="EW259" s="23957" t="s">
        <v>6</v>
      </c>
      <c r="EX259" s="1286"/>
      <c r="EY259" s="1286"/>
      <c r="EZ259" s="1286"/>
      <c r="FA259" s="1286"/>
      <c r="FB259" s="1286"/>
      <c r="FC259" s="1286"/>
      <c r="FD259" s="1286"/>
      <c r="FE259" s="24086"/>
      <c r="FF259" s="24085" t="s">
        <v>59</v>
      </c>
      <c r="FG259" s="24086"/>
      <c r="FH259" s="24208" t="s">
        <v>59</v>
      </c>
      <c r="FI259" s="1286"/>
      <c r="FJ259" s="1286"/>
      <c r="FK259" s="1286"/>
      <c r="FL259" s="1286"/>
      <c r="FM259" s="1286"/>
      <c r="FN259" s="1286"/>
      <c r="FO259" s="1286"/>
      <c r="FP259" s="24086"/>
      <c r="FQ259" s="24085" t="s">
        <v>59</v>
      </c>
      <c r="FR259" s="24086"/>
      <c r="FS259" s="24085" t="s">
        <v>59</v>
      </c>
      <c r="FT259" s="1364"/>
      <c r="FU25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59" s="1568" t="e">
        <f ca="1">STRCHECKDATE(V260:FT260)</f>
        <v>#NAME?</v>
      </c>
      <c r="FW259" s="1550"/>
      <c r="FX259" s="1550" t="str">
        <f t="shared" si="4"/>
        <v/>
      </c>
      <c r="FY259" s="1550"/>
      <c r="FZ259" s="1550"/>
      <c r="GA259" s="1561">
        <v>0</v>
      </c>
    </row>
    <row r="260" spans="1:183" s="1747" customFormat="1" ht="14.25" customHeight="1">
      <c r="A260" s="1289"/>
      <c r="B260" s="1289"/>
      <c r="C260" s="1289"/>
      <c r="D260" s="1289"/>
      <c r="E260" s="24089"/>
      <c r="F260" s="24089"/>
      <c r="G260" s="24089"/>
      <c r="H260" s="24089"/>
      <c r="I260" s="24091"/>
      <c r="J260" s="24091" t="str">
        <f>I253&amp;".1"</f>
        <v>1.9.1.1.1</v>
      </c>
      <c r="K260" s="24090"/>
      <c r="L260" s="1295"/>
      <c r="M260" s="1674"/>
      <c r="N260" s="1674"/>
      <c r="O260" s="1674"/>
      <c r="P260" s="24092"/>
      <c r="Q260" s="24092"/>
      <c r="R260" s="293"/>
      <c r="S260" s="1982"/>
      <c r="T260" s="236"/>
      <c r="U260" s="236"/>
      <c r="V260" s="1286"/>
      <c r="W260" s="1286"/>
      <c r="X260" s="1286"/>
      <c r="Y260" s="1286"/>
      <c r="Z260" s="1286"/>
      <c r="AA260" s="1286"/>
      <c r="AB260" s="1286"/>
      <c r="AC260" s="24085"/>
      <c r="AD260" s="24085"/>
      <c r="AE260" s="24085"/>
      <c r="AF260" s="24085"/>
      <c r="AG260" s="261"/>
      <c r="AH260" s="261"/>
      <c r="AI260" s="261"/>
      <c r="AJ260" s="261"/>
      <c r="AK260" s="261"/>
      <c r="AL260" s="261"/>
      <c r="AM260" s="261"/>
      <c r="AN260" s="24094"/>
      <c r="AO260" s="23957"/>
      <c r="AP260" s="24096"/>
      <c r="AQ260" s="23957"/>
      <c r="AR260" s="261"/>
      <c r="AS260" s="261"/>
      <c r="AT260" s="261"/>
      <c r="AU260" s="261"/>
      <c r="AV260" s="261"/>
      <c r="AW260" s="261"/>
      <c r="AX260" s="261"/>
      <c r="AY260" s="24094"/>
      <c r="AZ260" s="23957"/>
      <c r="BA260" s="24094"/>
      <c r="BB260" s="23957"/>
      <c r="BC260" s="261"/>
      <c r="BD260" s="261"/>
      <c r="BE260" s="261"/>
      <c r="BF260" s="261"/>
      <c r="BG260" s="261"/>
      <c r="BH260" s="261"/>
      <c r="BI260" s="261"/>
      <c r="BJ260" s="24094"/>
      <c r="BK260" s="23957"/>
      <c r="BL260" s="24094"/>
      <c r="BM260" s="23957"/>
      <c r="BN260" s="261"/>
      <c r="BO260" s="261"/>
      <c r="BP260" s="261"/>
      <c r="BQ260" s="261"/>
      <c r="BR260" s="261"/>
      <c r="BS260" s="261"/>
      <c r="BT260" s="261"/>
      <c r="BU260" s="24094"/>
      <c r="BV260" s="23957"/>
      <c r="BW260" s="24094"/>
      <c r="BX260" s="23957"/>
      <c r="BY260" s="261"/>
      <c r="BZ260" s="261"/>
      <c r="CA260" s="261"/>
      <c r="CB260" s="261"/>
      <c r="CC260" s="261"/>
      <c r="CD260" s="261"/>
      <c r="CE260" s="261"/>
      <c r="CF260" s="24094"/>
      <c r="CG260" s="23957"/>
      <c r="CH260" s="24094"/>
      <c r="CI260" s="23957"/>
      <c r="CJ260" s="261"/>
      <c r="CK260" s="261"/>
      <c r="CL260" s="261"/>
      <c r="CM260" s="261"/>
      <c r="CN260" s="261"/>
      <c r="CO260" s="261"/>
      <c r="CP260" s="261"/>
      <c r="CQ260" s="24094"/>
      <c r="CR260" s="23957"/>
      <c r="CS260" s="24094"/>
      <c r="CT260" s="23957"/>
      <c r="CU260" s="261"/>
      <c r="CV260" s="261"/>
      <c r="CW260" s="261"/>
      <c r="CX260" s="261"/>
      <c r="CY260" s="261"/>
      <c r="CZ260" s="261"/>
      <c r="DA260" s="261"/>
      <c r="DB260" s="24094"/>
      <c r="DC260" s="23957"/>
      <c r="DD260" s="24094"/>
      <c r="DE260" s="23957"/>
      <c r="DF260" s="261"/>
      <c r="DG260" s="261"/>
      <c r="DH260" s="261"/>
      <c r="DI260" s="261"/>
      <c r="DJ260" s="261"/>
      <c r="DK260" s="261"/>
      <c r="DL260" s="261"/>
      <c r="DM260" s="24094"/>
      <c r="DN260" s="23957"/>
      <c r="DO260" s="24094"/>
      <c r="DP260" s="23957"/>
      <c r="DQ260" s="261"/>
      <c r="DR260" s="261"/>
      <c r="DS260" s="261"/>
      <c r="DT260" s="261"/>
      <c r="DU260" s="261"/>
      <c r="DV260" s="261"/>
      <c r="DW260" s="261"/>
      <c r="DX260" s="24094"/>
      <c r="DY260" s="23957"/>
      <c r="DZ260" s="24094"/>
      <c r="EA260" s="23957"/>
      <c r="EB260" s="261"/>
      <c r="EC260" s="261"/>
      <c r="ED260" s="261"/>
      <c r="EE260" s="261"/>
      <c r="EF260" s="261"/>
      <c r="EG260" s="261"/>
      <c r="EH260" s="261"/>
      <c r="EI260" s="24094"/>
      <c r="EJ260" s="23957"/>
      <c r="EK260" s="24094"/>
      <c r="EL260" s="23957"/>
      <c r="EM260" s="261"/>
      <c r="EN260" s="261"/>
      <c r="EO260" s="261"/>
      <c r="EP260" s="261"/>
      <c r="EQ260" s="261"/>
      <c r="ER260" s="261"/>
      <c r="ES260" s="261"/>
      <c r="ET260" s="24094"/>
      <c r="EU260" s="23957"/>
      <c r="EV260" s="24096"/>
      <c r="EW260" s="23957"/>
      <c r="EX260" s="1286"/>
      <c r="EY260" s="1286"/>
      <c r="EZ260" s="1286"/>
      <c r="FA260" s="1286"/>
      <c r="FB260" s="1286"/>
      <c r="FC260" s="1286"/>
      <c r="FD260" s="1286"/>
      <c r="FE260" s="24085"/>
      <c r="FF260" s="24085"/>
      <c r="FG260" s="24085"/>
      <c r="FH260" s="24208"/>
      <c r="FI260" s="1286"/>
      <c r="FJ260" s="1286"/>
      <c r="FK260" s="1286"/>
      <c r="FL260" s="1286"/>
      <c r="FM260" s="1286"/>
      <c r="FN260" s="1286"/>
      <c r="FO260" s="1286"/>
      <c r="FP260" s="24085"/>
      <c r="FQ260" s="24085"/>
      <c r="FR260" s="24085"/>
      <c r="FS260" s="24085"/>
      <c r="FT260" s="1365"/>
      <c r="FU260" s="24162"/>
      <c r="FV260" s="1568"/>
      <c r="FW260" s="1550"/>
      <c r="FX260" s="1550" t="str">
        <f t="shared" si="4"/>
        <v/>
      </c>
      <c r="FY260" s="1550"/>
      <c r="FZ260" s="1550"/>
      <c r="GA260" s="1561">
        <v>0</v>
      </c>
    </row>
    <row r="261" spans="1:183" s="1747" customFormat="1" ht="21" customHeight="1">
      <c r="A261" s="1289"/>
      <c r="B261" s="1289"/>
      <c r="C261" s="1289"/>
      <c r="D261" s="1289"/>
      <c r="E261" s="24089"/>
      <c r="F261" s="24089"/>
      <c r="G261" s="24089"/>
      <c r="H261" s="24089"/>
      <c r="I261" s="24091"/>
      <c r="J261" s="24090" t="str">
        <f>I253&amp;".1"</f>
        <v>1.9.1.1.1</v>
      </c>
      <c r="K261" s="1289"/>
      <c r="L261" s="1295"/>
      <c r="M261" s="1674"/>
      <c r="N261" s="1674"/>
      <c r="O261" s="1674"/>
      <c r="P261" s="24092"/>
      <c r="Q261" s="24092"/>
      <c r="R261" s="292"/>
      <c r="S261" s="3991"/>
      <c r="T261" s="3992" t="s">
        <v>712</v>
      </c>
      <c r="U261" s="3993"/>
      <c r="V261" s="3994"/>
      <c r="W261" s="3995"/>
      <c r="X261" s="3996"/>
      <c r="Y261" s="3997"/>
      <c r="Z261" s="3998"/>
      <c r="AA261" s="3999"/>
      <c r="AB261" s="4000"/>
      <c r="AC261" s="4001"/>
      <c r="AD261" s="4002"/>
      <c r="AE261" s="4003"/>
      <c r="AF261" s="4004"/>
      <c r="AG261" s="4005"/>
      <c r="AH261" s="4006"/>
      <c r="AI261" s="4007"/>
      <c r="AJ261" s="4008"/>
      <c r="AK261" s="4009"/>
      <c r="AL261" s="4010"/>
      <c r="AM261" s="4011"/>
      <c r="AN261" s="4012"/>
      <c r="AO261" s="4013"/>
      <c r="AP261" s="4014"/>
      <c r="AQ261" s="4015"/>
      <c r="AR261" s="7347"/>
      <c r="AS261" s="7348"/>
      <c r="AT261" s="7349"/>
      <c r="AU261" s="7350"/>
      <c r="AV261" s="7351"/>
      <c r="AW261" s="7352"/>
      <c r="AX261" s="7353"/>
      <c r="AY261" s="7354"/>
      <c r="AZ261" s="7355"/>
      <c r="BA261" s="7356"/>
      <c r="BB261" s="7357"/>
      <c r="BC261" s="7358"/>
      <c r="BD261" s="7359"/>
      <c r="BE261" s="14911"/>
      <c r="BF261" s="14912"/>
      <c r="BG261" s="21887"/>
      <c r="BH261" s="14913"/>
      <c r="BI261" s="14914"/>
      <c r="BJ261" s="14915"/>
      <c r="BK261" s="14916"/>
      <c r="BL261" s="14917"/>
      <c r="BM261" s="14918"/>
      <c r="BN261" s="4016"/>
      <c r="BO261" s="4017"/>
      <c r="BP261" s="14919"/>
      <c r="BQ261" s="14920"/>
      <c r="BR261" s="4018"/>
      <c r="BS261" s="14921"/>
      <c r="BT261" s="14922"/>
      <c r="BU261" s="14923"/>
      <c r="BV261" s="14924"/>
      <c r="BW261" s="14925"/>
      <c r="BX261" s="14926"/>
      <c r="BY261" s="14927"/>
      <c r="BZ261" s="14928"/>
      <c r="CA261" s="14929"/>
      <c r="CB261" s="14930"/>
      <c r="CC261" s="14931"/>
      <c r="CD261" s="14932"/>
      <c r="CE261" s="14933"/>
      <c r="CF261" s="14934"/>
      <c r="CG261" s="14935"/>
      <c r="CH261" s="14936"/>
      <c r="CI261" s="14937"/>
      <c r="CJ261" s="14938"/>
      <c r="CK261" s="14939"/>
      <c r="CL261" s="14940"/>
      <c r="CM261" s="14941"/>
      <c r="CN261" s="14942"/>
      <c r="CO261" s="14943"/>
      <c r="CP261" s="14944"/>
      <c r="CQ261" s="14945"/>
      <c r="CR261" s="14946"/>
      <c r="CS261" s="14947"/>
      <c r="CT261" s="14948"/>
      <c r="CU261" s="14949"/>
      <c r="CV261" s="14950"/>
      <c r="CW261" s="14951"/>
      <c r="CX261" s="14952"/>
      <c r="CY261" s="14953"/>
      <c r="CZ261" s="14954"/>
      <c r="DA261" s="14955"/>
      <c r="DB261" s="14956"/>
      <c r="DC261" s="14957"/>
      <c r="DD261" s="14958"/>
      <c r="DE261" s="14959"/>
      <c r="DF261" s="14960"/>
      <c r="DG261" s="14961"/>
      <c r="DH261" s="14962"/>
      <c r="DI261" s="14963"/>
      <c r="DJ261" s="14964"/>
      <c r="DK261" s="14965"/>
      <c r="DL261" s="14966"/>
      <c r="DM261" s="14967"/>
      <c r="DN261" s="14968"/>
      <c r="DO261" s="14969"/>
      <c r="DP261" s="14970"/>
      <c r="DQ261" s="14971"/>
      <c r="DR261" s="14972"/>
      <c r="DS261" s="14973"/>
      <c r="DT261" s="14974"/>
      <c r="DU261" s="14975"/>
      <c r="DV261" s="14976"/>
      <c r="DW261" s="14977"/>
      <c r="DX261" s="14978"/>
      <c r="DY261" s="14979"/>
      <c r="DZ261" s="14980"/>
      <c r="EA261" s="14981"/>
      <c r="EB261" s="14982"/>
      <c r="EC261" s="14983"/>
      <c r="ED261" s="14984"/>
      <c r="EE261" s="14985"/>
      <c r="EF261" s="14986"/>
      <c r="EG261" s="14987"/>
      <c r="EH261" s="14988"/>
      <c r="EI261" s="14989"/>
      <c r="EJ261" s="14990"/>
      <c r="EK261" s="14991"/>
      <c r="EL261" s="14992"/>
      <c r="EM261" s="21617"/>
      <c r="EN261" s="21618"/>
      <c r="EO261" s="14993"/>
      <c r="EP261" s="14994"/>
      <c r="EQ261" s="21619"/>
      <c r="ER261" s="14995"/>
      <c r="ES261" s="14996"/>
      <c r="ET261" s="14997"/>
      <c r="EU261" s="14998"/>
      <c r="EV261" s="14999"/>
      <c r="EW261" s="15000"/>
      <c r="EX261" s="4019"/>
      <c r="EY261" s="4020"/>
      <c r="EZ261" s="15001"/>
      <c r="FA261" s="15002"/>
      <c r="FB261" s="4021"/>
      <c r="FC261" s="15003"/>
      <c r="FD261" s="15004"/>
      <c r="FE261" s="15005"/>
      <c r="FF261" s="15006"/>
      <c r="FG261" s="15007"/>
      <c r="FH261" s="5723"/>
      <c r="FI261" s="22812"/>
      <c r="FJ261" s="22813"/>
      <c r="FK261" s="23577"/>
      <c r="FL261" s="23578"/>
      <c r="FM261" s="22814"/>
      <c r="FN261" s="23579"/>
      <c r="FO261" s="23580"/>
      <c r="FP261" s="22815"/>
      <c r="FQ261" s="22816"/>
      <c r="FR261" s="22817"/>
      <c r="FS261" s="23581"/>
      <c r="FT261" s="4022"/>
      <c r="FU261" s="1184" t="s">
        <v>713</v>
      </c>
      <c r="FV261" s="1568"/>
      <c r="FW261" s="1550"/>
      <c r="FX261" s="1550" t="str">
        <f t="shared" si="4"/>
        <v>Добавить значение признака дифференциации</v>
      </c>
      <c r="FY261" s="1550"/>
      <c r="FZ261" s="1550"/>
      <c r="GA261" s="1561">
        <v>0</v>
      </c>
    </row>
    <row r="262" spans="1:183" s="1747" customFormat="1" ht="21" customHeight="1">
      <c r="A262" s="1289"/>
      <c r="B262" s="1289"/>
      <c r="C262" s="1289"/>
      <c r="D262" s="1289"/>
      <c r="E262" s="24089"/>
      <c r="F262" s="24089" t="s">
        <v>90</v>
      </c>
      <c r="G262" s="24089"/>
      <c r="H262" s="24089"/>
      <c r="I262" s="24090"/>
      <c r="J262" s="1289"/>
      <c r="K262" s="1289"/>
      <c r="L262" s="1295"/>
      <c r="M262" s="1674"/>
      <c r="N262" s="1674"/>
      <c r="O262" s="1674"/>
      <c r="P262" s="24092"/>
      <c r="Q262" s="1978"/>
      <c r="R262" s="292"/>
      <c r="S262" s="4023"/>
      <c r="T262" s="4024" t="s">
        <v>641</v>
      </c>
      <c r="U262" s="4025"/>
      <c r="V262" s="4026"/>
      <c r="W262" s="4027"/>
      <c r="X262" s="4028"/>
      <c r="Y262" s="4029"/>
      <c r="Z262" s="4030"/>
      <c r="AA262" s="4031"/>
      <c r="AB262" s="4032"/>
      <c r="AC262" s="4033"/>
      <c r="AD262" s="4034"/>
      <c r="AE262" s="4035"/>
      <c r="AF262" s="4036"/>
      <c r="AG262" s="4037"/>
      <c r="AH262" s="4038"/>
      <c r="AI262" s="4039"/>
      <c r="AJ262" s="4040"/>
      <c r="AK262" s="4041"/>
      <c r="AL262" s="4042"/>
      <c r="AM262" s="4043"/>
      <c r="AN262" s="4044"/>
      <c r="AO262" s="4045"/>
      <c r="AP262" s="4046"/>
      <c r="AQ262" s="4047"/>
      <c r="AR262" s="7360"/>
      <c r="AS262" s="7361"/>
      <c r="AT262" s="7362"/>
      <c r="AU262" s="7363"/>
      <c r="AV262" s="7364"/>
      <c r="AW262" s="7365"/>
      <c r="AX262" s="7366"/>
      <c r="AY262" s="7367"/>
      <c r="AZ262" s="7368"/>
      <c r="BA262" s="7369"/>
      <c r="BB262" s="7370"/>
      <c r="BC262" s="7371"/>
      <c r="BD262" s="7372"/>
      <c r="BE262" s="15008"/>
      <c r="BF262" s="15009"/>
      <c r="BG262" s="21888"/>
      <c r="BH262" s="15010"/>
      <c r="BI262" s="15011"/>
      <c r="BJ262" s="15012"/>
      <c r="BK262" s="15013"/>
      <c r="BL262" s="15014"/>
      <c r="BM262" s="15015"/>
      <c r="BN262" s="4048"/>
      <c r="BO262" s="4049"/>
      <c r="BP262" s="15016"/>
      <c r="BQ262" s="15017"/>
      <c r="BR262" s="4050"/>
      <c r="BS262" s="15018"/>
      <c r="BT262" s="15019"/>
      <c r="BU262" s="15020"/>
      <c r="BV262" s="15021"/>
      <c r="BW262" s="15022"/>
      <c r="BX262" s="15023"/>
      <c r="BY262" s="15024"/>
      <c r="BZ262" s="15025"/>
      <c r="CA262" s="15026"/>
      <c r="CB262" s="15027"/>
      <c r="CC262" s="15028"/>
      <c r="CD262" s="15029"/>
      <c r="CE262" s="15030"/>
      <c r="CF262" s="15031"/>
      <c r="CG262" s="15032"/>
      <c r="CH262" s="15033"/>
      <c r="CI262" s="15034"/>
      <c r="CJ262" s="15035"/>
      <c r="CK262" s="15036"/>
      <c r="CL262" s="15037"/>
      <c r="CM262" s="15038"/>
      <c r="CN262" s="15039"/>
      <c r="CO262" s="15040"/>
      <c r="CP262" s="15041"/>
      <c r="CQ262" s="15042"/>
      <c r="CR262" s="15043"/>
      <c r="CS262" s="15044"/>
      <c r="CT262" s="15045"/>
      <c r="CU262" s="15046"/>
      <c r="CV262" s="15047"/>
      <c r="CW262" s="15048"/>
      <c r="CX262" s="15049"/>
      <c r="CY262" s="15050"/>
      <c r="CZ262" s="15051"/>
      <c r="DA262" s="15052"/>
      <c r="DB262" s="15053"/>
      <c r="DC262" s="15054"/>
      <c r="DD262" s="15055"/>
      <c r="DE262" s="15056"/>
      <c r="DF262" s="15057"/>
      <c r="DG262" s="15058"/>
      <c r="DH262" s="15059"/>
      <c r="DI262" s="15060"/>
      <c r="DJ262" s="15061"/>
      <c r="DK262" s="15062"/>
      <c r="DL262" s="15063"/>
      <c r="DM262" s="15064"/>
      <c r="DN262" s="15065"/>
      <c r="DO262" s="15066"/>
      <c r="DP262" s="15067"/>
      <c r="DQ262" s="15068"/>
      <c r="DR262" s="15069"/>
      <c r="DS262" s="15070"/>
      <c r="DT262" s="15071"/>
      <c r="DU262" s="15072"/>
      <c r="DV262" s="15073"/>
      <c r="DW262" s="15074"/>
      <c r="DX262" s="15075"/>
      <c r="DY262" s="15076"/>
      <c r="DZ262" s="15077"/>
      <c r="EA262" s="15078"/>
      <c r="EB262" s="15079"/>
      <c r="EC262" s="15080"/>
      <c r="ED262" s="15081"/>
      <c r="EE262" s="15082"/>
      <c r="EF262" s="15083"/>
      <c r="EG262" s="15084"/>
      <c r="EH262" s="15085"/>
      <c r="EI262" s="15086"/>
      <c r="EJ262" s="15087"/>
      <c r="EK262" s="15088"/>
      <c r="EL262" s="15089"/>
      <c r="EM262" s="21620"/>
      <c r="EN262" s="21621"/>
      <c r="EO262" s="15090"/>
      <c r="EP262" s="15091"/>
      <c r="EQ262" s="21622"/>
      <c r="ER262" s="15092"/>
      <c r="ES262" s="15093"/>
      <c r="ET262" s="15094"/>
      <c r="EU262" s="15095"/>
      <c r="EV262" s="15096"/>
      <c r="EW262" s="15097"/>
      <c r="EX262" s="4051"/>
      <c r="EY262" s="4052"/>
      <c r="EZ262" s="15098"/>
      <c r="FA262" s="15099"/>
      <c r="FB262" s="4053"/>
      <c r="FC262" s="15100"/>
      <c r="FD262" s="15101"/>
      <c r="FE262" s="15102"/>
      <c r="FF262" s="15103"/>
      <c r="FG262" s="15104"/>
      <c r="FH262" s="5724"/>
      <c r="FI262" s="22818"/>
      <c r="FJ262" s="22819"/>
      <c r="FK262" s="23582"/>
      <c r="FL262" s="23583"/>
      <c r="FM262" s="22820"/>
      <c r="FN262" s="23584"/>
      <c r="FO262" s="23585"/>
      <c r="FP262" s="22821"/>
      <c r="FQ262" s="22822"/>
      <c r="FR262" s="22823"/>
      <c r="FS262" s="23586"/>
      <c r="FT262" s="4054"/>
      <c r="FU262" s="4055"/>
      <c r="FV262" s="1568"/>
      <c r="FW262" s="1550"/>
      <c r="FX262" s="1550" t="str">
        <f t="shared" si="4"/>
        <v>Добавить группу потребителей</v>
      </c>
      <c r="FY262" s="1550"/>
      <c r="FZ262" s="1550"/>
      <c r="GA262" s="1561">
        <v>0</v>
      </c>
    </row>
    <row r="263" spans="1:183" s="1747" customFormat="1" ht="21" customHeight="1">
      <c r="A263" s="1289"/>
      <c r="B263" s="1289"/>
      <c r="C263" s="1289"/>
      <c r="D263" s="1289"/>
      <c r="E263" s="24089"/>
      <c r="F263" s="24089" t="s">
        <v>90</v>
      </c>
      <c r="G263" s="24089"/>
      <c r="H263" s="24088"/>
      <c r="I263" s="1289"/>
      <c r="J263" s="1289"/>
      <c r="K263" s="1289"/>
      <c r="L263" s="1295"/>
      <c r="M263" s="1291"/>
      <c r="N263" s="1291"/>
      <c r="O263" s="1292"/>
      <c r="P263" s="1720"/>
      <c r="Q263" s="311"/>
      <c r="R263" s="291"/>
      <c r="S263" s="4056"/>
      <c r="T263" s="4057" t="s">
        <v>714</v>
      </c>
      <c r="U263" s="4058"/>
      <c r="V263" s="4059"/>
      <c r="W263" s="4060"/>
      <c r="X263" s="4061"/>
      <c r="Y263" s="4062"/>
      <c r="Z263" s="4063"/>
      <c r="AA263" s="4064"/>
      <c r="AB263" s="4065"/>
      <c r="AC263" s="4066"/>
      <c r="AD263" s="4067"/>
      <c r="AE263" s="4068"/>
      <c r="AF263" s="4069"/>
      <c r="AG263" s="4070"/>
      <c r="AH263" s="4071"/>
      <c r="AI263" s="4072"/>
      <c r="AJ263" s="4073"/>
      <c r="AK263" s="4074"/>
      <c r="AL263" s="4075"/>
      <c r="AM263" s="4076"/>
      <c r="AN263" s="4077"/>
      <c r="AO263" s="4078"/>
      <c r="AP263" s="4079"/>
      <c r="AQ263" s="4080"/>
      <c r="AR263" s="7373"/>
      <c r="AS263" s="7374"/>
      <c r="AT263" s="7375"/>
      <c r="AU263" s="7376"/>
      <c r="AV263" s="7377"/>
      <c r="AW263" s="7378"/>
      <c r="AX263" s="7379"/>
      <c r="AY263" s="7380"/>
      <c r="AZ263" s="7381"/>
      <c r="BA263" s="7382"/>
      <c r="BB263" s="7383"/>
      <c r="BC263" s="7384"/>
      <c r="BD263" s="7385"/>
      <c r="BE263" s="15105"/>
      <c r="BF263" s="15106"/>
      <c r="BG263" s="21889"/>
      <c r="BH263" s="15107"/>
      <c r="BI263" s="15108"/>
      <c r="BJ263" s="15109"/>
      <c r="BK263" s="15110"/>
      <c r="BL263" s="15111"/>
      <c r="BM263" s="15112"/>
      <c r="BN263" s="4081"/>
      <c r="BO263" s="4082"/>
      <c r="BP263" s="15113"/>
      <c r="BQ263" s="15114"/>
      <c r="BR263" s="4083"/>
      <c r="BS263" s="15115"/>
      <c r="BT263" s="15116"/>
      <c r="BU263" s="15117"/>
      <c r="BV263" s="15118"/>
      <c r="BW263" s="15119"/>
      <c r="BX263" s="15120"/>
      <c r="BY263" s="15121"/>
      <c r="BZ263" s="15122"/>
      <c r="CA263" s="15123"/>
      <c r="CB263" s="15124"/>
      <c r="CC263" s="15125"/>
      <c r="CD263" s="15126"/>
      <c r="CE263" s="15127"/>
      <c r="CF263" s="15128"/>
      <c r="CG263" s="15129"/>
      <c r="CH263" s="15130"/>
      <c r="CI263" s="15131"/>
      <c r="CJ263" s="15132"/>
      <c r="CK263" s="15133"/>
      <c r="CL263" s="15134"/>
      <c r="CM263" s="15135"/>
      <c r="CN263" s="15136"/>
      <c r="CO263" s="15137"/>
      <c r="CP263" s="15138"/>
      <c r="CQ263" s="15139"/>
      <c r="CR263" s="15140"/>
      <c r="CS263" s="15141"/>
      <c r="CT263" s="15142"/>
      <c r="CU263" s="15143"/>
      <c r="CV263" s="15144"/>
      <c r="CW263" s="15145"/>
      <c r="CX263" s="15146"/>
      <c r="CY263" s="15147"/>
      <c r="CZ263" s="15148"/>
      <c r="DA263" s="15149"/>
      <c r="DB263" s="15150"/>
      <c r="DC263" s="15151"/>
      <c r="DD263" s="15152"/>
      <c r="DE263" s="15153"/>
      <c r="DF263" s="15154"/>
      <c r="DG263" s="15155"/>
      <c r="DH263" s="15156"/>
      <c r="DI263" s="15157"/>
      <c r="DJ263" s="15158"/>
      <c r="DK263" s="15159"/>
      <c r="DL263" s="15160"/>
      <c r="DM263" s="15161"/>
      <c r="DN263" s="15162"/>
      <c r="DO263" s="15163"/>
      <c r="DP263" s="15164"/>
      <c r="DQ263" s="15165"/>
      <c r="DR263" s="15166"/>
      <c r="DS263" s="15167"/>
      <c r="DT263" s="15168"/>
      <c r="DU263" s="15169"/>
      <c r="DV263" s="15170"/>
      <c r="DW263" s="15171"/>
      <c r="DX263" s="15172"/>
      <c r="DY263" s="15173"/>
      <c r="DZ263" s="15174"/>
      <c r="EA263" s="15175"/>
      <c r="EB263" s="15176"/>
      <c r="EC263" s="15177"/>
      <c r="ED263" s="15178"/>
      <c r="EE263" s="15179"/>
      <c r="EF263" s="15180"/>
      <c r="EG263" s="15181"/>
      <c r="EH263" s="15182"/>
      <c r="EI263" s="15183"/>
      <c r="EJ263" s="15184"/>
      <c r="EK263" s="15185"/>
      <c r="EL263" s="15186"/>
      <c r="EM263" s="21623"/>
      <c r="EN263" s="21624"/>
      <c r="EO263" s="15187"/>
      <c r="EP263" s="15188"/>
      <c r="EQ263" s="21625"/>
      <c r="ER263" s="15189"/>
      <c r="ES263" s="15190"/>
      <c r="ET263" s="15191"/>
      <c r="EU263" s="15192"/>
      <c r="EV263" s="15193"/>
      <c r="EW263" s="15194"/>
      <c r="EX263" s="4084"/>
      <c r="EY263" s="4085"/>
      <c r="EZ263" s="15195"/>
      <c r="FA263" s="15196"/>
      <c r="FB263" s="4086"/>
      <c r="FC263" s="15197"/>
      <c r="FD263" s="15198"/>
      <c r="FE263" s="15199"/>
      <c r="FF263" s="15200"/>
      <c r="FG263" s="15201"/>
      <c r="FH263" s="5725"/>
      <c r="FI263" s="22824"/>
      <c r="FJ263" s="22825"/>
      <c r="FK263" s="23587"/>
      <c r="FL263" s="23588"/>
      <c r="FM263" s="22826"/>
      <c r="FN263" s="23589"/>
      <c r="FO263" s="23590"/>
      <c r="FP263" s="22827"/>
      <c r="FQ263" s="22828"/>
      <c r="FR263" s="22829"/>
      <c r="FS263" s="23591"/>
      <c r="FT263" s="4087"/>
      <c r="FU263" s="4088"/>
      <c r="FV263" s="1568"/>
      <c r="FW263" s="1550"/>
      <c r="FX263" s="1550" t="str">
        <f t="shared" si="4"/>
        <v>Добавить наименование признака дифференциации</v>
      </c>
      <c r="FY263" s="1550"/>
      <c r="FZ263" s="1550"/>
      <c r="GA263" s="1561">
        <v>0</v>
      </c>
    </row>
    <row r="264" spans="1:183" s="558" customFormat="1" ht="14.25" customHeight="1">
      <c r="A264" s="1269"/>
      <c r="B264" s="1269"/>
      <c r="C264" s="1269"/>
      <c r="D264" s="1269"/>
      <c r="E264" s="24089"/>
      <c r="F264" s="24088" t="s">
        <v>90</v>
      </c>
      <c r="G264" s="1269"/>
      <c r="H264" s="1269"/>
      <c r="I264" s="1269"/>
      <c r="J264" s="1269"/>
      <c r="K264" s="1269"/>
      <c r="L264" s="1471"/>
      <c r="M264" s="1247"/>
      <c r="N264" s="1247"/>
      <c r="O264" s="1568"/>
      <c r="P264" s="1242"/>
      <c r="Q264" s="1270"/>
      <c r="R264" s="1242"/>
      <c r="S264" s="1248"/>
      <c r="T264" s="1251" t="s">
        <v>370</v>
      </c>
      <c r="U264" s="1250"/>
      <c r="V264" s="1250"/>
      <c r="W264" s="1250"/>
      <c r="X264" s="1250"/>
      <c r="Y264" s="1250"/>
      <c r="Z264" s="1250"/>
      <c r="AA264" s="1250"/>
      <c r="AB264" s="1250"/>
      <c r="AC264" s="1250"/>
      <c r="AD264" s="1250"/>
      <c r="AE264" s="1250"/>
      <c r="AF264" s="1250"/>
      <c r="AG264" s="1250"/>
      <c r="AH264" s="1250"/>
      <c r="AI264" s="1250"/>
      <c r="AJ264" s="1250"/>
      <c r="AK264" s="1250"/>
      <c r="AL264" s="1250"/>
      <c r="AM264" s="1250"/>
      <c r="AN264" s="1250"/>
      <c r="AO264" s="1250"/>
      <c r="AP264" s="1250"/>
      <c r="AQ264" s="1250"/>
      <c r="AR264" s="1250"/>
      <c r="AS264" s="1250"/>
      <c r="AT264" s="1250"/>
      <c r="AU264" s="1250"/>
      <c r="AV264" s="1250"/>
      <c r="AW264" s="1250"/>
      <c r="AX264" s="1250"/>
      <c r="AY264" s="1250"/>
      <c r="AZ264" s="1250"/>
      <c r="BA264" s="1250"/>
      <c r="BB264" s="1250"/>
      <c r="BC264" s="1250"/>
      <c r="BD264" s="1250"/>
      <c r="BE264" s="1250"/>
      <c r="BF264" s="1250"/>
      <c r="BG264" s="1250"/>
      <c r="BH264" s="1250"/>
      <c r="BI264" s="1250"/>
      <c r="BJ264" s="1250"/>
      <c r="BK264" s="1250"/>
      <c r="BL264" s="1250"/>
      <c r="BM264" s="1250"/>
      <c r="BN264" s="1250"/>
      <c r="BO264" s="1250"/>
      <c r="BP264" s="1250"/>
      <c r="BQ264" s="1250"/>
      <c r="BR264" s="1250"/>
      <c r="BS264" s="1250"/>
      <c r="BT264" s="1250"/>
      <c r="BU264" s="1250"/>
      <c r="BV264" s="1250"/>
      <c r="BW264" s="1250"/>
      <c r="BX264" s="1250"/>
      <c r="BY264" s="1250"/>
      <c r="BZ264" s="1250"/>
      <c r="CA264" s="1250"/>
      <c r="CB264" s="1250"/>
      <c r="CC264" s="1250"/>
      <c r="CD264" s="1250"/>
      <c r="CE264" s="1250"/>
      <c r="CF264" s="1250"/>
      <c r="CG264" s="1250"/>
      <c r="CH264" s="1250"/>
      <c r="CI264" s="1250"/>
      <c r="CJ264" s="1250"/>
      <c r="CK264" s="1250"/>
      <c r="CL264" s="1250"/>
      <c r="CM264" s="1250"/>
      <c r="CN264" s="1250"/>
      <c r="CO264" s="1250"/>
      <c r="CP264" s="1250"/>
      <c r="CQ264" s="1250"/>
      <c r="CR264" s="1250"/>
      <c r="CS264" s="1250"/>
      <c r="CT264" s="1250"/>
      <c r="CU264" s="1250"/>
      <c r="CV264" s="1250"/>
      <c r="CW264" s="1250"/>
      <c r="CX264" s="1250"/>
      <c r="CY264" s="1250"/>
      <c r="CZ264" s="1250"/>
      <c r="DA264" s="1250"/>
      <c r="DB264" s="1250"/>
      <c r="DC264" s="1250"/>
      <c r="DD264" s="1250"/>
      <c r="DE264" s="1250"/>
      <c r="DF264" s="1250"/>
      <c r="DG264" s="1250"/>
      <c r="DH264" s="1250"/>
      <c r="DI264" s="1250"/>
      <c r="DJ264" s="1250"/>
      <c r="DK264" s="1250"/>
      <c r="DL264" s="1250"/>
      <c r="DM264" s="1250"/>
      <c r="DN264" s="1250"/>
      <c r="DO264" s="1250"/>
      <c r="DP264" s="1250"/>
      <c r="DQ264" s="1250"/>
      <c r="DR264" s="1250"/>
      <c r="DS264" s="1250"/>
      <c r="DT264" s="1250"/>
      <c r="DU264" s="1250"/>
      <c r="DV264" s="1250"/>
      <c r="DW264" s="1250"/>
      <c r="DX264" s="1250"/>
      <c r="DY264" s="1250"/>
      <c r="DZ264" s="1250"/>
      <c r="EA264" s="1250"/>
      <c r="EB264" s="1250"/>
      <c r="EC264" s="1250"/>
      <c r="ED264" s="1250"/>
      <c r="EE264" s="1250"/>
      <c r="EF264" s="1250"/>
      <c r="EG264" s="1250"/>
      <c r="EH264" s="1250"/>
      <c r="EI264" s="1250"/>
      <c r="EJ264" s="1250"/>
      <c r="EK264" s="1250"/>
      <c r="EL264" s="1250"/>
      <c r="EM264" s="1250"/>
      <c r="EN264" s="1250"/>
      <c r="EO264" s="1250"/>
      <c r="EP264" s="1250"/>
      <c r="EQ264" s="1250"/>
      <c r="ER264" s="1250"/>
      <c r="ES264" s="1250"/>
      <c r="ET264" s="1250"/>
      <c r="EU264" s="1250"/>
      <c r="EV264" s="1250"/>
      <c r="EW264" s="1250"/>
      <c r="EX264" s="1250"/>
      <c r="EY264" s="1250"/>
      <c r="EZ264" s="1250"/>
      <c r="FA264" s="1250"/>
      <c r="FB264" s="1250"/>
      <c r="FC264" s="1250"/>
      <c r="FD264" s="1250"/>
      <c r="FE264" s="1250"/>
      <c r="FF264" s="1250"/>
      <c r="FG264" s="1250"/>
      <c r="FH264" s="1250"/>
      <c r="FI264" s="1250"/>
      <c r="FJ264" s="1250"/>
      <c r="FK264" s="1250"/>
      <c r="FL264" s="1250"/>
      <c r="FM264" s="1250"/>
      <c r="FN264" s="1250"/>
      <c r="FO264" s="1250"/>
      <c r="FP264" s="1250"/>
      <c r="FQ264" s="1250"/>
      <c r="FR264" s="1250"/>
      <c r="FS264" s="1250"/>
      <c r="FT264" s="1250"/>
      <c r="FU264" s="1250"/>
      <c r="FV264" s="1568"/>
      <c r="FW264" s="1550"/>
      <c r="FX264" s="1550" t="str">
        <f t="shared" si="4"/>
        <v>Добавить централизованную систему для дифференциации</v>
      </c>
      <c r="FY264" s="1550"/>
      <c r="FZ264" s="1550"/>
      <c r="GA264" s="1568">
        <v>0</v>
      </c>
    </row>
    <row r="265" spans="1:183" s="1747" customFormat="1" ht="23.25" customHeight="1">
      <c r="A265" s="1289"/>
      <c r="B265" s="1289" t="s">
        <v>416</v>
      </c>
      <c r="C265" s="1289"/>
      <c r="D265" s="1289"/>
      <c r="E265" s="24089"/>
      <c r="F265" s="24088" t="s">
        <v>133</v>
      </c>
      <c r="G265" s="1289"/>
      <c r="H265" s="1289"/>
      <c r="I265" s="1289"/>
      <c r="J265" s="1289"/>
      <c r="K265" s="1289"/>
      <c r="L265" s="1295"/>
      <c r="M265" s="1291"/>
      <c r="N265" s="1291"/>
      <c r="O265" s="1291"/>
      <c r="P265" s="1971"/>
      <c r="Q265" s="288"/>
      <c r="R265" s="289"/>
      <c r="S265" s="1976" t="str">
        <f>INDEX(PT_DIFFERENTIATION_NUM_TER,MATCH(B265,PT_DIFFERENTIATION_TER_ID,0))</f>
        <v>1.10</v>
      </c>
      <c r="T265" s="1448" t="s">
        <v>626</v>
      </c>
      <c r="U265" s="236"/>
      <c r="V265" s="24082"/>
      <c r="W265" s="24083"/>
      <c r="X265" s="24083"/>
      <c r="Y265" s="24083"/>
      <c r="Z265" s="24083"/>
      <c r="AA265" s="24083"/>
      <c r="AB265" s="24083"/>
      <c r="AC265" s="24083"/>
      <c r="AD265" s="24083"/>
      <c r="AE265" s="24083"/>
      <c r="AF265" s="24084"/>
      <c r="AG265" s="24082" t="str">
        <f>INDEX(PT_DIFFERENTIATION_TER,MATCH(B265,PT_DIFFERENTIATION_TER_ID,0))</f>
        <v>Территория 10</v>
      </c>
      <c r="AH265" s="24083"/>
      <c r="AI265" s="24083"/>
      <c r="AJ265" s="24083"/>
      <c r="AK265" s="24083"/>
      <c r="AL265" s="24083"/>
      <c r="AM265" s="24083"/>
      <c r="AN265" s="24083"/>
      <c r="AO265" s="24083"/>
      <c r="AP265" s="24083"/>
      <c r="AQ265" s="24083"/>
      <c r="AR265" s="24173"/>
      <c r="AS265" s="24174"/>
      <c r="AT265" s="24174"/>
      <c r="AU265" s="24174"/>
      <c r="AV265" s="24174"/>
      <c r="AW265" s="24174"/>
      <c r="AX265" s="24174"/>
      <c r="AY265" s="24174"/>
      <c r="AZ265" s="24174"/>
      <c r="BA265" s="24174"/>
      <c r="BB265" s="24175"/>
      <c r="BC265" s="24173"/>
      <c r="BD265" s="24174"/>
      <c r="BE265" s="24174"/>
      <c r="BF265" s="24174"/>
      <c r="BG265" s="24174"/>
      <c r="BH265" s="24174"/>
      <c r="BI265" s="24174"/>
      <c r="BJ265" s="24174"/>
      <c r="BK265" s="24174"/>
      <c r="BL265" s="24174"/>
      <c r="BM265" s="24175"/>
      <c r="BN265" s="24082"/>
      <c r="BO265" s="24083"/>
      <c r="BP265" s="24174"/>
      <c r="BQ265" s="24174"/>
      <c r="BR265" s="24083"/>
      <c r="BS265" s="24174"/>
      <c r="BT265" s="24174"/>
      <c r="BU265" s="24174"/>
      <c r="BV265" s="24174"/>
      <c r="BW265" s="24174"/>
      <c r="BX265" s="24175"/>
      <c r="BY265" s="24173"/>
      <c r="BZ265" s="24174"/>
      <c r="CA265" s="24174"/>
      <c r="CB265" s="24174"/>
      <c r="CC265" s="24174"/>
      <c r="CD265" s="24174"/>
      <c r="CE265" s="24174"/>
      <c r="CF265" s="24174"/>
      <c r="CG265" s="24174"/>
      <c r="CH265" s="24174"/>
      <c r="CI265" s="24175"/>
      <c r="CJ265" s="24173"/>
      <c r="CK265" s="24174"/>
      <c r="CL265" s="24174"/>
      <c r="CM265" s="24174"/>
      <c r="CN265" s="24174"/>
      <c r="CO265" s="24174"/>
      <c r="CP265" s="24174"/>
      <c r="CQ265" s="24174"/>
      <c r="CR265" s="24174"/>
      <c r="CS265" s="24174"/>
      <c r="CT265" s="24175"/>
      <c r="CU265" s="24173"/>
      <c r="CV265" s="24174"/>
      <c r="CW265" s="24174"/>
      <c r="CX265" s="24174"/>
      <c r="CY265" s="24174"/>
      <c r="CZ265" s="24174"/>
      <c r="DA265" s="24174"/>
      <c r="DB265" s="24174"/>
      <c r="DC265" s="24174"/>
      <c r="DD265" s="24174"/>
      <c r="DE265" s="24175"/>
      <c r="DF265" s="24173"/>
      <c r="DG265" s="24174"/>
      <c r="DH265" s="24174"/>
      <c r="DI265" s="24174"/>
      <c r="DJ265" s="24174"/>
      <c r="DK265" s="24174"/>
      <c r="DL265" s="24174"/>
      <c r="DM265" s="24174"/>
      <c r="DN265" s="24174"/>
      <c r="DO265" s="24174"/>
      <c r="DP265" s="24175"/>
      <c r="DQ265" s="24173"/>
      <c r="DR265" s="24174"/>
      <c r="DS265" s="24174"/>
      <c r="DT265" s="24174"/>
      <c r="DU265" s="24174"/>
      <c r="DV265" s="24174"/>
      <c r="DW265" s="24174"/>
      <c r="DX265" s="24174"/>
      <c r="DY265" s="24174"/>
      <c r="DZ265" s="24174"/>
      <c r="EA265" s="24175"/>
      <c r="EB265" s="24173"/>
      <c r="EC265" s="24174"/>
      <c r="ED265" s="24174"/>
      <c r="EE265" s="24174"/>
      <c r="EF265" s="24174"/>
      <c r="EG265" s="24174"/>
      <c r="EH265" s="24174"/>
      <c r="EI265" s="24174"/>
      <c r="EJ265" s="24174"/>
      <c r="EK265" s="24174"/>
      <c r="EL265" s="24175"/>
      <c r="EM265" s="24173"/>
      <c r="EN265" s="24174"/>
      <c r="EO265" s="24174"/>
      <c r="EP265" s="24174"/>
      <c r="EQ265" s="24174"/>
      <c r="ER265" s="24174"/>
      <c r="ES265" s="24174"/>
      <c r="ET265" s="24174"/>
      <c r="EU265" s="24174"/>
      <c r="EV265" s="24174"/>
      <c r="EW265" s="24175"/>
      <c r="EX265" s="24082"/>
      <c r="EY265" s="24083"/>
      <c r="EZ265" s="24174"/>
      <c r="FA265" s="24174"/>
      <c r="FB265" s="24083"/>
      <c r="FC265" s="24174"/>
      <c r="FD265" s="24174"/>
      <c r="FE265" s="24174"/>
      <c r="FF265" s="24174"/>
      <c r="FG265" s="24174"/>
      <c r="FH265" s="24175"/>
      <c r="FI265" s="24082"/>
      <c r="FJ265" s="24083"/>
      <c r="FK265" s="24174"/>
      <c r="FL265" s="24174"/>
      <c r="FM265" s="24083"/>
      <c r="FN265" s="24174"/>
      <c r="FO265" s="24174"/>
      <c r="FP265" s="24083"/>
      <c r="FQ265" s="24083"/>
      <c r="FR265" s="24083"/>
      <c r="FS265" s="24175"/>
      <c r="FT265" s="24084"/>
      <c r="FU265" s="1184" t="s">
        <v>627</v>
      </c>
      <c r="FV265" s="1568"/>
      <c r="FW265" s="1550"/>
      <c r="FX265" s="1550" t="str">
        <f t="shared" si="4"/>
        <v>Территория действия тарифа</v>
      </c>
      <c r="FY265" s="1550"/>
      <c r="FZ265" s="1550"/>
      <c r="GA265" s="1561">
        <v>0</v>
      </c>
    </row>
    <row r="266" spans="1:183" s="1747" customFormat="1" ht="23.25" customHeight="1">
      <c r="A266" s="1289"/>
      <c r="B266" s="1289"/>
      <c r="C266" s="1289" t="s">
        <v>417</v>
      </c>
      <c r="D266" s="1289"/>
      <c r="E266" s="24089"/>
      <c r="F266" s="24089" t="s">
        <v>128</v>
      </c>
      <c r="G266" s="24088">
        <v>1</v>
      </c>
      <c r="H266" s="1289"/>
      <c r="I266" s="1289"/>
      <c r="J266" s="1289"/>
      <c r="K266" s="1289"/>
      <c r="L266" s="1295"/>
      <c r="M266" s="1291"/>
      <c r="N266" s="1291"/>
      <c r="O266" s="1291"/>
      <c r="P266" s="290"/>
      <c r="Q266" s="288"/>
      <c r="R266" s="289"/>
      <c r="S266" s="1976" t="str">
        <f>INDEX(PT_DIFFERENTIATION_NUM_CS,MATCH(C266,PT_DIFFERENTIATION_CS_ID,0))</f>
        <v>1.10.1</v>
      </c>
      <c r="T266" s="245" t="s">
        <v>756</v>
      </c>
      <c r="U266" s="236"/>
      <c r="V266" s="24082"/>
      <c r="W266" s="24083"/>
      <c r="X266" s="24083"/>
      <c r="Y266" s="24083"/>
      <c r="Z266" s="24083"/>
      <c r="AA266" s="24083"/>
      <c r="AB266" s="24083"/>
      <c r="AC266" s="24083"/>
      <c r="AD266" s="24083"/>
      <c r="AE266" s="24083"/>
      <c r="AF266" s="24084"/>
      <c r="AG266" s="24082" t="str">
        <f>INDEX(PT_DIFFERENTIATION_CS,MATCH(C266,PT_DIFFERENTIATION_CS_ID,0))</f>
        <v>д. Бояды Починковского муниципального  округа Смоленской области</v>
      </c>
      <c r="AH266" s="24083"/>
      <c r="AI266" s="24083"/>
      <c r="AJ266" s="24083"/>
      <c r="AK266" s="24083"/>
      <c r="AL266" s="24083"/>
      <c r="AM266" s="24083"/>
      <c r="AN266" s="24083"/>
      <c r="AO266" s="24083"/>
      <c r="AP266" s="24083"/>
      <c r="AQ266" s="24083"/>
      <c r="AR266" s="24173"/>
      <c r="AS266" s="24174"/>
      <c r="AT266" s="24174"/>
      <c r="AU266" s="24174"/>
      <c r="AV266" s="24174"/>
      <c r="AW266" s="24174"/>
      <c r="AX266" s="24174"/>
      <c r="AY266" s="24174"/>
      <c r="AZ266" s="24174"/>
      <c r="BA266" s="24174"/>
      <c r="BB266" s="24175"/>
      <c r="BC266" s="24173"/>
      <c r="BD266" s="24174"/>
      <c r="BE266" s="24174"/>
      <c r="BF266" s="24174"/>
      <c r="BG266" s="24174"/>
      <c r="BH266" s="24174"/>
      <c r="BI266" s="24174"/>
      <c r="BJ266" s="24174"/>
      <c r="BK266" s="24174"/>
      <c r="BL266" s="24174"/>
      <c r="BM266" s="24175"/>
      <c r="BN266" s="24082"/>
      <c r="BO266" s="24083"/>
      <c r="BP266" s="24174"/>
      <c r="BQ266" s="24174"/>
      <c r="BR266" s="24083"/>
      <c r="BS266" s="24174"/>
      <c r="BT266" s="24174"/>
      <c r="BU266" s="24174"/>
      <c r="BV266" s="24174"/>
      <c r="BW266" s="24174"/>
      <c r="BX266" s="24175"/>
      <c r="BY266" s="24173"/>
      <c r="BZ266" s="24174"/>
      <c r="CA266" s="24174"/>
      <c r="CB266" s="24174"/>
      <c r="CC266" s="24174"/>
      <c r="CD266" s="24174"/>
      <c r="CE266" s="24174"/>
      <c r="CF266" s="24174"/>
      <c r="CG266" s="24174"/>
      <c r="CH266" s="24174"/>
      <c r="CI266" s="24175"/>
      <c r="CJ266" s="24173"/>
      <c r="CK266" s="24174"/>
      <c r="CL266" s="24174"/>
      <c r="CM266" s="24174"/>
      <c r="CN266" s="24174"/>
      <c r="CO266" s="24174"/>
      <c r="CP266" s="24174"/>
      <c r="CQ266" s="24174"/>
      <c r="CR266" s="24174"/>
      <c r="CS266" s="24174"/>
      <c r="CT266" s="24175"/>
      <c r="CU266" s="24173"/>
      <c r="CV266" s="24174"/>
      <c r="CW266" s="24174"/>
      <c r="CX266" s="24174"/>
      <c r="CY266" s="24174"/>
      <c r="CZ266" s="24174"/>
      <c r="DA266" s="24174"/>
      <c r="DB266" s="24174"/>
      <c r="DC266" s="24174"/>
      <c r="DD266" s="24174"/>
      <c r="DE266" s="24175"/>
      <c r="DF266" s="24173"/>
      <c r="DG266" s="24174"/>
      <c r="DH266" s="24174"/>
      <c r="DI266" s="24174"/>
      <c r="DJ266" s="24174"/>
      <c r="DK266" s="24174"/>
      <c r="DL266" s="24174"/>
      <c r="DM266" s="24174"/>
      <c r="DN266" s="24174"/>
      <c r="DO266" s="24174"/>
      <c r="DP266" s="24175"/>
      <c r="DQ266" s="24173"/>
      <c r="DR266" s="24174"/>
      <c r="DS266" s="24174"/>
      <c r="DT266" s="24174"/>
      <c r="DU266" s="24174"/>
      <c r="DV266" s="24174"/>
      <c r="DW266" s="24174"/>
      <c r="DX266" s="24174"/>
      <c r="DY266" s="24174"/>
      <c r="DZ266" s="24174"/>
      <c r="EA266" s="24175"/>
      <c r="EB266" s="24173"/>
      <c r="EC266" s="24174"/>
      <c r="ED266" s="24174"/>
      <c r="EE266" s="24174"/>
      <c r="EF266" s="24174"/>
      <c r="EG266" s="24174"/>
      <c r="EH266" s="24174"/>
      <c r="EI266" s="24174"/>
      <c r="EJ266" s="24174"/>
      <c r="EK266" s="24174"/>
      <c r="EL266" s="24175"/>
      <c r="EM266" s="24173"/>
      <c r="EN266" s="24174"/>
      <c r="EO266" s="24174"/>
      <c r="EP266" s="24174"/>
      <c r="EQ266" s="24174"/>
      <c r="ER266" s="24174"/>
      <c r="ES266" s="24174"/>
      <c r="ET266" s="24174"/>
      <c r="EU266" s="24174"/>
      <c r="EV266" s="24174"/>
      <c r="EW266" s="24175"/>
      <c r="EX266" s="24082"/>
      <c r="EY266" s="24083"/>
      <c r="EZ266" s="24174"/>
      <c r="FA266" s="24174"/>
      <c r="FB266" s="24083"/>
      <c r="FC266" s="24174"/>
      <c r="FD266" s="24174"/>
      <c r="FE266" s="24174"/>
      <c r="FF266" s="24174"/>
      <c r="FG266" s="24174"/>
      <c r="FH266" s="24175"/>
      <c r="FI266" s="24082"/>
      <c r="FJ266" s="24083"/>
      <c r="FK266" s="24174"/>
      <c r="FL266" s="24174"/>
      <c r="FM266" s="24083"/>
      <c r="FN266" s="24174"/>
      <c r="FO266" s="24174"/>
      <c r="FP266" s="24083"/>
      <c r="FQ266" s="24083"/>
      <c r="FR266" s="24083"/>
      <c r="FS266" s="24175"/>
      <c r="FT266" s="24084"/>
      <c r="FU266" s="1184" t="s">
        <v>757</v>
      </c>
      <c r="FV266" s="1568"/>
      <c r="FW266" s="1550"/>
      <c r="FX266" s="1550" t="str">
        <f t="shared" si="4"/>
        <v>Наименование централизованной системы горячего водоснабжения</v>
      </c>
      <c r="FY266" s="1550"/>
      <c r="FZ266" s="1550"/>
      <c r="GA266" s="1561">
        <v>0</v>
      </c>
    </row>
    <row r="267" spans="1:183" s="1747" customFormat="1" ht="23.25" customHeight="1">
      <c r="A267" s="1289"/>
      <c r="B267" s="1289"/>
      <c r="C267" s="1289"/>
      <c r="D267" s="1289"/>
      <c r="E267" s="24089"/>
      <c r="F267" s="24089" t="s">
        <v>128</v>
      </c>
      <c r="G267" s="24089"/>
      <c r="H267" s="24089"/>
      <c r="I267" s="24090" t="str">
        <f>S266&amp;".1"</f>
        <v>1.10.1.1</v>
      </c>
      <c r="J267" s="1289"/>
      <c r="K267" s="1289"/>
      <c r="L267" s="1295"/>
      <c r="M267" s="1674"/>
      <c r="N267" s="1674"/>
      <c r="O267" s="1674"/>
      <c r="P267" s="24092">
        <v>1</v>
      </c>
      <c r="Q267" s="1978"/>
      <c r="R267" s="292"/>
      <c r="S267" s="1976" t="str">
        <f>$I267</f>
        <v>1.10.1.1</v>
      </c>
      <c r="T267" s="221" t="s">
        <v>709</v>
      </c>
      <c r="U267" s="236"/>
      <c r="V267" s="24156"/>
      <c r="W267" s="24157"/>
      <c r="X267" s="24157"/>
      <c r="Y267" s="24157"/>
      <c r="Z267" s="24157"/>
      <c r="AA267" s="24157"/>
      <c r="AB267" s="24157"/>
      <c r="AC267" s="24157"/>
      <c r="AD267" s="24157"/>
      <c r="AE267" s="24157"/>
      <c r="AF267" s="24158"/>
      <c r="AG267" s="24159"/>
      <c r="AH267" s="24160"/>
      <c r="AI267" s="24160"/>
      <c r="AJ267" s="24160"/>
      <c r="AK267" s="24160"/>
      <c r="AL267" s="24160"/>
      <c r="AM267" s="24160"/>
      <c r="AN267" s="24160"/>
      <c r="AO267" s="24160"/>
      <c r="AP267" s="24160"/>
      <c r="AQ267" s="24160"/>
      <c r="AR267" s="24176"/>
      <c r="AS267" s="24177"/>
      <c r="AT267" s="24177"/>
      <c r="AU267" s="24177"/>
      <c r="AV267" s="24177"/>
      <c r="AW267" s="24177"/>
      <c r="AX267" s="24177"/>
      <c r="AY267" s="24177"/>
      <c r="AZ267" s="24177"/>
      <c r="BA267" s="24177"/>
      <c r="BB267" s="24178"/>
      <c r="BC267" s="24176"/>
      <c r="BD267" s="24177"/>
      <c r="BE267" s="24177"/>
      <c r="BF267" s="24177"/>
      <c r="BG267" s="24177"/>
      <c r="BH267" s="24177"/>
      <c r="BI267" s="24177"/>
      <c r="BJ267" s="24177"/>
      <c r="BK267" s="24177"/>
      <c r="BL267" s="24177"/>
      <c r="BM267" s="24178"/>
      <c r="BN267" s="24156"/>
      <c r="BO267" s="24157"/>
      <c r="BP267" s="24177"/>
      <c r="BQ267" s="24177"/>
      <c r="BR267" s="24157"/>
      <c r="BS267" s="24177"/>
      <c r="BT267" s="24177"/>
      <c r="BU267" s="24177"/>
      <c r="BV267" s="24177"/>
      <c r="BW267" s="24177"/>
      <c r="BX267" s="24178"/>
      <c r="BY267" s="24176"/>
      <c r="BZ267" s="24177"/>
      <c r="CA267" s="24177"/>
      <c r="CB267" s="24177"/>
      <c r="CC267" s="24177"/>
      <c r="CD267" s="24177"/>
      <c r="CE267" s="24177"/>
      <c r="CF267" s="24177"/>
      <c r="CG267" s="24177"/>
      <c r="CH267" s="24177"/>
      <c r="CI267" s="24178"/>
      <c r="CJ267" s="24176"/>
      <c r="CK267" s="24177"/>
      <c r="CL267" s="24177"/>
      <c r="CM267" s="24177"/>
      <c r="CN267" s="24177"/>
      <c r="CO267" s="24177"/>
      <c r="CP267" s="24177"/>
      <c r="CQ267" s="24177"/>
      <c r="CR267" s="24177"/>
      <c r="CS267" s="24177"/>
      <c r="CT267" s="24178"/>
      <c r="CU267" s="24176"/>
      <c r="CV267" s="24177"/>
      <c r="CW267" s="24177"/>
      <c r="CX267" s="24177"/>
      <c r="CY267" s="24177"/>
      <c r="CZ267" s="24177"/>
      <c r="DA267" s="24177"/>
      <c r="DB267" s="24177"/>
      <c r="DC267" s="24177"/>
      <c r="DD267" s="24177"/>
      <c r="DE267" s="24178"/>
      <c r="DF267" s="24176"/>
      <c r="DG267" s="24177"/>
      <c r="DH267" s="24177"/>
      <c r="DI267" s="24177"/>
      <c r="DJ267" s="24177"/>
      <c r="DK267" s="24177"/>
      <c r="DL267" s="24177"/>
      <c r="DM267" s="24177"/>
      <c r="DN267" s="24177"/>
      <c r="DO267" s="24177"/>
      <c r="DP267" s="24178"/>
      <c r="DQ267" s="24176"/>
      <c r="DR267" s="24177"/>
      <c r="DS267" s="24177"/>
      <c r="DT267" s="24177"/>
      <c r="DU267" s="24177"/>
      <c r="DV267" s="24177"/>
      <c r="DW267" s="24177"/>
      <c r="DX267" s="24177"/>
      <c r="DY267" s="24177"/>
      <c r="DZ267" s="24177"/>
      <c r="EA267" s="24178"/>
      <c r="EB267" s="24176"/>
      <c r="EC267" s="24177"/>
      <c r="ED267" s="24177"/>
      <c r="EE267" s="24177"/>
      <c r="EF267" s="24177"/>
      <c r="EG267" s="24177"/>
      <c r="EH267" s="24177"/>
      <c r="EI267" s="24177"/>
      <c r="EJ267" s="24177"/>
      <c r="EK267" s="24177"/>
      <c r="EL267" s="24178"/>
      <c r="EM267" s="24176"/>
      <c r="EN267" s="24177"/>
      <c r="EO267" s="24177"/>
      <c r="EP267" s="24177"/>
      <c r="EQ267" s="24177"/>
      <c r="ER267" s="24177"/>
      <c r="ES267" s="24177"/>
      <c r="ET267" s="24177"/>
      <c r="EU267" s="24177"/>
      <c r="EV267" s="24177"/>
      <c r="EW267" s="24178"/>
      <c r="EX267" s="24156"/>
      <c r="EY267" s="24157"/>
      <c r="EZ267" s="24177"/>
      <c r="FA267" s="24177"/>
      <c r="FB267" s="24157"/>
      <c r="FC267" s="24177"/>
      <c r="FD267" s="24177"/>
      <c r="FE267" s="24177"/>
      <c r="FF267" s="24177"/>
      <c r="FG267" s="24177"/>
      <c r="FH267" s="24178"/>
      <c r="FI267" s="24156"/>
      <c r="FJ267" s="24157"/>
      <c r="FK267" s="24177"/>
      <c r="FL267" s="24177"/>
      <c r="FM267" s="24157"/>
      <c r="FN267" s="24177"/>
      <c r="FO267" s="24177"/>
      <c r="FP267" s="24157"/>
      <c r="FQ267" s="24157"/>
      <c r="FR267" s="24157"/>
      <c r="FS267" s="24178"/>
      <c r="FT267" s="24161"/>
      <c r="FU267" s="1184" t="s">
        <v>710</v>
      </c>
      <c r="FV267" s="1568"/>
      <c r="FW267" s="1550"/>
      <c r="FX267" s="1550" t="str">
        <f t="shared" si="4"/>
        <v>Наименование признака дифференциации</v>
      </c>
      <c r="FY267" s="1550"/>
      <c r="FZ267" s="1550"/>
      <c r="GA267" s="1561">
        <v>0</v>
      </c>
    </row>
    <row r="268" spans="1:183" s="1747" customFormat="1" ht="23.25" customHeight="1">
      <c r="A268" s="1289"/>
      <c r="B268" s="1289"/>
      <c r="C268" s="1289"/>
      <c r="D268" s="1289"/>
      <c r="E268" s="24089"/>
      <c r="F268" s="24089" t="s">
        <v>128</v>
      </c>
      <c r="G268" s="24089"/>
      <c r="H268" s="24089"/>
      <c r="I268" s="24091"/>
      <c r="J268" s="24090" t="str">
        <f>I267&amp;".1"</f>
        <v>1.10.1.1.1</v>
      </c>
      <c r="K268" s="1289"/>
      <c r="L268" s="1295" t="s">
        <v>635</v>
      </c>
      <c r="M268" s="1674"/>
      <c r="N268" s="1674"/>
      <c r="O268" s="1674"/>
      <c r="P268" s="24092"/>
      <c r="Q268" s="24092">
        <v>1</v>
      </c>
      <c r="R268" s="293"/>
      <c r="S268" s="1976" t="str">
        <f>$J268</f>
        <v>1.10.1.1.1</v>
      </c>
      <c r="T268" s="222" t="s">
        <v>636</v>
      </c>
      <c r="U268" s="236"/>
      <c r="V268" s="24076"/>
      <c r="W268" s="24077"/>
      <c r="X268" s="24077"/>
      <c r="Y268" s="24077"/>
      <c r="Z268" s="24077"/>
      <c r="AA268" s="24077"/>
      <c r="AB268" s="24077"/>
      <c r="AC268" s="24077"/>
      <c r="AD268" s="24077"/>
      <c r="AE268" s="24077"/>
      <c r="AF268" s="24078"/>
      <c r="AG268" s="24076" t="s">
        <v>769</v>
      </c>
      <c r="AH268" s="24077"/>
      <c r="AI268" s="24077"/>
      <c r="AJ268" s="24077"/>
      <c r="AK268" s="24077"/>
      <c r="AL268" s="24077"/>
      <c r="AM268" s="24077"/>
      <c r="AN268" s="24077"/>
      <c r="AO268" s="24077"/>
      <c r="AP268" s="24077"/>
      <c r="AQ268" s="24077"/>
      <c r="AR268" s="24179"/>
      <c r="AS268" s="24180"/>
      <c r="AT268" s="24180"/>
      <c r="AU268" s="24180"/>
      <c r="AV268" s="24180"/>
      <c r="AW268" s="24180"/>
      <c r="AX268" s="24180"/>
      <c r="AY268" s="24180"/>
      <c r="AZ268" s="24180"/>
      <c r="BA268" s="24180"/>
      <c r="BB268" s="24181"/>
      <c r="BC268" s="24179"/>
      <c r="BD268" s="24180"/>
      <c r="BE268" s="24180"/>
      <c r="BF268" s="24180"/>
      <c r="BG268" s="24180"/>
      <c r="BH268" s="24180"/>
      <c r="BI268" s="24180"/>
      <c r="BJ268" s="24180"/>
      <c r="BK268" s="24180"/>
      <c r="BL268" s="24180"/>
      <c r="BM268" s="24181"/>
      <c r="BN268" s="24076"/>
      <c r="BO268" s="24077"/>
      <c r="BP268" s="24180"/>
      <c r="BQ268" s="24180"/>
      <c r="BR268" s="24077"/>
      <c r="BS268" s="24180"/>
      <c r="BT268" s="24180"/>
      <c r="BU268" s="24180"/>
      <c r="BV268" s="24180"/>
      <c r="BW268" s="24180"/>
      <c r="BX268" s="24181"/>
      <c r="BY268" s="24179"/>
      <c r="BZ268" s="24180"/>
      <c r="CA268" s="24180"/>
      <c r="CB268" s="24180"/>
      <c r="CC268" s="24180"/>
      <c r="CD268" s="24180"/>
      <c r="CE268" s="24180"/>
      <c r="CF268" s="24180"/>
      <c r="CG268" s="24180"/>
      <c r="CH268" s="24180"/>
      <c r="CI268" s="24181"/>
      <c r="CJ268" s="24179"/>
      <c r="CK268" s="24180"/>
      <c r="CL268" s="24180"/>
      <c r="CM268" s="24180"/>
      <c r="CN268" s="24180"/>
      <c r="CO268" s="24180"/>
      <c r="CP268" s="24180"/>
      <c r="CQ268" s="24180"/>
      <c r="CR268" s="24180"/>
      <c r="CS268" s="24180"/>
      <c r="CT268" s="24181"/>
      <c r="CU268" s="24179"/>
      <c r="CV268" s="24180"/>
      <c r="CW268" s="24180"/>
      <c r="CX268" s="24180"/>
      <c r="CY268" s="24180"/>
      <c r="CZ268" s="24180"/>
      <c r="DA268" s="24180"/>
      <c r="DB268" s="24180"/>
      <c r="DC268" s="24180"/>
      <c r="DD268" s="24180"/>
      <c r="DE268" s="24181"/>
      <c r="DF268" s="24179"/>
      <c r="DG268" s="24180"/>
      <c r="DH268" s="24180"/>
      <c r="DI268" s="24180"/>
      <c r="DJ268" s="24180"/>
      <c r="DK268" s="24180"/>
      <c r="DL268" s="24180"/>
      <c r="DM268" s="24180"/>
      <c r="DN268" s="24180"/>
      <c r="DO268" s="24180"/>
      <c r="DP268" s="24181"/>
      <c r="DQ268" s="24179"/>
      <c r="DR268" s="24180"/>
      <c r="DS268" s="24180"/>
      <c r="DT268" s="24180"/>
      <c r="DU268" s="24180"/>
      <c r="DV268" s="24180"/>
      <c r="DW268" s="24180"/>
      <c r="DX268" s="24180"/>
      <c r="DY268" s="24180"/>
      <c r="DZ268" s="24180"/>
      <c r="EA268" s="24181"/>
      <c r="EB268" s="24179"/>
      <c r="EC268" s="24180"/>
      <c r="ED268" s="24180"/>
      <c r="EE268" s="24180"/>
      <c r="EF268" s="24180"/>
      <c r="EG268" s="24180"/>
      <c r="EH268" s="24180"/>
      <c r="EI268" s="24180"/>
      <c r="EJ268" s="24180"/>
      <c r="EK268" s="24180"/>
      <c r="EL268" s="24181"/>
      <c r="EM268" s="24179"/>
      <c r="EN268" s="24180"/>
      <c r="EO268" s="24180"/>
      <c r="EP268" s="24180"/>
      <c r="EQ268" s="24180"/>
      <c r="ER268" s="24180"/>
      <c r="ES268" s="24180"/>
      <c r="ET268" s="24180"/>
      <c r="EU268" s="24180"/>
      <c r="EV268" s="24180"/>
      <c r="EW268" s="24181"/>
      <c r="EX268" s="24076"/>
      <c r="EY268" s="24077"/>
      <c r="EZ268" s="24180"/>
      <c r="FA268" s="24180"/>
      <c r="FB268" s="24077"/>
      <c r="FC268" s="24180"/>
      <c r="FD268" s="24180"/>
      <c r="FE268" s="24180"/>
      <c r="FF268" s="24180"/>
      <c r="FG268" s="24180"/>
      <c r="FH268" s="24181"/>
      <c r="FI268" s="24076"/>
      <c r="FJ268" s="24077"/>
      <c r="FK268" s="24180"/>
      <c r="FL268" s="24180"/>
      <c r="FM268" s="24077"/>
      <c r="FN268" s="24180"/>
      <c r="FO268" s="24180"/>
      <c r="FP268" s="24077"/>
      <c r="FQ268" s="24077"/>
      <c r="FR268" s="24077"/>
      <c r="FS268" s="24181"/>
      <c r="FT268" s="24078"/>
      <c r="FU268" s="1233" t="s">
        <v>711</v>
      </c>
      <c r="FV268" s="1568"/>
      <c r="FW268" s="1550"/>
      <c r="FX268" s="1550" t="str">
        <f t="shared" si="4"/>
        <v>Группа потребителей</v>
      </c>
      <c r="FY268" s="1550"/>
      <c r="FZ268" s="1550"/>
      <c r="GA268" s="1561">
        <v>0</v>
      </c>
    </row>
    <row r="269" spans="1:183" s="1747" customFormat="1" ht="23.25" customHeight="1">
      <c r="A269" s="1289"/>
      <c r="B269" s="1289"/>
      <c r="C269" s="1289"/>
      <c r="D269" s="1289"/>
      <c r="E269" s="24089"/>
      <c r="F269" s="24089" t="s">
        <v>128</v>
      </c>
      <c r="G269" s="24089"/>
      <c r="H269" s="24089"/>
      <c r="I269" s="24091"/>
      <c r="J269" s="24091"/>
      <c r="K269" s="24090" t="str">
        <f>J268&amp;".1"</f>
        <v>1.10.1.1.1.1</v>
      </c>
      <c r="L269" s="1295"/>
      <c r="M269" s="1674"/>
      <c r="N269" s="1674"/>
      <c r="O269" s="1674"/>
      <c r="P269" s="24092"/>
      <c r="Q269" s="24092"/>
      <c r="R269" s="293">
        <v>1</v>
      </c>
      <c r="S269" s="1976" t="str">
        <f>$K269</f>
        <v>1.10.1.1.1.1</v>
      </c>
      <c r="T269" s="1363"/>
      <c r="U269" s="236"/>
      <c r="V269" s="1286"/>
      <c r="W269" s="1286"/>
      <c r="X269" s="1286"/>
      <c r="Y269" s="1286"/>
      <c r="Z269" s="1286"/>
      <c r="AA269" s="1286"/>
      <c r="AB269" s="1286"/>
      <c r="AC269" s="24086"/>
      <c r="AD269" s="24085" t="s">
        <v>59</v>
      </c>
      <c r="AE269" s="24086"/>
      <c r="AF269" s="24085" t="s">
        <v>59</v>
      </c>
      <c r="AG269" s="687">
        <v>248.97</v>
      </c>
      <c r="AH269" s="687">
        <v>44.4</v>
      </c>
      <c r="AI269" s="687"/>
      <c r="AJ269" s="687"/>
      <c r="AK269" s="687">
        <v>3263.74</v>
      </c>
      <c r="AL269" s="687"/>
      <c r="AM269" s="687"/>
      <c r="AN269" s="24093" t="s">
        <v>9</v>
      </c>
      <c r="AO269" s="23957" t="s">
        <v>59</v>
      </c>
      <c r="AP269" s="24095" t="s">
        <v>770</v>
      </c>
      <c r="AQ269" s="23957" t="s">
        <v>59</v>
      </c>
      <c r="AR269" s="687">
        <v>301.18</v>
      </c>
      <c r="AS269" s="687">
        <v>72.67</v>
      </c>
      <c r="AT269" s="687"/>
      <c r="AU269" s="687"/>
      <c r="AV269" s="687">
        <v>3645.6</v>
      </c>
      <c r="AW269" s="687"/>
      <c r="AX269" s="687"/>
      <c r="AY269" s="24093" t="s">
        <v>772</v>
      </c>
      <c r="AZ269" s="23957" t="s">
        <v>59</v>
      </c>
      <c r="BA269" s="24093" t="s">
        <v>773</v>
      </c>
      <c r="BB269" s="23957" t="s">
        <v>59</v>
      </c>
      <c r="BC269" s="687">
        <v>298.7</v>
      </c>
      <c r="BD269" s="687">
        <v>70.19</v>
      </c>
      <c r="BE269" s="687"/>
      <c r="BF269" s="687"/>
      <c r="BG269" s="687">
        <v>3645.6</v>
      </c>
      <c r="BH269" s="687"/>
      <c r="BI269" s="687"/>
      <c r="BJ269" s="24093" t="s">
        <v>774</v>
      </c>
      <c r="BK269" s="23957" t="s">
        <v>59</v>
      </c>
      <c r="BL269" s="24093" t="s">
        <v>775</v>
      </c>
      <c r="BM269" s="23957" t="s">
        <v>59</v>
      </c>
      <c r="BN269" s="687">
        <v>326.17</v>
      </c>
      <c r="BO269" s="687">
        <v>70.5</v>
      </c>
      <c r="BP269" s="687"/>
      <c r="BQ269" s="687"/>
      <c r="BR269" s="687">
        <v>4078.94</v>
      </c>
      <c r="BS269" s="687"/>
      <c r="BT269" s="687"/>
      <c r="BU269" s="24093" t="s">
        <v>776</v>
      </c>
      <c r="BV269" s="23957" t="s">
        <v>59</v>
      </c>
      <c r="BW269" s="24093">
        <v>45930</v>
      </c>
      <c r="BX269" s="23957" t="s">
        <v>59</v>
      </c>
      <c r="BY269" s="687">
        <v>322.81</v>
      </c>
      <c r="BZ269" s="687">
        <v>67.14</v>
      </c>
      <c r="CA269" s="687"/>
      <c r="CB269" s="687"/>
      <c r="CC269" s="687">
        <v>4078.94</v>
      </c>
      <c r="CD269" s="687"/>
      <c r="CE269" s="687"/>
      <c r="CF269" s="24093">
        <v>45931</v>
      </c>
      <c r="CG269" s="23957" t="s">
        <v>59</v>
      </c>
      <c r="CH269" s="24093">
        <v>46022</v>
      </c>
      <c r="CI269" s="23957" t="s">
        <v>59</v>
      </c>
      <c r="CJ269" s="687">
        <v>323.95</v>
      </c>
      <c r="CK269" s="687">
        <v>68.28</v>
      </c>
      <c r="CL269" s="687"/>
      <c r="CM269" s="687"/>
      <c r="CN269" s="687">
        <v>4078.94</v>
      </c>
      <c r="CO269" s="687"/>
      <c r="CP269" s="687"/>
      <c r="CQ269" s="24093">
        <v>46023</v>
      </c>
      <c r="CR269" s="23957" t="s">
        <v>59</v>
      </c>
      <c r="CS269" s="24185">
        <v>46295</v>
      </c>
      <c r="CT269" s="23957" t="s">
        <v>59</v>
      </c>
      <c r="CU269" s="687">
        <v>357.63</v>
      </c>
      <c r="CV269" s="687">
        <v>76.47</v>
      </c>
      <c r="CW269" s="687"/>
      <c r="CX269" s="687"/>
      <c r="CY269" s="687">
        <v>4485.6000000000004</v>
      </c>
      <c r="CZ269" s="687"/>
      <c r="DA269" s="687"/>
      <c r="DB269" s="24185">
        <v>46296</v>
      </c>
      <c r="DC269" s="23957" t="s">
        <v>59</v>
      </c>
      <c r="DD269" s="24093">
        <v>46387</v>
      </c>
      <c r="DE269" s="23957" t="s">
        <v>59</v>
      </c>
      <c r="DF269" s="687">
        <f>CU269</f>
        <v>357.63</v>
      </c>
      <c r="DG269" s="687">
        <f>CV269</f>
        <v>76.47</v>
      </c>
      <c r="DH269" s="687"/>
      <c r="DI269" s="687"/>
      <c r="DJ269" s="687">
        <f>CY269</f>
        <v>4485.6000000000004</v>
      </c>
      <c r="DK269" s="687"/>
      <c r="DL269" s="687"/>
      <c r="DM269" s="24093">
        <v>46388</v>
      </c>
      <c r="DN269" s="23957" t="s">
        <v>59</v>
      </c>
      <c r="DO269" s="24093">
        <v>46568</v>
      </c>
      <c r="DP269" s="23957" t="s">
        <v>59</v>
      </c>
      <c r="DQ269" s="687">
        <v>390.11</v>
      </c>
      <c r="DR269" s="687">
        <v>84.49</v>
      </c>
      <c r="DS269" s="687"/>
      <c r="DT269" s="687"/>
      <c r="DU269" s="687">
        <v>4875.8500000000004</v>
      </c>
      <c r="DV269" s="687"/>
      <c r="DW269" s="687"/>
      <c r="DX269" s="24093">
        <v>46569</v>
      </c>
      <c r="DY269" s="23957" t="s">
        <v>59</v>
      </c>
      <c r="DZ269" s="24093">
        <v>46752</v>
      </c>
      <c r="EA269" s="23957" t="s">
        <v>59</v>
      </c>
      <c r="EB269" s="687">
        <v>305.62</v>
      </c>
      <c r="EC269" s="687">
        <v>0</v>
      </c>
      <c r="ED269" s="687"/>
      <c r="EE269" s="687"/>
      <c r="EF269" s="687">
        <v>4875.8500000000004</v>
      </c>
      <c r="EG269" s="687"/>
      <c r="EH269" s="687"/>
      <c r="EI269" s="24093">
        <v>46753</v>
      </c>
      <c r="EJ269" s="23957" t="s">
        <v>59</v>
      </c>
      <c r="EK269" s="24093">
        <v>46934</v>
      </c>
      <c r="EL269" s="23957" t="s">
        <v>59</v>
      </c>
      <c r="EM269" s="687">
        <v>326.52</v>
      </c>
      <c r="EN269" s="687"/>
      <c r="EO269" s="687"/>
      <c r="EP269" s="687"/>
      <c r="EQ269" s="687">
        <v>5209.29</v>
      </c>
      <c r="ER269" s="687"/>
      <c r="ES269" s="687"/>
      <c r="ET269" s="24093">
        <v>46935.661064814813</v>
      </c>
      <c r="EU269" s="23957" t="s">
        <v>59</v>
      </c>
      <c r="EV269" s="24095">
        <v>47118.661215277774</v>
      </c>
      <c r="EW269" s="23957" t="s">
        <v>6</v>
      </c>
      <c r="EX269" s="1286"/>
      <c r="EY269" s="1286"/>
      <c r="EZ269" s="1286"/>
      <c r="FA269" s="1286"/>
      <c r="FB269" s="1286"/>
      <c r="FC269" s="1286"/>
      <c r="FD269" s="1286"/>
      <c r="FE269" s="24086"/>
      <c r="FF269" s="24085" t="s">
        <v>59</v>
      </c>
      <c r="FG269" s="24086"/>
      <c r="FH269" s="24208" t="s">
        <v>59</v>
      </c>
      <c r="FI269" s="1286"/>
      <c r="FJ269" s="1286"/>
      <c r="FK269" s="1286"/>
      <c r="FL269" s="1286"/>
      <c r="FM269" s="1286"/>
      <c r="FN269" s="1286"/>
      <c r="FO269" s="1286"/>
      <c r="FP269" s="24086"/>
      <c r="FQ269" s="24085" t="s">
        <v>59</v>
      </c>
      <c r="FR269" s="24086"/>
      <c r="FS269" s="24085" t="s">
        <v>59</v>
      </c>
      <c r="FT269" s="1364"/>
      <c r="FU26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69" s="1568" t="e">
        <f ca="1">STRCHECKDATE(V270:FT270)</f>
        <v>#NAME?</v>
      </c>
      <c r="FW269" s="1550"/>
      <c r="FX269" s="1550" t="str">
        <f t="shared" si="4"/>
        <v/>
      </c>
      <c r="FY269" s="1550"/>
      <c r="FZ269" s="1550"/>
      <c r="GA269" s="1561">
        <v>0</v>
      </c>
    </row>
    <row r="270" spans="1:183" s="1747" customFormat="1" ht="14.25" customHeight="1">
      <c r="A270" s="1289"/>
      <c r="B270" s="1289"/>
      <c r="C270" s="1289"/>
      <c r="D270" s="1289"/>
      <c r="E270" s="24089"/>
      <c r="F270" s="24089" t="s">
        <v>128</v>
      </c>
      <c r="G270" s="24089"/>
      <c r="H270" s="24089"/>
      <c r="I270" s="24091"/>
      <c r="J270" s="24091"/>
      <c r="K270" s="24090"/>
      <c r="L270" s="1295"/>
      <c r="M270" s="1674"/>
      <c r="N270" s="1674"/>
      <c r="O270" s="1674"/>
      <c r="P270" s="24092"/>
      <c r="Q270" s="24092"/>
      <c r="R270" s="293"/>
      <c r="S270" s="1982"/>
      <c r="T270" s="236"/>
      <c r="U270" s="236"/>
      <c r="V270" s="1286"/>
      <c r="W270" s="1286"/>
      <c r="X270" s="1286"/>
      <c r="Y270" s="1286"/>
      <c r="Z270" s="1286"/>
      <c r="AA270" s="1286"/>
      <c r="AB270" s="1286"/>
      <c r="AC270" s="24085"/>
      <c r="AD270" s="24085"/>
      <c r="AE270" s="24085"/>
      <c r="AF270" s="24085"/>
      <c r="AG270" s="261"/>
      <c r="AH270" s="261"/>
      <c r="AI270" s="261"/>
      <c r="AJ270" s="261"/>
      <c r="AK270" s="261"/>
      <c r="AL270" s="261"/>
      <c r="AM270" s="261"/>
      <c r="AN270" s="24094"/>
      <c r="AO270" s="23957"/>
      <c r="AP270" s="24096"/>
      <c r="AQ270" s="23957"/>
      <c r="AR270" s="261"/>
      <c r="AS270" s="261"/>
      <c r="AT270" s="261"/>
      <c r="AU270" s="261"/>
      <c r="AV270" s="261"/>
      <c r="AW270" s="261"/>
      <c r="AX270" s="261"/>
      <c r="AY270" s="24094"/>
      <c r="AZ270" s="23957"/>
      <c r="BA270" s="24094"/>
      <c r="BB270" s="23957"/>
      <c r="BC270" s="261"/>
      <c r="BD270" s="261"/>
      <c r="BE270" s="261"/>
      <c r="BF270" s="261"/>
      <c r="BG270" s="261"/>
      <c r="BH270" s="261"/>
      <c r="BI270" s="261"/>
      <c r="BJ270" s="24094"/>
      <c r="BK270" s="23957"/>
      <c r="BL270" s="24094"/>
      <c r="BM270" s="23957"/>
      <c r="BN270" s="261"/>
      <c r="BO270" s="261"/>
      <c r="BP270" s="261"/>
      <c r="BQ270" s="261"/>
      <c r="BR270" s="261"/>
      <c r="BS270" s="261"/>
      <c r="BT270" s="261"/>
      <c r="BU270" s="24094"/>
      <c r="BV270" s="23957"/>
      <c r="BW270" s="24094"/>
      <c r="BX270" s="23957"/>
      <c r="BY270" s="261"/>
      <c r="BZ270" s="261"/>
      <c r="CA270" s="261"/>
      <c r="CB270" s="261"/>
      <c r="CC270" s="261"/>
      <c r="CD270" s="261"/>
      <c r="CE270" s="261"/>
      <c r="CF270" s="24094"/>
      <c r="CG270" s="23957"/>
      <c r="CH270" s="24094"/>
      <c r="CI270" s="23957"/>
      <c r="CJ270" s="261"/>
      <c r="CK270" s="261"/>
      <c r="CL270" s="261"/>
      <c r="CM270" s="261"/>
      <c r="CN270" s="261"/>
      <c r="CO270" s="261"/>
      <c r="CP270" s="261"/>
      <c r="CQ270" s="24094"/>
      <c r="CR270" s="23957"/>
      <c r="CS270" s="24094"/>
      <c r="CT270" s="23957"/>
      <c r="CU270" s="261"/>
      <c r="CV270" s="261"/>
      <c r="CW270" s="261"/>
      <c r="CX270" s="261"/>
      <c r="CY270" s="261"/>
      <c r="CZ270" s="261"/>
      <c r="DA270" s="261"/>
      <c r="DB270" s="24094"/>
      <c r="DC270" s="23957"/>
      <c r="DD270" s="24094"/>
      <c r="DE270" s="23957"/>
      <c r="DF270" s="261"/>
      <c r="DG270" s="261"/>
      <c r="DH270" s="261"/>
      <c r="DI270" s="261"/>
      <c r="DJ270" s="261"/>
      <c r="DK270" s="261"/>
      <c r="DL270" s="261"/>
      <c r="DM270" s="24094"/>
      <c r="DN270" s="23957"/>
      <c r="DO270" s="24094"/>
      <c r="DP270" s="23957"/>
      <c r="DQ270" s="261"/>
      <c r="DR270" s="261"/>
      <c r="DS270" s="261"/>
      <c r="DT270" s="261"/>
      <c r="DU270" s="261"/>
      <c r="DV270" s="261"/>
      <c r="DW270" s="261"/>
      <c r="DX270" s="24094"/>
      <c r="DY270" s="23957"/>
      <c r="DZ270" s="24094"/>
      <c r="EA270" s="23957"/>
      <c r="EB270" s="261"/>
      <c r="EC270" s="261"/>
      <c r="ED270" s="261"/>
      <c r="EE270" s="261"/>
      <c r="EF270" s="261"/>
      <c r="EG270" s="261"/>
      <c r="EH270" s="261"/>
      <c r="EI270" s="24094"/>
      <c r="EJ270" s="23957"/>
      <c r="EK270" s="24094"/>
      <c r="EL270" s="23957"/>
      <c r="EM270" s="261"/>
      <c r="EN270" s="261"/>
      <c r="EO270" s="261"/>
      <c r="EP270" s="261"/>
      <c r="EQ270" s="261"/>
      <c r="ER270" s="261"/>
      <c r="ES270" s="261"/>
      <c r="ET270" s="24094"/>
      <c r="EU270" s="23957"/>
      <c r="EV270" s="24096"/>
      <c r="EW270" s="23957"/>
      <c r="EX270" s="1286"/>
      <c r="EY270" s="1286"/>
      <c r="EZ270" s="1286"/>
      <c r="FA270" s="1286"/>
      <c r="FB270" s="1286"/>
      <c r="FC270" s="1286"/>
      <c r="FD270" s="1286"/>
      <c r="FE270" s="24085"/>
      <c r="FF270" s="24085"/>
      <c r="FG270" s="24085"/>
      <c r="FH270" s="24208"/>
      <c r="FI270" s="1286"/>
      <c r="FJ270" s="1286"/>
      <c r="FK270" s="1286"/>
      <c r="FL270" s="1286"/>
      <c r="FM270" s="1286"/>
      <c r="FN270" s="1286"/>
      <c r="FO270" s="1286"/>
      <c r="FP270" s="24085"/>
      <c r="FQ270" s="24085"/>
      <c r="FR270" s="24085"/>
      <c r="FS270" s="24085"/>
      <c r="FT270" s="1365"/>
      <c r="FU270" s="24162"/>
      <c r="FV270" s="1568"/>
      <c r="FW270" s="1550"/>
      <c r="FX270" s="1550" t="str">
        <f t="shared" si="4"/>
        <v/>
      </c>
      <c r="FY270" s="1550"/>
      <c r="FZ270" s="1550"/>
      <c r="GA270" s="1561">
        <v>0</v>
      </c>
    </row>
    <row r="271" spans="1:183" s="1747" customFormat="1" ht="21" customHeight="1">
      <c r="A271" s="1289"/>
      <c r="B271" s="1289"/>
      <c r="C271" s="1289"/>
      <c r="D271" s="1289"/>
      <c r="E271" s="24089"/>
      <c r="F271" s="24089" t="s">
        <v>128</v>
      </c>
      <c r="G271" s="24089"/>
      <c r="H271" s="24089"/>
      <c r="I271" s="24091"/>
      <c r="J271" s="24090"/>
      <c r="K271" s="1289"/>
      <c r="L271" s="1295"/>
      <c r="M271" s="1674"/>
      <c r="N271" s="1674"/>
      <c r="O271" s="1674"/>
      <c r="P271" s="24092"/>
      <c r="Q271" s="24092"/>
      <c r="R271" s="292"/>
      <c r="S271" s="4089"/>
      <c r="T271" s="4090" t="s">
        <v>712</v>
      </c>
      <c r="U271" s="4091"/>
      <c r="V271" s="4092"/>
      <c r="W271" s="4093"/>
      <c r="X271" s="4094"/>
      <c r="Y271" s="4095"/>
      <c r="Z271" s="4096"/>
      <c r="AA271" s="4097"/>
      <c r="AB271" s="4098"/>
      <c r="AC271" s="4099"/>
      <c r="AD271" s="4100"/>
      <c r="AE271" s="4101"/>
      <c r="AF271" s="4102"/>
      <c r="AG271" s="4103"/>
      <c r="AH271" s="4104"/>
      <c r="AI271" s="4105"/>
      <c r="AJ271" s="4106"/>
      <c r="AK271" s="4107"/>
      <c r="AL271" s="4108"/>
      <c r="AM271" s="4109"/>
      <c r="AN271" s="4110"/>
      <c r="AO271" s="4111"/>
      <c r="AP271" s="4112"/>
      <c r="AQ271" s="4113"/>
      <c r="AR271" s="7386"/>
      <c r="AS271" s="7387"/>
      <c r="AT271" s="7388"/>
      <c r="AU271" s="7389"/>
      <c r="AV271" s="7390"/>
      <c r="AW271" s="7391"/>
      <c r="AX271" s="7392"/>
      <c r="AY271" s="7393"/>
      <c r="AZ271" s="7394"/>
      <c r="BA271" s="7395"/>
      <c r="BB271" s="7396"/>
      <c r="BC271" s="7397"/>
      <c r="BD271" s="7398"/>
      <c r="BE271" s="15202"/>
      <c r="BF271" s="15203"/>
      <c r="BG271" s="21890"/>
      <c r="BH271" s="15204"/>
      <c r="BI271" s="15205"/>
      <c r="BJ271" s="15206"/>
      <c r="BK271" s="15207"/>
      <c r="BL271" s="15208"/>
      <c r="BM271" s="15209"/>
      <c r="BN271" s="4114"/>
      <c r="BO271" s="4115"/>
      <c r="BP271" s="15210"/>
      <c r="BQ271" s="15211"/>
      <c r="BR271" s="4116"/>
      <c r="BS271" s="15212"/>
      <c r="BT271" s="15213"/>
      <c r="BU271" s="15214"/>
      <c r="BV271" s="15215"/>
      <c r="BW271" s="15216"/>
      <c r="BX271" s="15217"/>
      <c r="BY271" s="15218"/>
      <c r="BZ271" s="15219"/>
      <c r="CA271" s="15220"/>
      <c r="CB271" s="15221"/>
      <c r="CC271" s="15222"/>
      <c r="CD271" s="15223"/>
      <c r="CE271" s="15224"/>
      <c r="CF271" s="15225"/>
      <c r="CG271" s="15226"/>
      <c r="CH271" s="15227"/>
      <c r="CI271" s="15228"/>
      <c r="CJ271" s="15229"/>
      <c r="CK271" s="15230"/>
      <c r="CL271" s="15231"/>
      <c r="CM271" s="15232"/>
      <c r="CN271" s="15233"/>
      <c r="CO271" s="15234"/>
      <c r="CP271" s="15235"/>
      <c r="CQ271" s="15236"/>
      <c r="CR271" s="15237"/>
      <c r="CS271" s="15238"/>
      <c r="CT271" s="15239"/>
      <c r="CU271" s="15240"/>
      <c r="CV271" s="15241"/>
      <c r="CW271" s="15242"/>
      <c r="CX271" s="15243"/>
      <c r="CY271" s="15244"/>
      <c r="CZ271" s="15245"/>
      <c r="DA271" s="15246"/>
      <c r="DB271" s="15247"/>
      <c r="DC271" s="15248"/>
      <c r="DD271" s="15249"/>
      <c r="DE271" s="15250"/>
      <c r="DF271" s="15251"/>
      <c r="DG271" s="15252"/>
      <c r="DH271" s="15253"/>
      <c r="DI271" s="15254"/>
      <c r="DJ271" s="15255"/>
      <c r="DK271" s="15256"/>
      <c r="DL271" s="15257"/>
      <c r="DM271" s="15258"/>
      <c r="DN271" s="15259"/>
      <c r="DO271" s="15260"/>
      <c r="DP271" s="15261"/>
      <c r="DQ271" s="15262"/>
      <c r="DR271" s="15263"/>
      <c r="DS271" s="15264"/>
      <c r="DT271" s="15265"/>
      <c r="DU271" s="15266"/>
      <c r="DV271" s="15267"/>
      <c r="DW271" s="15268"/>
      <c r="DX271" s="15269"/>
      <c r="DY271" s="15270"/>
      <c r="DZ271" s="15271"/>
      <c r="EA271" s="15272"/>
      <c r="EB271" s="15273"/>
      <c r="EC271" s="15274"/>
      <c r="ED271" s="15275"/>
      <c r="EE271" s="15276"/>
      <c r="EF271" s="15277"/>
      <c r="EG271" s="15278"/>
      <c r="EH271" s="15279"/>
      <c r="EI271" s="15280"/>
      <c r="EJ271" s="15281"/>
      <c r="EK271" s="15282"/>
      <c r="EL271" s="15283"/>
      <c r="EM271" s="21626"/>
      <c r="EN271" s="21627"/>
      <c r="EO271" s="15284"/>
      <c r="EP271" s="15285"/>
      <c r="EQ271" s="21628"/>
      <c r="ER271" s="15286"/>
      <c r="ES271" s="15287"/>
      <c r="ET271" s="15288"/>
      <c r="EU271" s="15289"/>
      <c r="EV271" s="15290"/>
      <c r="EW271" s="15291"/>
      <c r="EX271" s="4117"/>
      <c r="EY271" s="4118"/>
      <c r="EZ271" s="15292"/>
      <c r="FA271" s="15293"/>
      <c r="FB271" s="4119"/>
      <c r="FC271" s="15294"/>
      <c r="FD271" s="15295"/>
      <c r="FE271" s="15296"/>
      <c r="FF271" s="15297"/>
      <c r="FG271" s="15298"/>
      <c r="FH271" s="5726"/>
      <c r="FI271" s="22830"/>
      <c r="FJ271" s="22831"/>
      <c r="FK271" s="23592"/>
      <c r="FL271" s="23593"/>
      <c r="FM271" s="22832"/>
      <c r="FN271" s="23594"/>
      <c r="FO271" s="23595"/>
      <c r="FP271" s="22833"/>
      <c r="FQ271" s="22834"/>
      <c r="FR271" s="22835"/>
      <c r="FS271" s="23596"/>
      <c r="FT271" s="4120"/>
      <c r="FU271" s="1184" t="s">
        <v>713</v>
      </c>
      <c r="FV271" s="1568"/>
      <c r="FW271" s="1550"/>
      <c r="FX271" s="1550" t="str">
        <f t="shared" si="4"/>
        <v>Добавить значение признака дифференциации</v>
      </c>
      <c r="FY271" s="1550"/>
      <c r="FZ271" s="1550"/>
      <c r="GA271" s="1561">
        <v>0</v>
      </c>
    </row>
    <row r="272" spans="1:183" s="1747" customFormat="1" ht="23.25" customHeight="1">
      <c r="A272" s="1289"/>
      <c r="B272" s="1289"/>
      <c r="C272" s="1289"/>
      <c r="D272" s="1289"/>
      <c r="E272" s="24089"/>
      <c r="F272" s="24089"/>
      <c r="G272" s="24089"/>
      <c r="H272" s="24089"/>
      <c r="I272" s="24091"/>
      <c r="J272" s="24090" t="str">
        <f>I267&amp;".2"</f>
        <v>1.10.1.1.2</v>
      </c>
      <c r="K272" s="1289"/>
      <c r="L272" s="1295" t="s">
        <v>635</v>
      </c>
      <c r="M272" s="1674"/>
      <c r="N272" s="1674"/>
      <c r="O272" s="1674"/>
      <c r="P272" s="24092"/>
      <c r="Q272" s="24206" t="s">
        <v>96</v>
      </c>
      <c r="R272" s="293"/>
      <c r="S272" s="1976" t="str">
        <f>$J272</f>
        <v>1.10.1.1.2</v>
      </c>
      <c r="T272" s="222" t="s">
        <v>636</v>
      </c>
      <c r="U272" s="236"/>
      <c r="V272" s="24076"/>
      <c r="W272" s="24077"/>
      <c r="X272" s="24077"/>
      <c r="Y272" s="24077"/>
      <c r="Z272" s="24077"/>
      <c r="AA272" s="24077"/>
      <c r="AB272" s="24077"/>
      <c r="AC272" s="24077"/>
      <c r="AD272" s="24077"/>
      <c r="AE272" s="24077"/>
      <c r="AF272" s="24078"/>
      <c r="AG272" s="24076" t="s">
        <v>771</v>
      </c>
      <c r="AH272" s="24077"/>
      <c r="AI272" s="24077"/>
      <c r="AJ272" s="24077"/>
      <c r="AK272" s="24077"/>
      <c r="AL272" s="24077"/>
      <c r="AM272" s="24077"/>
      <c r="AN272" s="24077"/>
      <c r="AO272" s="24077"/>
      <c r="AP272" s="24077"/>
      <c r="AQ272" s="24077"/>
      <c r="AR272" s="24179"/>
      <c r="AS272" s="24180"/>
      <c r="AT272" s="24180"/>
      <c r="AU272" s="24180"/>
      <c r="AV272" s="24180"/>
      <c r="AW272" s="24180"/>
      <c r="AX272" s="24180"/>
      <c r="AY272" s="24180"/>
      <c r="AZ272" s="24180"/>
      <c r="BA272" s="24180"/>
      <c r="BB272" s="24181"/>
      <c r="BC272" s="24179"/>
      <c r="BD272" s="24180"/>
      <c r="BE272" s="24180"/>
      <c r="BF272" s="24180"/>
      <c r="BG272" s="24180"/>
      <c r="BH272" s="24180"/>
      <c r="BI272" s="24180"/>
      <c r="BJ272" s="24180"/>
      <c r="BK272" s="24180"/>
      <c r="BL272" s="24180"/>
      <c r="BM272" s="24181"/>
      <c r="BN272" s="24076"/>
      <c r="BO272" s="24077"/>
      <c r="BP272" s="24180"/>
      <c r="BQ272" s="24180"/>
      <c r="BR272" s="24077"/>
      <c r="BS272" s="24180"/>
      <c r="BT272" s="24180"/>
      <c r="BU272" s="24180"/>
      <c r="BV272" s="24180"/>
      <c r="BW272" s="24180"/>
      <c r="BX272" s="24181"/>
      <c r="BY272" s="24179"/>
      <c r="BZ272" s="24180"/>
      <c r="CA272" s="24180"/>
      <c r="CB272" s="24180"/>
      <c r="CC272" s="24180"/>
      <c r="CD272" s="24180"/>
      <c r="CE272" s="24180"/>
      <c r="CF272" s="24180"/>
      <c r="CG272" s="24180"/>
      <c r="CH272" s="24180"/>
      <c r="CI272" s="24181"/>
      <c r="CJ272" s="24179"/>
      <c r="CK272" s="24180"/>
      <c r="CL272" s="24180"/>
      <c r="CM272" s="24180"/>
      <c r="CN272" s="24180"/>
      <c r="CO272" s="24180"/>
      <c r="CP272" s="24180"/>
      <c r="CQ272" s="24180"/>
      <c r="CR272" s="24180"/>
      <c r="CS272" s="24180"/>
      <c r="CT272" s="24181"/>
      <c r="CU272" s="24179"/>
      <c r="CV272" s="24180"/>
      <c r="CW272" s="24180"/>
      <c r="CX272" s="24180"/>
      <c r="CY272" s="24180"/>
      <c r="CZ272" s="24180"/>
      <c r="DA272" s="24180"/>
      <c r="DB272" s="24180"/>
      <c r="DC272" s="24180"/>
      <c r="DD272" s="24180"/>
      <c r="DE272" s="24181"/>
      <c r="DF272" s="24179"/>
      <c r="DG272" s="24180"/>
      <c r="DH272" s="24180"/>
      <c r="DI272" s="24180"/>
      <c r="DJ272" s="24180"/>
      <c r="DK272" s="24180"/>
      <c r="DL272" s="24180"/>
      <c r="DM272" s="24180"/>
      <c r="DN272" s="24180"/>
      <c r="DO272" s="24180"/>
      <c r="DP272" s="24181"/>
      <c r="DQ272" s="24179"/>
      <c r="DR272" s="24180"/>
      <c r="DS272" s="24180"/>
      <c r="DT272" s="24180"/>
      <c r="DU272" s="24180"/>
      <c r="DV272" s="24180"/>
      <c r="DW272" s="24180"/>
      <c r="DX272" s="24180"/>
      <c r="DY272" s="24180"/>
      <c r="DZ272" s="24180"/>
      <c r="EA272" s="24181"/>
      <c r="EB272" s="24179"/>
      <c r="EC272" s="24180"/>
      <c r="ED272" s="24180"/>
      <c r="EE272" s="24180"/>
      <c r="EF272" s="24180"/>
      <c r="EG272" s="24180"/>
      <c r="EH272" s="24180"/>
      <c r="EI272" s="24180"/>
      <c r="EJ272" s="24180"/>
      <c r="EK272" s="24180"/>
      <c r="EL272" s="24181"/>
      <c r="EM272" s="24179"/>
      <c r="EN272" s="24180"/>
      <c r="EO272" s="24180"/>
      <c r="EP272" s="24180"/>
      <c r="EQ272" s="24180"/>
      <c r="ER272" s="24180"/>
      <c r="ES272" s="24180"/>
      <c r="ET272" s="24180"/>
      <c r="EU272" s="24180"/>
      <c r="EV272" s="24180"/>
      <c r="EW272" s="24181"/>
      <c r="EX272" s="24076"/>
      <c r="EY272" s="24077"/>
      <c r="EZ272" s="24180"/>
      <c r="FA272" s="24180"/>
      <c r="FB272" s="24077"/>
      <c r="FC272" s="24180"/>
      <c r="FD272" s="24180"/>
      <c r="FE272" s="24180"/>
      <c r="FF272" s="24180"/>
      <c r="FG272" s="24180"/>
      <c r="FH272" s="24181"/>
      <c r="FI272" s="24076"/>
      <c r="FJ272" s="24077"/>
      <c r="FK272" s="24180"/>
      <c r="FL272" s="24180"/>
      <c r="FM272" s="24077"/>
      <c r="FN272" s="24180"/>
      <c r="FO272" s="24180"/>
      <c r="FP272" s="24077"/>
      <c r="FQ272" s="24077"/>
      <c r="FR272" s="24077"/>
      <c r="FS272" s="24181"/>
      <c r="FT272" s="24078"/>
      <c r="FU272" s="1233" t="s">
        <v>711</v>
      </c>
      <c r="FV272" s="1568"/>
      <c r="FW272" s="1550"/>
      <c r="FX272" s="1550" t="str">
        <f t="shared" si="4"/>
        <v>Группа потребителей</v>
      </c>
      <c r="FY272" s="1550"/>
      <c r="FZ272" s="1550"/>
      <c r="GA272" s="1561">
        <v>0</v>
      </c>
    </row>
    <row r="273" spans="1:183" s="1747" customFormat="1" ht="23.25" customHeight="1">
      <c r="A273" s="1289"/>
      <c r="B273" s="1289"/>
      <c r="C273" s="1289"/>
      <c r="D273" s="1289"/>
      <c r="E273" s="24089"/>
      <c r="F273" s="24089"/>
      <c r="G273" s="24089"/>
      <c r="H273" s="24089"/>
      <c r="I273" s="24091"/>
      <c r="J273" s="24091" t="str">
        <f>I267&amp;".1"</f>
        <v>1.10.1.1.1</v>
      </c>
      <c r="K273" s="24090" t="str">
        <f>J272&amp;".1"</f>
        <v>1.10.1.1.2.1</v>
      </c>
      <c r="L273" s="1295"/>
      <c r="M273" s="1674"/>
      <c r="N273" s="1674"/>
      <c r="O273" s="1674"/>
      <c r="P273" s="24092"/>
      <c r="Q273" s="24092"/>
      <c r="R273" s="293">
        <v>1</v>
      </c>
      <c r="S273" s="1976" t="str">
        <f>$K273</f>
        <v>1.10.1.1.2.1</v>
      </c>
      <c r="T273" s="1363"/>
      <c r="U273" s="236"/>
      <c r="V273" s="1286"/>
      <c r="W273" s="1286"/>
      <c r="X273" s="1286"/>
      <c r="Y273" s="1286"/>
      <c r="Z273" s="1286"/>
      <c r="AA273" s="1286"/>
      <c r="AB273" s="1286"/>
      <c r="AC273" s="24086"/>
      <c r="AD273" s="24085" t="s">
        <v>59</v>
      </c>
      <c r="AE273" s="24086"/>
      <c r="AF273" s="24085" t="s">
        <v>59</v>
      </c>
      <c r="AG273" s="687">
        <v>217.73</v>
      </c>
      <c r="AH273" s="687">
        <v>44.4</v>
      </c>
      <c r="AI273" s="687"/>
      <c r="AJ273" s="687"/>
      <c r="AK273" s="687">
        <v>2623.7</v>
      </c>
      <c r="AL273" s="687"/>
      <c r="AM273" s="687"/>
      <c r="AN273" s="24093" t="s">
        <v>9</v>
      </c>
      <c r="AO273" s="23957" t="s">
        <v>59</v>
      </c>
      <c r="AP273" s="24095" t="s">
        <v>770</v>
      </c>
      <c r="AQ273" s="23957" t="s">
        <v>59</v>
      </c>
      <c r="AR273" s="687">
        <v>180.9</v>
      </c>
      <c r="AS273" s="687">
        <v>0</v>
      </c>
      <c r="AT273" s="687"/>
      <c r="AU273" s="687"/>
      <c r="AV273" s="687">
        <v>2886.07</v>
      </c>
      <c r="AW273" s="687"/>
      <c r="AX273" s="687"/>
      <c r="AY273" s="24093" t="s">
        <v>772</v>
      </c>
      <c r="AZ273" s="23957" t="s">
        <v>59</v>
      </c>
      <c r="BA273" s="24093" t="s">
        <v>773</v>
      </c>
      <c r="BB273" s="23957" t="s">
        <v>59</v>
      </c>
      <c r="BC273" s="687">
        <v>180.9</v>
      </c>
      <c r="BD273" s="687">
        <v>51</v>
      </c>
      <c r="BE273" s="687"/>
      <c r="BF273" s="687"/>
      <c r="BG273" s="687">
        <v>1909.7</v>
      </c>
      <c r="BH273" s="687"/>
      <c r="BI273" s="687"/>
      <c r="BJ273" s="24093" t="s">
        <v>774</v>
      </c>
      <c r="BK273" s="23957" t="s">
        <v>59</v>
      </c>
      <c r="BL273" s="24093" t="s">
        <v>775</v>
      </c>
      <c r="BM273" s="23957" t="s">
        <v>59</v>
      </c>
      <c r="BN273" s="687">
        <v>216.91</v>
      </c>
      <c r="BO273" s="687">
        <v>57.07</v>
      </c>
      <c r="BP273" s="687"/>
      <c r="BQ273" s="687"/>
      <c r="BR273" s="687">
        <v>2368.0300000000002</v>
      </c>
      <c r="BS273" s="687"/>
      <c r="BT273" s="687"/>
      <c r="BU273" s="24093" t="s">
        <v>776</v>
      </c>
      <c r="BV273" s="23957" t="s">
        <v>59</v>
      </c>
      <c r="BW273" s="24093">
        <v>45930</v>
      </c>
      <c r="BX273" s="23957" t="s">
        <v>59</v>
      </c>
      <c r="BY273" s="687">
        <v>213.65</v>
      </c>
      <c r="BZ273" s="687">
        <v>57.07</v>
      </c>
      <c r="CA273" s="687"/>
      <c r="CB273" s="687"/>
      <c r="CC273" s="687">
        <v>2368.0300000000002</v>
      </c>
      <c r="CD273" s="687"/>
      <c r="CE273" s="687"/>
      <c r="CF273" s="24093">
        <v>45931</v>
      </c>
      <c r="CG273" s="23957" t="s">
        <v>59</v>
      </c>
      <c r="CH273" s="24093">
        <v>46022</v>
      </c>
      <c r="CI273" s="23957" t="s">
        <v>59</v>
      </c>
      <c r="CJ273" s="687">
        <v>217.28</v>
      </c>
      <c r="CK273" s="687">
        <v>58.03</v>
      </c>
      <c r="CL273" s="687"/>
      <c r="CM273" s="687"/>
      <c r="CN273" s="687">
        <v>2390.7600000000002</v>
      </c>
      <c r="CO273" s="687"/>
      <c r="CP273" s="687"/>
      <c r="CQ273" s="24093">
        <v>46023</v>
      </c>
      <c r="CR273" s="23957" t="s">
        <v>59</v>
      </c>
      <c r="CS273" s="24185">
        <v>46295</v>
      </c>
      <c r="CT273" s="23957" t="s">
        <v>59</v>
      </c>
      <c r="CU273" s="687">
        <v>243.35</v>
      </c>
      <c r="CV273" s="687">
        <v>65</v>
      </c>
      <c r="CW273" s="687"/>
      <c r="CX273" s="687"/>
      <c r="CY273" s="687">
        <v>2677.66</v>
      </c>
      <c r="CZ273" s="687"/>
      <c r="DA273" s="687"/>
      <c r="DB273" s="24185">
        <v>46296</v>
      </c>
      <c r="DC273" s="23957" t="s">
        <v>59</v>
      </c>
      <c r="DD273" s="24093">
        <v>46387</v>
      </c>
      <c r="DE273" s="23957" t="s">
        <v>59</v>
      </c>
      <c r="DF273" s="687">
        <v>243.35</v>
      </c>
      <c r="DG273" s="687">
        <v>65</v>
      </c>
      <c r="DH273" s="687"/>
      <c r="DI273" s="687"/>
      <c r="DJ273" s="687">
        <v>2677.66</v>
      </c>
      <c r="DK273" s="687"/>
      <c r="DL273" s="687"/>
      <c r="DM273" s="24185">
        <v>46388</v>
      </c>
      <c r="DN273" s="23957" t="s">
        <v>59</v>
      </c>
      <c r="DO273" s="24093">
        <v>46568</v>
      </c>
      <c r="DP273" s="23957" t="s">
        <v>59</v>
      </c>
      <c r="DQ273" s="687">
        <v>264.52999999999997</v>
      </c>
      <c r="DR273" s="687">
        <v>70.650000000000006</v>
      </c>
      <c r="DS273" s="687"/>
      <c r="DT273" s="687"/>
      <c r="DU273" s="687">
        <v>2910.62</v>
      </c>
      <c r="DV273" s="687"/>
      <c r="DW273" s="687"/>
      <c r="DX273" s="24093">
        <v>46569</v>
      </c>
      <c r="DY273" s="23957" t="s">
        <v>59</v>
      </c>
      <c r="DZ273" s="24093">
        <v>46752</v>
      </c>
      <c r="EA273" s="23957" t="s">
        <v>59</v>
      </c>
      <c r="EB273" s="687">
        <v>182.44</v>
      </c>
      <c r="EC273" s="687">
        <v>0</v>
      </c>
      <c r="ED273" s="687"/>
      <c r="EE273" s="687"/>
      <c r="EF273" s="687">
        <f>DU273</f>
        <v>2910.62</v>
      </c>
      <c r="EG273" s="687"/>
      <c r="EH273" s="687"/>
      <c r="EI273" s="24093">
        <v>46753</v>
      </c>
      <c r="EJ273" s="23957" t="s">
        <v>59</v>
      </c>
      <c r="EK273" s="24093">
        <v>46934</v>
      </c>
      <c r="EL273" s="23957" t="s">
        <v>59</v>
      </c>
      <c r="EM273" s="687">
        <v>195.4</v>
      </c>
      <c r="EN273" s="687"/>
      <c r="EO273" s="687"/>
      <c r="EP273" s="687"/>
      <c r="EQ273" s="687">
        <v>3117.27</v>
      </c>
      <c r="ER273" s="687"/>
      <c r="ES273" s="687"/>
      <c r="ET273" s="24093">
        <v>46935.66847222222</v>
      </c>
      <c r="EU273" s="23957" t="s">
        <v>59</v>
      </c>
      <c r="EV273" s="24095">
        <v>47118.668587962966</v>
      </c>
      <c r="EW273" s="23957" t="s">
        <v>6</v>
      </c>
      <c r="EX273" s="1286"/>
      <c r="EY273" s="1286"/>
      <c r="EZ273" s="1286"/>
      <c r="FA273" s="1286"/>
      <c r="FB273" s="1286"/>
      <c r="FC273" s="1286"/>
      <c r="FD273" s="1286"/>
      <c r="FE273" s="24086"/>
      <c r="FF273" s="24085" t="s">
        <v>59</v>
      </c>
      <c r="FG273" s="24086"/>
      <c r="FH273" s="24208" t="s">
        <v>59</v>
      </c>
      <c r="FI273" s="1286"/>
      <c r="FJ273" s="1286"/>
      <c r="FK273" s="1286"/>
      <c r="FL273" s="1286"/>
      <c r="FM273" s="1286"/>
      <c r="FN273" s="1286"/>
      <c r="FO273" s="1286"/>
      <c r="FP273" s="24086"/>
      <c r="FQ273" s="24085" t="s">
        <v>59</v>
      </c>
      <c r="FR273" s="24086"/>
      <c r="FS273" s="24085" t="s">
        <v>59</v>
      </c>
      <c r="FT273" s="1364"/>
      <c r="FU27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73" s="1568" t="e">
        <f ca="1">STRCHECKDATE(V274:FT274)</f>
        <v>#NAME?</v>
      </c>
      <c r="FW273" s="1550"/>
      <c r="FX273" s="1550" t="str">
        <f t="shared" si="4"/>
        <v/>
      </c>
      <c r="FY273" s="1550"/>
      <c r="FZ273" s="1550"/>
      <c r="GA273" s="1561">
        <v>0</v>
      </c>
    </row>
    <row r="274" spans="1:183" s="1747" customFormat="1" ht="14.25" customHeight="1">
      <c r="A274" s="1289"/>
      <c r="B274" s="1289"/>
      <c r="C274" s="1289"/>
      <c r="D274" s="1289"/>
      <c r="E274" s="24089"/>
      <c r="F274" s="24089"/>
      <c r="G274" s="24089"/>
      <c r="H274" s="24089"/>
      <c r="I274" s="24091"/>
      <c r="J274" s="24091" t="str">
        <f>I267&amp;".1"</f>
        <v>1.10.1.1.1</v>
      </c>
      <c r="K274" s="24090"/>
      <c r="L274" s="1295"/>
      <c r="M274" s="1674"/>
      <c r="N274" s="1674"/>
      <c r="O274" s="1674"/>
      <c r="P274" s="24092"/>
      <c r="Q274" s="24092"/>
      <c r="R274" s="293"/>
      <c r="S274" s="1982"/>
      <c r="T274" s="236"/>
      <c r="U274" s="236"/>
      <c r="V274" s="1286"/>
      <c r="W274" s="1286"/>
      <c r="X274" s="1286"/>
      <c r="Y274" s="1286"/>
      <c r="Z274" s="1286"/>
      <c r="AA274" s="1286"/>
      <c r="AB274" s="1286"/>
      <c r="AC274" s="24085"/>
      <c r="AD274" s="24085"/>
      <c r="AE274" s="24085"/>
      <c r="AF274" s="24085"/>
      <c r="AG274" s="261"/>
      <c r="AH274" s="261"/>
      <c r="AI274" s="261"/>
      <c r="AJ274" s="261"/>
      <c r="AK274" s="261"/>
      <c r="AL274" s="261"/>
      <c r="AM274" s="261"/>
      <c r="AN274" s="24094"/>
      <c r="AO274" s="23957"/>
      <c r="AP274" s="24096"/>
      <c r="AQ274" s="23957"/>
      <c r="AR274" s="261"/>
      <c r="AS274" s="261"/>
      <c r="AT274" s="261"/>
      <c r="AU274" s="261"/>
      <c r="AV274" s="261"/>
      <c r="AW274" s="261"/>
      <c r="AX274" s="261"/>
      <c r="AY274" s="24094"/>
      <c r="AZ274" s="23957"/>
      <c r="BA274" s="24094"/>
      <c r="BB274" s="23957"/>
      <c r="BC274" s="261"/>
      <c r="BD274" s="261"/>
      <c r="BE274" s="261"/>
      <c r="BF274" s="261"/>
      <c r="BG274" s="261"/>
      <c r="BH274" s="261"/>
      <c r="BI274" s="261"/>
      <c r="BJ274" s="24094"/>
      <c r="BK274" s="23957"/>
      <c r="BL274" s="24094"/>
      <c r="BM274" s="23957"/>
      <c r="BN274" s="261"/>
      <c r="BO274" s="261"/>
      <c r="BP274" s="261"/>
      <c r="BQ274" s="261"/>
      <c r="BR274" s="261"/>
      <c r="BS274" s="261"/>
      <c r="BT274" s="261"/>
      <c r="BU274" s="24094"/>
      <c r="BV274" s="23957"/>
      <c r="BW274" s="24094"/>
      <c r="BX274" s="23957"/>
      <c r="BY274" s="261"/>
      <c r="BZ274" s="261"/>
      <c r="CA274" s="261"/>
      <c r="CB274" s="261"/>
      <c r="CC274" s="261"/>
      <c r="CD274" s="261"/>
      <c r="CE274" s="261"/>
      <c r="CF274" s="24094"/>
      <c r="CG274" s="23957"/>
      <c r="CH274" s="24094"/>
      <c r="CI274" s="23957"/>
      <c r="CJ274" s="261"/>
      <c r="CK274" s="261"/>
      <c r="CL274" s="261"/>
      <c r="CM274" s="261"/>
      <c r="CN274" s="261"/>
      <c r="CO274" s="261"/>
      <c r="CP274" s="261"/>
      <c r="CQ274" s="24094"/>
      <c r="CR274" s="23957"/>
      <c r="CS274" s="24094"/>
      <c r="CT274" s="23957"/>
      <c r="CU274" s="261"/>
      <c r="CV274" s="261"/>
      <c r="CW274" s="261"/>
      <c r="CX274" s="261"/>
      <c r="CY274" s="261"/>
      <c r="CZ274" s="261"/>
      <c r="DA274" s="261"/>
      <c r="DB274" s="24094"/>
      <c r="DC274" s="23957"/>
      <c r="DD274" s="24094"/>
      <c r="DE274" s="23957"/>
      <c r="DF274" s="261"/>
      <c r="DG274" s="261"/>
      <c r="DH274" s="261"/>
      <c r="DI274" s="261"/>
      <c r="DJ274" s="261"/>
      <c r="DK274" s="261"/>
      <c r="DL274" s="261"/>
      <c r="DM274" s="24094"/>
      <c r="DN274" s="23957"/>
      <c r="DO274" s="24094"/>
      <c r="DP274" s="23957"/>
      <c r="DQ274" s="261"/>
      <c r="DR274" s="261"/>
      <c r="DS274" s="261"/>
      <c r="DT274" s="261"/>
      <c r="DU274" s="261"/>
      <c r="DV274" s="261"/>
      <c r="DW274" s="261"/>
      <c r="DX274" s="24094"/>
      <c r="DY274" s="23957"/>
      <c r="DZ274" s="24094"/>
      <c r="EA274" s="23957"/>
      <c r="EB274" s="261"/>
      <c r="EC274" s="261"/>
      <c r="ED274" s="261"/>
      <c r="EE274" s="261"/>
      <c r="EF274" s="261"/>
      <c r="EG274" s="261"/>
      <c r="EH274" s="261"/>
      <c r="EI274" s="24094"/>
      <c r="EJ274" s="23957"/>
      <c r="EK274" s="24094"/>
      <c r="EL274" s="23957"/>
      <c r="EM274" s="261"/>
      <c r="EN274" s="261"/>
      <c r="EO274" s="261"/>
      <c r="EP274" s="261"/>
      <c r="EQ274" s="261"/>
      <c r="ER274" s="261"/>
      <c r="ES274" s="261"/>
      <c r="ET274" s="24094"/>
      <c r="EU274" s="23957"/>
      <c r="EV274" s="24096"/>
      <c r="EW274" s="23957"/>
      <c r="EX274" s="1286"/>
      <c r="EY274" s="1286"/>
      <c r="EZ274" s="1286"/>
      <c r="FA274" s="1286"/>
      <c r="FB274" s="1286"/>
      <c r="FC274" s="1286"/>
      <c r="FD274" s="1286"/>
      <c r="FE274" s="24085"/>
      <c r="FF274" s="24085"/>
      <c r="FG274" s="24085"/>
      <c r="FH274" s="24208"/>
      <c r="FI274" s="1286"/>
      <c r="FJ274" s="1286"/>
      <c r="FK274" s="1286"/>
      <c r="FL274" s="1286"/>
      <c r="FM274" s="1286"/>
      <c r="FN274" s="1286"/>
      <c r="FO274" s="1286"/>
      <c r="FP274" s="24085"/>
      <c r="FQ274" s="24085"/>
      <c r="FR274" s="24085"/>
      <c r="FS274" s="24085"/>
      <c r="FT274" s="1365"/>
      <c r="FU274" s="24162"/>
      <c r="FV274" s="1568"/>
      <c r="FW274" s="1550"/>
      <c r="FX274" s="1550" t="str">
        <f t="shared" si="4"/>
        <v/>
      </c>
      <c r="FY274" s="1550"/>
      <c r="FZ274" s="1550"/>
      <c r="GA274" s="1561">
        <v>0</v>
      </c>
    </row>
    <row r="275" spans="1:183" s="1747" customFormat="1" ht="21" customHeight="1">
      <c r="A275" s="1289"/>
      <c r="B275" s="1289"/>
      <c r="C275" s="1289"/>
      <c r="D275" s="1289"/>
      <c r="E275" s="24089"/>
      <c r="F275" s="24089"/>
      <c r="G275" s="24089"/>
      <c r="H275" s="24089"/>
      <c r="I275" s="24091"/>
      <c r="J275" s="24090" t="str">
        <f>I267&amp;".1"</f>
        <v>1.10.1.1.1</v>
      </c>
      <c r="K275" s="1289"/>
      <c r="L275" s="1295"/>
      <c r="M275" s="1674"/>
      <c r="N275" s="1674"/>
      <c r="O275" s="1674"/>
      <c r="P275" s="24092"/>
      <c r="Q275" s="24092"/>
      <c r="R275" s="292"/>
      <c r="S275" s="4121"/>
      <c r="T275" s="4122" t="s">
        <v>712</v>
      </c>
      <c r="U275" s="4123"/>
      <c r="V275" s="4124"/>
      <c r="W275" s="4125"/>
      <c r="X275" s="4126"/>
      <c r="Y275" s="4127"/>
      <c r="Z275" s="4128"/>
      <c r="AA275" s="4129"/>
      <c r="AB275" s="4130"/>
      <c r="AC275" s="4131"/>
      <c r="AD275" s="4132"/>
      <c r="AE275" s="4133"/>
      <c r="AF275" s="4134"/>
      <c r="AG275" s="4135"/>
      <c r="AH275" s="4136"/>
      <c r="AI275" s="4137"/>
      <c r="AJ275" s="4138"/>
      <c r="AK275" s="4139"/>
      <c r="AL275" s="4140"/>
      <c r="AM275" s="4141"/>
      <c r="AN275" s="4142"/>
      <c r="AO275" s="4143"/>
      <c r="AP275" s="4144"/>
      <c r="AQ275" s="4145"/>
      <c r="AR275" s="7399"/>
      <c r="AS275" s="7400"/>
      <c r="AT275" s="7401"/>
      <c r="AU275" s="7402"/>
      <c r="AV275" s="7403"/>
      <c r="AW275" s="7404"/>
      <c r="AX275" s="7405"/>
      <c r="AY275" s="7406"/>
      <c r="AZ275" s="7407"/>
      <c r="BA275" s="7408"/>
      <c r="BB275" s="7409"/>
      <c r="BC275" s="7410"/>
      <c r="BD275" s="7411"/>
      <c r="BE275" s="15299"/>
      <c r="BF275" s="15300"/>
      <c r="BG275" s="21891"/>
      <c r="BH275" s="15301"/>
      <c r="BI275" s="15302"/>
      <c r="BJ275" s="15303"/>
      <c r="BK275" s="15304"/>
      <c r="BL275" s="15305"/>
      <c r="BM275" s="15306"/>
      <c r="BN275" s="4146"/>
      <c r="BO275" s="4147"/>
      <c r="BP275" s="15307"/>
      <c r="BQ275" s="15308"/>
      <c r="BR275" s="4148"/>
      <c r="BS275" s="15309"/>
      <c r="BT275" s="15310"/>
      <c r="BU275" s="15311"/>
      <c r="BV275" s="15312"/>
      <c r="BW275" s="15313"/>
      <c r="BX275" s="15314"/>
      <c r="BY275" s="15315"/>
      <c r="BZ275" s="15316"/>
      <c r="CA275" s="15317"/>
      <c r="CB275" s="15318"/>
      <c r="CC275" s="15319"/>
      <c r="CD275" s="15320"/>
      <c r="CE275" s="15321"/>
      <c r="CF275" s="15322"/>
      <c r="CG275" s="15323"/>
      <c r="CH275" s="15324"/>
      <c r="CI275" s="15325"/>
      <c r="CJ275" s="15326"/>
      <c r="CK275" s="15327"/>
      <c r="CL275" s="15328"/>
      <c r="CM275" s="15329"/>
      <c r="CN275" s="15330"/>
      <c r="CO275" s="15331"/>
      <c r="CP275" s="15332"/>
      <c r="CQ275" s="15333"/>
      <c r="CR275" s="15334"/>
      <c r="CS275" s="15335"/>
      <c r="CT275" s="15336"/>
      <c r="CU275" s="15337"/>
      <c r="CV275" s="15338"/>
      <c r="CW275" s="15339"/>
      <c r="CX275" s="15340"/>
      <c r="CY275" s="15341"/>
      <c r="CZ275" s="15342"/>
      <c r="DA275" s="15343"/>
      <c r="DB275" s="15344"/>
      <c r="DC275" s="15345"/>
      <c r="DD275" s="15346"/>
      <c r="DE275" s="15347"/>
      <c r="DF275" s="15348"/>
      <c r="DG275" s="15349"/>
      <c r="DH275" s="15350"/>
      <c r="DI275" s="15351"/>
      <c r="DJ275" s="15352"/>
      <c r="DK275" s="15353"/>
      <c r="DL275" s="15354"/>
      <c r="DM275" s="15355"/>
      <c r="DN275" s="15356"/>
      <c r="DO275" s="15357"/>
      <c r="DP275" s="15358"/>
      <c r="DQ275" s="15359"/>
      <c r="DR275" s="15360"/>
      <c r="DS275" s="15361"/>
      <c r="DT275" s="15362"/>
      <c r="DU275" s="15363"/>
      <c r="DV275" s="15364"/>
      <c r="DW275" s="15365"/>
      <c r="DX275" s="15366"/>
      <c r="DY275" s="15367"/>
      <c r="DZ275" s="15368"/>
      <c r="EA275" s="15369"/>
      <c r="EB275" s="15370"/>
      <c r="EC275" s="15371"/>
      <c r="ED275" s="15372"/>
      <c r="EE275" s="15373"/>
      <c r="EF275" s="15374"/>
      <c r="EG275" s="15375"/>
      <c r="EH275" s="15376"/>
      <c r="EI275" s="15377"/>
      <c r="EJ275" s="15378"/>
      <c r="EK275" s="15379"/>
      <c r="EL275" s="15380"/>
      <c r="EM275" s="21629"/>
      <c r="EN275" s="21630"/>
      <c r="EO275" s="15381"/>
      <c r="EP275" s="15382"/>
      <c r="EQ275" s="21631"/>
      <c r="ER275" s="15383"/>
      <c r="ES275" s="15384"/>
      <c r="ET275" s="15385"/>
      <c r="EU275" s="15386"/>
      <c r="EV275" s="15387"/>
      <c r="EW275" s="15388"/>
      <c r="EX275" s="4149"/>
      <c r="EY275" s="4150"/>
      <c r="EZ275" s="15389"/>
      <c r="FA275" s="15390"/>
      <c r="FB275" s="4151"/>
      <c r="FC275" s="15391"/>
      <c r="FD275" s="15392"/>
      <c r="FE275" s="15393"/>
      <c r="FF275" s="15394"/>
      <c r="FG275" s="15395"/>
      <c r="FH275" s="5727"/>
      <c r="FI275" s="22836"/>
      <c r="FJ275" s="22837"/>
      <c r="FK275" s="23597"/>
      <c r="FL275" s="23598"/>
      <c r="FM275" s="22838"/>
      <c r="FN275" s="23599"/>
      <c r="FO275" s="23600"/>
      <c r="FP275" s="22839"/>
      <c r="FQ275" s="22840"/>
      <c r="FR275" s="22841"/>
      <c r="FS275" s="23601"/>
      <c r="FT275" s="4152"/>
      <c r="FU275" s="1184" t="s">
        <v>713</v>
      </c>
      <c r="FV275" s="1568"/>
      <c r="FW275" s="1550"/>
      <c r="FX275" s="1550" t="str">
        <f t="shared" si="4"/>
        <v>Добавить значение признака дифференциации</v>
      </c>
      <c r="FY275" s="1550"/>
      <c r="FZ275" s="1550"/>
      <c r="GA275" s="1561">
        <v>0</v>
      </c>
    </row>
    <row r="276" spans="1:183" s="1747" customFormat="1" ht="21" customHeight="1">
      <c r="A276" s="1289"/>
      <c r="B276" s="1289"/>
      <c r="C276" s="1289"/>
      <c r="D276" s="1289"/>
      <c r="E276" s="24089"/>
      <c r="F276" s="24089" t="s">
        <v>128</v>
      </c>
      <c r="G276" s="24089"/>
      <c r="H276" s="24089"/>
      <c r="I276" s="24090"/>
      <c r="J276" s="1289"/>
      <c r="K276" s="1289"/>
      <c r="L276" s="1295"/>
      <c r="M276" s="1674"/>
      <c r="N276" s="1674"/>
      <c r="O276" s="1674"/>
      <c r="P276" s="24092"/>
      <c r="Q276" s="1978"/>
      <c r="R276" s="292"/>
      <c r="S276" s="4153"/>
      <c r="T276" s="4154" t="s">
        <v>641</v>
      </c>
      <c r="U276" s="4155"/>
      <c r="V276" s="4156"/>
      <c r="W276" s="4157"/>
      <c r="X276" s="4158"/>
      <c r="Y276" s="4159"/>
      <c r="Z276" s="4160"/>
      <c r="AA276" s="4161"/>
      <c r="AB276" s="4162"/>
      <c r="AC276" s="4163"/>
      <c r="AD276" s="4164"/>
      <c r="AE276" s="4165"/>
      <c r="AF276" s="4166"/>
      <c r="AG276" s="4167"/>
      <c r="AH276" s="4168"/>
      <c r="AI276" s="4169"/>
      <c r="AJ276" s="4170"/>
      <c r="AK276" s="4171"/>
      <c r="AL276" s="4172"/>
      <c r="AM276" s="4173"/>
      <c r="AN276" s="4174"/>
      <c r="AO276" s="4175"/>
      <c r="AP276" s="4176"/>
      <c r="AQ276" s="4177"/>
      <c r="AR276" s="7412"/>
      <c r="AS276" s="7413"/>
      <c r="AT276" s="7414"/>
      <c r="AU276" s="7415"/>
      <c r="AV276" s="7416"/>
      <c r="AW276" s="7417"/>
      <c r="AX276" s="7418"/>
      <c r="AY276" s="7419"/>
      <c r="AZ276" s="7420"/>
      <c r="BA276" s="7421"/>
      <c r="BB276" s="7422"/>
      <c r="BC276" s="7423"/>
      <c r="BD276" s="7424"/>
      <c r="BE276" s="15396"/>
      <c r="BF276" s="15397"/>
      <c r="BG276" s="21892"/>
      <c r="BH276" s="15398"/>
      <c r="BI276" s="15399"/>
      <c r="BJ276" s="15400"/>
      <c r="BK276" s="15401"/>
      <c r="BL276" s="15402"/>
      <c r="BM276" s="15403"/>
      <c r="BN276" s="4178"/>
      <c r="BO276" s="4179"/>
      <c r="BP276" s="15404"/>
      <c r="BQ276" s="15405"/>
      <c r="BR276" s="4180"/>
      <c r="BS276" s="15406"/>
      <c r="BT276" s="15407"/>
      <c r="BU276" s="15408"/>
      <c r="BV276" s="15409"/>
      <c r="BW276" s="15410"/>
      <c r="BX276" s="15411"/>
      <c r="BY276" s="15412"/>
      <c r="BZ276" s="15413"/>
      <c r="CA276" s="15414"/>
      <c r="CB276" s="15415"/>
      <c r="CC276" s="15416"/>
      <c r="CD276" s="15417"/>
      <c r="CE276" s="15418"/>
      <c r="CF276" s="15419"/>
      <c r="CG276" s="15420"/>
      <c r="CH276" s="15421"/>
      <c r="CI276" s="15422"/>
      <c r="CJ276" s="15423"/>
      <c r="CK276" s="15424"/>
      <c r="CL276" s="15425"/>
      <c r="CM276" s="15426"/>
      <c r="CN276" s="15427"/>
      <c r="CO276" s="15428"/>
      <c r="CP276" s="15429"/>
      <c r="CQ276" s="15430"/>
      <c r="CR276" s="15431"/>
      <c r="CS276" s="15432"/>
      <c r="CT276" s="15433"/>
      <c r="CU276" s="15434"/>
      <c r="CV276" s="15435"/>
      <c r="CW276" s="15436"/>
      <c r="CX276" s="15437"/>
      <c r="CY276" s="15438"/>
      <c r="CZ276" s="15439"/>
      <c r="DA276" s="15440"/>
      <c r="DB276" s="15441"/>
      <c r="DC276" s="15442"/>
      <c r="DD276" s="15443"/>
      <c r="DE276" s="15444"/>
      <c r="DF276" s="15445"/>
      <c r="DG276" s="15446"/>
      <c r="DH276" s="15447"/>
      <c r="DI276" s="15448"/>
      <c r="DJ276" s="15449"/>
      <c r="DK276" s="15450"/>
      <c r="DL276" s="15451"/>
      <c r="DM276" s="15452"/>
      <c r="DN276" s="15453"/>
      <c r="DO276" s="15454"/>
      <c r="DP276" s="15455"/>
      <c r="DQ276" s="15456"/>
      <c r="DR276" s="15457"/>
      <c r="DS276" s="15458"/>
      <c r="DT276" s="15459"/>
      <c r="DU276" s="15460"/>
      <c r="DV276" s="15461"/>
      <c r="DW276" s="15462"/>
      <c r="DX276" s="15463"/>
      <c r="DY276" s="15464"/>
      <c r="DZ276" s="15465"/>
      <c r="EA276" s="15466"/>
      <c r="EB276" s="15467"/>
      <c r="EC276" s="15468"/>
      <c r="ED276" s="15469"/>
      <c r="EE276" s="15470"/>
      <c r="EF276" s="15471"/>
      <c r="EG276" s="15472"/>
      <c r="EH276" s="15473"/>
      <c r="EI276" s="15474"/>
      <c r="EJ276" s="15475"/>
      <c r="EK276" s="15476"/>
      <c r="EL276" s="15477"/>
      <c r="EM276" s="21632"/>
      <c r="EN276" s="21633"/>
      <c r="EO276" s="15478"/>
      <c r="EP276" s="15479"/>
      <c r="EQ276" s="21634"/>
      <c r="ER276" s="15480"/>
      <c r="ES276" s="15481"/>
      <c r="ET276" s="15482"/>
      <c r="EU276" s="15483"/>
      <c r="EV276" s="15484"/>
      <c r="EW276" s="15485"/>
      <c r="EX276" s="4181"/>
      <c r="EY276" s="4182"/>
      <c r="EZ276" s="15486"/>
      <c r="FA276" s="15487"/>
      <c r="FB276" s="4183"/>
      <c r="FC276" s="15488"/>
      <c r="FD276" s="15489"/>
      <c r="FE276" s="15490"/>
      <c r="FF276" s="15491"/>
      <c r="FG276" s="15492"/>
      <c r="FH276" s="5728"/>
      <c r="FI276" s="22842"/>
      <c r="FJ276" s="22843"/>
      <c r="FK276" s="23602"/>
      <c r="FL276" s="23603"/>
      <c r="FM276" s="22844"/>
      <c r="FN276" s="23604"/>
      <c r="FO276" s="23605"/>
      <c r="FP276" s="22845"/>
      <c r="FQ276" s="22846"/>
      <c r="FR276" s="22847"/>
      <c r="FS276" s="23606"/>
      <c r="FT276" s="4184"/>
      <c r="FU276" s="4185"/>
      <c r="FV276" s="1568"/>
      <c r="FW276" s="1550"/>
      <c r="FX276" s="1550" t="str">
        <f t="shared" si="4"/>
        <v>Добавить группу потребителей</v>
      </c>
      <c r="FY276" s="1550"/>
      <c r="FZ276" s="1550"/>
      <c r="GA276" s="1561">
        <v>0</v>
      </c>
    </row>
    <row r="277" spans="1:183" s="1747" customFormat="1" ht="21" customHeight="1">
      <c r="A277" s="1289"/>
      <c r="B277" s="1289"/>
      <c r="C277" s="1289"/>
      <c r="D277" s="1289"/>
      <c r="E277" s="24089"/>
      <c r="F277" s="24089" t="s">
        <v>128</v>
      </c>
      <c r="G277" s="24089"/>
      <c r="H277" s="24088"/>
      <c r="I277" s="1289"/>
      <c r="J277" s="1289"/>
      <c r="K277" s="1289"/>
      <c r="L277" s="1295"/>
      <c r="M277" s="1291"/>
      <c r="N277" s="1291"/>
      <c r="O277" s="1292"/>
      <c r="P277" s="1720"/>
      <c r="Q277" s="311"/>
      <c r="R277" s="291"/>
      <c r="S277" s="4186"/>
      <c r="T277" s="4187" t="s">
        <v>714</v>
      </c>
      <c r="U277" s="4188"/>
      <c r="V277" s="4189"/>
      <c r="W277" s="4190"/>
      <c r="X277" s="4191"/>
      <c r="Y277" s="4192"/>
      <c r="Z277" s="4193"/>
      <c r="AA277" s="4194"/>
      <c r="AB277" s="4195"/>
      <c r="AC277" s="4196"/>
      <c r="AD277" s="4197"/>
      <c r="AE277" s="4198"/>
      <c r="AF277" s="4199"/>
      <c r="AG277" s="4200"/>
      <c r="AH277" s="4201"/>
      <c r="AI277" s="4202"/>
      <c r="AJ277" s="4203"/>
      <c r="AK277" s="4204"/>
      <c r="AL277" s="4205"/>
      <c r="AM277" s="4206"/>
      <c r="AN277" s="4207"/>
      <c r="AO277" s="4208"/>
      <c r="AP277" s="4209"/>
      <c r="AQ277" s="4210"/>
      <c r="AR277" s="7425"/>
      <c r="AS277" s="7426"/>
      <c r="AT277" s="7427"/>
      <c r="AU277" s="7428"/>
      <c r="AV277" s="7429"/>
      <c r="AW277" s="7430"/>
      <c r="AX277" s="7431"/>
      <c r="AY277" s="7432"/>
      <c r="AZ277" s="7433"/>
      <c r="BA277" s="7434"/>
      <c r="BB277" s="7435"/>
      <c r="BC277" s="7436"/>
      <c r="BD277" s="7437"/>
      <c r="BE277" s="15493"/>
      <c r="BF277" s="15494"/>
      <c r="BG277" s="21893"/>
      <c r="BH277" s="15495"/>
      <c r="BI277" s="15496"/>
      <c r="BJ277" s="15497"/>
      <c r="BK277" s="15498"/>
      <c r="BL277" s="15499"/>
      <c r="BM277" s="15500"/>
      <c r="BN277" s="4211"/>
      <c r="BO277" s="4212"/>
      <c r="BP277" s="15501"/>
      <c r="BQ277" s="15502"/>
      <c r="BR277" s="4213"/>
      <c r="BS277" s="15503"/>
      <c r="BT277" s="15504"/>
      <c r="BU277" s="15505"/>
      <c r="BV277" s="15506"/>
      <c r="BW277" s="15507"/>
      <c r="BX277" s="15508"/>
      <c r="BY277" s="15509"/>
      <c r="BZ277" s="15510"/>
      <c r="CA277" s="15511"/>
      <c r="CB277" s="15512"/>
      <c r="CC277" s="15513"/>
      <c r="CD277" s="15514"/>
      <c r="CE277" s="15515"/>
      <c r="CF277" s="15516"/>
      <c r="CG277" s="15517"/>
      <c r="CH277" s="15518"/>
      <c r="CI277" s="15519"/>
      <c r="CJ277" s="15520"/>
      <c r="CK277" s="15521"/>
      <c r="CL277" s="15522"/>
      <c r="CM277" s="15523"/>
      <c r="CN277" s="15524"/>
      <c r="CO277" s="15525"/>
      <c r="CP277" s="15526"/>
      <c r="CQ277" s="15527"/>
      <c r="CR277" s="15528"/>
      <c r="CS277" s="15529"/>
      <c r="CT277" s="15530"/>
      <c r="CU277" s="15531"/>
      <c r="CV277" s="15532"/>
      <c r="CW277" s="15533"/>
      <c r="CX277" s="15534"/>
      <c r="CY277" s="15535"/>
      <c r="CZ277" s="15536"/>
      <c r="DA277" s="15537"/>
      <c r="DB277" s="15538"/>
      <c r="DC277" s="15539"/>
      <c r="DD277" s="15540"/>
      <c r="DE277" s="15541"/>
      <c r="DF277" s="15542"/>
      <c r="DG277" s="15543"/>
      <c r="DH277" s="15544"/>
      <c r="DI277" s="15545"/>
      <c r="DJ277" s="15546"/>
      <c r="DK277" s="15547"/>
      <c r="DL277" s="15548"/>
      <c r="DM277" s="15549"/>
      <c r="DN277" s="15550"/>
      <c r="DO277" s="15551"/>
      <c r="DP277" s="15552"/>
      <c r="DQ277" s="15553"/>
      <c r="DR277" s="15554"/>
      <c r="DS277" s="15555"/>
      <c r="DT277" s="15556"/>
      <c r="DU277" s="15557"/>
      <c r="DV277" s="15558"/>
      <c r="DW277" s="15559"/>
      <c r="DX277" s="15560"/>
      <c r="DY277" s="15561"/>
      <c r="DZ277" s="15562"/>
      <c r="EA277" s="15563"/>
      <c r="EB277" s="15564"/>
      <c r="EC277" s="15565"/>
      <c r="ED277" s="15566"/>
      <c r="EE277" s="15567"/>
      <c r="EF277" s="15568"/>
      <c r="EG277" s="15569"/>
      <c r="EH277" s="15570"/>
      <c r="EI277" s="15571"/>
      <c r="EJ277" s="15572"/>
      <c r="EK277" s="15573"/>
      <c r="EL277" s="15574"/>
      <c r="EM277" s="21635"/>
      <c r="EN277" s="21636"/>
      <c r="EO277" s="15575"/>
      <c r="EP277" s="15576"/>
      <c r="EQ277" s="21637"/>
      <c r="ER277" s="15577"/>
      <c r="ES277" s="15578"/>
      <c r="ET277" s="15579"/>
      <c r="EU277" s="15580"/>
      <c r="EV277" s="15581"/>
      <c r="EW277" s="15582"/>
      <c r="EX277" s="4214"/>
      <c r="EY277" s="4215"/>
      <c r="EZ277" s="15583"/>
      <c r="FA277" s="15584"/>
      <c r="FB277" s="4216"/>
      <c r="FC277" s="15585"/>
      <c r="FD277" s="15586"/>
      <c r="FE277" s="15587"/>
      <c r="FF277" s="15588"/>
      <c r="FG277" s="15589"/>
      <c r="FH277" s="5729"/>
      <c r="FI277" s="22848"/>
      <c r="FJ277" s="22849"/>
      <c r="FK277" s="23607"/>
      <c r="FL277" s="23608"/>
      <c r="FM277" s="22850"/>
      <c r="FN277" s="23609"/>
      <c r="FO277" s="23610"/>
      <c r="FP277" s="22851"/>
      <c r="FQ277" s="22852"/>
      <c r="FR277" s="22853"/>
      <c r="FS277" s="23611"/>
      <c r="FT277" s="4217"/>
      <c r="FU277" s="4218"/>
      <c r="FV277" s="1568"/>
      <c r="FW277" s="1550"/>
      <c r="FX277" s="1550" t="str">
        <f t="shared" si="4"/>
        <v>Добавить наименование признака дифференциации</v>
      </c>
      <c r="FY277" s="1550"/>
      <c r="FZ277" s="1550"/>
      <c r="GA277" s="1561">
        <v>0</v>
      </c>
    </row>
    <row r="278" spans="1:183" s="558" customFormat="1" ht="14.25" customHeight="1">
      <c r="A278" s="1269"/>
      <c r="B278" s="1269"/>
      <c r="C278" s="1269"/>
      <c r="D278" s="1269"/>
      <c r="E278" s="24089"/>
      <c r="F278" s="24088" t="s">
        <v>128</v>
      </c>
      <c r="G278" s="1269"/>
      <c r="H278" s="1269"/>
      <c r="I278" s="1269"/>
      <c r="J278" s="1269"/>
      <c r="K278" s="1269"/>
      <c r="L278" s="1471"/>
      <c r="M278" s="1247"/>
      <c r="N278" s="1247"/>
      <c r="O278" s="1568"/>
      <c r="P278" s="1242"/>
      <c r="Q278" s="1270"/>
      <c r="R278" s="1242"/>
      <c r="S278" s="1248"/>
      <c r="T278" s="1251" t="s">
        <v>370</v>
      </c>
      <c r="U278" s="1250"/>
      <c r="V278" s="1250"/>
      <c r="W278" s="1250"/>
      <c r="X278" s="1250"/>
      <c r="Y278" s="1250"/>
      <c r="Z278" s="1250"/>
      <c r="AA278" s="1250"/>
      <c r="AB278" s="1250"/>
      <c r="AC278" s="1250"/>
      <c r="AD278" s="1250"/>
      <c r="AE278" s="1250"/>
      <c r="AF278" s="1250"/>
      <c r="AG278" s="1250"/>
      <c r="AH278" s="1250"/>
      <c r="AI278" s="1250"/>
      <c r="AJ278" s="1250"/>
      <c r="AK278" s="1250"/>
      <c r="AL278" s="1250"/>
      <c r="AM278" s="1250"/>
      <c r="AN278" s="1250"/>
      <c r="AO278" s="1250"/>
      <c r="AP278" s="1250"/>
      <c r="AQ278" s="1250"/>
      <c r="AR278" s="1250"/>
      <c r="AS278" s="1250"/>
      <c r="AT278" s="1250"/>
      <c r="AU278" s="1250"/>
      <c r="AV278" s="1250"/>
      <c r="AW278" s="1250"/>
      <c r="AX278" s="1250"/>
      <c r="AY278" s="1250"/>
      <c r="AZ278" s="1250"/>
      <c r="BA278" s="1250"/>
      <c r="BB278" s="1250"/>
      <c r="BC278" s="1250"/>
      <c r="BD278" s="1250"/>
      <c r="BE278" s="1250"/>
      <c r="BF278" s="1250"/>
      <c r="BG278" s="1250"/>
      <c r="BH278" s="1250"/>
      <c r="BI278" s="1250"/>
      <c r="BJ278" s="1250"/>
      <c r="BK278" s="1250"/>
      <c r="BL278" s="1250"/>
      <c r="BM278" s="1250"/>
      <c r="BN278" s="1250"/>
      <c r="BO278" s="1250"/>
      <c r="BP278" s="1250"/>
      <c r="BQ278" s="1250"/>
      <c r="BR278" s="1250"/>
      <c r="BS278" s="1250"/>
      <c r="BT278" s="1250"/>
      <c r="BU278" s="1250"/>
      <c r="BV278" s="1250"/>
      <c r="BW278" s="1250"/>
      <c r="BX278" s="1250"/>
      <c r="BY278" s="1250"/>
      <c r="BZ278" s="1250"/>
      <c r="CA278" s="1250"/>
      <c r="CB278" s="1250"/>
      <c r="CC278" s="1250"/>
      <c r="CD278" s="1250"/>
      <c r="CE278" s="1250"/>
      <c r="CF278" s="1250"/>
      <c r="CG278" s="1250"/>
      <c r="CH278" s="1250"/>
      <c r="CI278" s="1250"/>
      <c r="CJ278" s="1250"/>
      <c r="CK278" s="1250"/>
      <c r="CL278" s="1250"/>
      <c r="CM278" s="1250"/>
      <c r="CN278" s="1250"/>
      <c r="CO278" s="1250"/>
      <c r="CP278" s="1250"/>
      <c r="CQ278" s="1250"/>
      <c r="CR278" s="1250"/>
      <c r="CS278" s="1250"/>
      <c r="CT278" s="1250"/>
      <c r="CU278" s="1250"/>
      <c r="CV278" s="1250"/>
      <c r="CW278" s="1250"/>
      <c r="CX278" s="1250"/>
      <c r="CY278" s="1250"/>
      <c r="CZ278" s="1250"/>
      <c r="DA278" s="1250"/>
      <c r="DB278" s="1250"/>
      <c r="DC278" s="1250"/>
      <c r="DD278" s="1250"/>
      <c r="DE278" s="1250"/>
      <c r="DF278" s="1250"/>
      <c r="DG278" s="1250"/>
      <c r="DH278" s="1250"/>
      <c r="DI278" s="1250"/>
      <c r="DJ278" s="1250"/>
      <c r="DK278" s="1250"/>
      <c r="DL278" s="1250"/>
      <c r="DM278" s="1250"/>
      <c r="DN278" s="1250"/>
      <c r="DO278" s="1250"/>
      <c r="DP278" s="1250"/>
      <c r="DQ278" s="1250"/>
      <c r="DR278" s="1250"/>
      <c r="DS278" s="1250"/>
      <c r="DT278" s="1250"/>
      <c r="DU278" s="1250"/>
      <c r="DV278" s="1250"/>
      <c r="DW278" s="1250"/>
      <c r="DX278" s="1250"/>
      <c r="DY278" s="1250"/>
      <c r="DZ278" s="1250"/>
      <c r="EA278" s="1250"/>
      <c r="EB278" s="1250"/>
      <c r="EC278" s="1250"/>
      <c r="ED278" s="1250"/>
      <c r="EE278" s="1250"/>
      <c r="EF278" s="1250"/>
      <c r="EG278" s="1250"/>
      <c r="EH278" s="1250"/>
      <c r="EI278" s="1250"/>
      <c r="EJ278" s="1250"/>
      <c r="EK278" s="1250"/>
      <c r="EL278" s="1250"/>
      <c r="EM278" s="1250"/>
      <c r="EN278" s="1250"/>
      <c r="EO278" s="1250"/>
      <c r="EP278" s="1250"/>
      <c r="EQ278" s="1250"/>
      <c r="ER278" s="1250"/>
      <c r="ES278" s="1250"/>
      <c r="ET278" s="1250"/>
      <c r="EU278" s="1250"/>
      <c r="EV278" s="1250"/>
      <c r="EW278" s="1250"/>
      <c r="EX278" s="1250"/>
      <c r="EY278" s="1250"/>
      <c r="EZ278" s="1250"/>
      <c r="FA278" s="1250"/>
      <c r="FB278" s="1250"/>
      <c r="FC278" s="1250"/>
      <c r="FD278" s="1250"/>
      <c r="FE278" s="1250"/>
      <c r="FF278" s="1250"/>
      <c r="FG278" s="1250"/>
      <c r="FH278" s="1250"/>
      <c r="FI278" s="1250"/>
      <c r="FJ278" s="1250"/>
      <c r="FK278" s="1250"/>
      <c r="FL278" s="1250"/>
      <c r="FM278" s="1250"/>
      <c r="FN278" s="1250"/>
      <c r="FO278" s="1250"/>
      <c r="FP278" s="1250"/>
      <c r="FQ278" s="1250"/>
      <c r="FR278" s="1250"/>
      <c r="FS278" s="1250"/>
      <c r="FT278" s="1250"/>
      <c r="FU278" s="1250"/>
      <c r="FV278" s="1568"/>
      <c r="FW278" s="1550"/>
      <c r="FX278" s="1550" t="str">
        <f t="shared" si="4"/>
        <v>Добавить централизованную систему для дифференциации</v>
      </c>
      <c r="FY278" s="1550"/>
      <c r="FZ278" s="1550"/>
      <c r="GA278" s="1568">
        <v>0</v>
      </c>
    </row>
    <row r="279" spans="1:183" s="1747" customFormat="1" ht="23.25" customHeight="1">
      <c r="A279" s="1289"/>
      <c r="B279" s="1289" t="s">
        <v>420</v>
      </c>
      <c r="C279" s="1289"/>
      <c r="D279" s="1289"/>
      <c r="E279" s="24089"/>
      <c r="F279" s="24088" t="s">
        <v>138</v>
      </c>
      <c r="G279" s="1289"/>
      <c r="H279" s="1289"/>
      <c r="I279" s="1289"/>
      <c r="J279" s="1289"/>
      <c r="K279" s="1289"/>
      <c r="L279" s="1295"/>
      <c r="M279" s="1291"/>
      <c r="N279" s="1291"/>
      <c r="O279" s="1291"/>
      <c r="P279" s="1971"/>
      <c r="Q279" s="288"/>
      <c r="R279" s="289"/>
      <c r="S279" s="1976" t="str">
        <f>INDEX(PT_DIFFERENTIATION_NUM_TER,MATCH(B279,PT_DIFFERENTIATION_TER_ID,0))</f>
        <v>1.11</v>
      </c>
      <c r="T279" s="1448" t="s">
        <v>626</v>
      </c>
      <c r="U279" s="236"/>
      <c r="V279" s="24082"/>
      <c r="W279" s="24083"/>
      <c r="X279" s="24083"/>
      <c r="Y279" s="24083"/>
      <c r="Z279" s="24083"/>
      <c r="AA279" s="24083"/>
      <c r="AB279" s="24083"/>
      <c r="AC279" s="24083"/>
      <c r="AD279" s="24083"/>
      <c r="AE279" s="24083"/>
      <c r="AF279" s="24084"/>
      <c r="AG279" s="24082" t="str">
        <f>INDEX(PT_DIFFERENTIATION_TER,MATCH(B279,PT_DIFFERENTIATION_TER_ID,0))</f>
        <v>Территория 11</v>
      </c>
      <c r="AH279" s="24083"/>
      <c r="AI279" s="24083"/>
      <c r="AJ279" s="24083"/>
      <c r="AK279" s="24083"/>
      <c r="AL279" s="24083"/>
      <c r="AM279" s="24083"/>
      <c r="AN279" s="24083"/>
      <c r="AO279" s="24083"/>
      <c r="AP279" s="24083"/>
      <c r="AQ279" s="24083"/>
      <c r="AR279" s="24173"/>
      <c r="AS279" s="24174"/>
      <c r="AT279" s="24174"/>
      <c r="AU279" s="24174"/>
      <c r="AV279" s="24174"/>
      <c r="AW279" s="24174"/>
      <c r="AX279" s="24174"/>
      <c r="AY279" s="24174"/>
      <c r="AZ279" s="24174"/>
      <c r="BA279" s="24174"/>
      <c r="BB279" s="24175"/>
      <c r="BC279" s="24173"/>
      <c r="BD279" s="24174"/>
      <c r="BE279" s="24174"/>
      <c r="BF279" s="24174"/>
      <c r="BG279" s="24174"/>
      <c r="BH279" s="24174"/>
      <c r="BI279" s="24174"/>
      <c r="BJ279" s="24174"/>
      <c r="BK279" s="24174"/>
      <c r="BL279" s="24174"/>
      <c r="BM279" s="24175"/>
      <c r="BN279" s="24082"/>
      <c r="BO279" s="24083"/>
      <c r="BP279" s="24174"/>
      <c r="BQ279" s="24174"/>
      <c r="BR279" s="24083"/>
      <c r="BS279" s="24174"/>
      <c r="BT279" s="24174"/>
      <c r="BU279" s="24174"/>
      <c r="BV279" s="24174"/>
      <c r="BW279" s="24174"/>
      <c r="BX279" s="24175"/>
      <c r="BY279" s="24173"/>
      <c r="BZ279" s="24174"/>
      <c r="CA279" s="24174"/>
      <c r="CB279" s="24174"/>
      <c r="CC279" s="24174"/>
      <c r="CD279" s="24174"/>
      <c r="CE279" s="24174"/>
      <c r="CF279" s="24174"/>
      <c r="CG279" s="24174"/>
      <c r="CH279" s="24174"/>
      <c r="CI279" s="24175"/>
      <c r="CJ279" s="24173"/>
      <c r="CK279" s="24174"/>
      <c r="CL279" s="24174"/>
      <c r="CM279" s="24174"/>
      <c r="CN279" s="24174"/>
      <c r="CO279" s="24174"/>
      <c r="CP279" s="24174"/>
      <c r="CQ279" s="24174"/>
      <c r="CR279" s="24174"/>
      <c r="CS279" s="24174"/>
      <c r="CT279" s="24175"/>
      <c r="CU279" s="24173"/>
      <c r="CV279" s="24174"/>
      <c r="CW279" s="24174"/>
      <c r="CX279" s="24174"/>
      <c r="CY279" s="24174"/>
      <c r="CZ279" s="24174"/>
      <c r="DA279" s="24174"/>
      <c r="DB279" s="24174"/>
      <c r="DC279" s="24174"/>
      <c r="DD279" s="24174"/>
      <c r="DE279" s="24175"/>
      <c r="DF279" s="24173"/>
      <c r="DG279" s="24174"/>
      <c r="DH279" s="24174"/>
      <c r="DI279" s="24174"/>
      <c r="DJ279" s="24174"/>
      <c r="DK279" s="24174"/>
      <c r="DL279" s="24174"/>
      <c r="DM279" s="24174"/>
      <c r="DN279" s="24174"/>
      <c r="DO279" s="24174"/>
      <c r="DP279" s="24175"/>
      <c r="DQ279" s="24173"/>
      <c r="DR279" s="24174"/>
      <c r="DS279" s="24174"/>
      <c r="DT279" s="24174"/>
      <c r="DU279" s="24174"/>
      <c r="DV279" s="24174"/>
      <c r="DW279" s="24174"/>
      <c r="DX279" s="24174"/>
      <c r="DY279" s="24174"/>
      <c r="DZ279" s="24174"/>
      <c r="EA279" s="24175"/>
      <c r="EB279" s="24173"/>
      <c r="EC279" s="24174"/>
      <c r="ED279" s="24174"/>
      <c r="EE279" s="24174"/>
      <c r="EF279" s="24174"/>
      <c r="EG279" s="24174"/>
      <c r="EH279" s="24174"/>
      <c r="EI279" s="24174"/>
      <c r="EJ279" s="24174"/>
      <c r="EK279" s="24174"/>
      <c r="EL279" s="24175"/>
      <c r="EM279" s="24173"/>
      <c r="EN279" s="24174"/>
      <c r="EO279" s="24174"/>
      <c r="EP279" s="24174"/>
      <c r="EQ279" s="24174"/>
      <c r="ER279" s="24174"/>
      <c r="ES279" s="24174"/>
      <c r="ET279" s="24174"/>
      <c r="EU279" s="24174"/>
      <c r="EV279" s="24174"/>
      <c r="EW279" s="24175"/>
      <c r="EX279" s="24082"/>
      <c r="EY279" s="24083"/>
      <c r="EZ279" s="24174"/>
      <c r="FA279" s="24174"/>
      <c r="FB279" s="24083"/>
      <c r="FC279" s="24174"/>
      <c r="FD279" s="24174"/>
      <c r="FE279" s="24174"/>
      <c r="FF279" s="24174"/>
      <c r="FG279" s="24174"/>
      <c r="FH279" s="24175"/>
      <c r="FI279" s="24082"/>
      <c r="FJ279" s="24083"/>
      <c r="FK279" s="24174"/>
      <c r="FL279" s="24174"/>
      <c r="FM279" s="24083"/>
      <c r="FN279" s="24174"/>
      <c r="FO279" s="24174"/>
      <c r="FP279" s="24083"/>
      <c r="FQ279" s="24083"/>
      <c r="FR279" s="24083"/>
      <c r="FS279" s="24175"/>
      <c r="FT279" s="24084"/>
      <c r="FU279" s="1184" t="s">
        <v>627</v>
      </c>
      <c r="FV279" s="1568"/>
      <c r="FW279" s="1550"/>
      <c r="FX279" s="1550" t="str">
        <f t="shared" si="4"/>
        <v>Территория действия тарифа</v>
      </c>
      <c r="FY279" s="1550"/>
      <c r="FZ279" s="1550"/>
      <c r="GA279" s="1561">
        <v>0</v>
      </c>
    </row>
    <row r="280" spans="1:183" s="1747" customFormat="1" ht="23.25" customHeight="1">
      <c r="A280" s="1289"/>
      <c r="B280" s="1289"/>
      <c r="C280" s="1289" t="s">
        <v>421</v>
      </c>
      <c r="D280" s="1289"/>
      <c r="E280" s="24089"/>
      <c r="F280" s="24089" t="s">
        <v>133</v>
      </c>
      <c r="G280" s="24088">
        <v>1</v>
      </c>
      <c r="H280" s="1289"/>
      <c r="I280" s="1289"/>
      <c r="J280" s="1289"/>
      <c r="K280" s="1289"/>
      <c r="L280" s="1295"/>
      <c r="M280" s="1291"/>
      <c r="N280" s="1291"/>
      <c r="O280" s="1291"/>
      <c r="P280" s="290"/>
      <c r="Q280" s="288"/>
      <c r="R280" s="289"/>
      <c r="S280" s="1976" t="str">
        <f>INDEX(PT_DIFFERENTIATION_NUM_CS,MATCH(C280,PT_DIFFERENTIATION_CS_ID,0))</f>
        <v>1.11.1</v>
      </c>
      <c r="T280" s="245" t="s">
        <v>756</v>
      </c>
      <c r="U280" s="236"/>
      <c r="V280" s="24082"/>
      <c r="W280" s="24083"/>
      <c r="X280" s="24083"/>
      <c r="Y280" s="24083"/>
      <c r="Z280" s="24083"/>
      <c r="AA280" s="24083"/>
      <c r="AB280" s="24083"/>
      <c r="AC280" s="24083"/>
      <c r="AD280" s="24083"/>
      <c r="AE280" s="24083"/>
      <c r="AF280" s="24084"/>
      <c r="AG280" s="24082" t="str">
        <f>INDEX(PT_DIFFERENTIATION_CS,MATCH(C280,PT_DIFFERENTIATION_CS_ID,0))</f>
        <v>г. Сафоново, д. Клинка  Сафоновского муниципального округа Смоленской области</v>
      </c>
      <c r="AH280" s="24083"/>
      <c r="AI280" s="24083"/>
      <c r="AJ280" s="24083"/>
      <c r="AK280" s="24083"/>
      <c r="AL280" s="24083"/>
      <c r="AM280" s="24083"/>
      <c r="AN280" s="24083"/>
      <c r="AO280" s="24083"/>
      <c r="AP280" s="24083"/>
      <c r="AQ280" s="24083"/>
      <c r="AR280" s="24173"/>
      <c r="AS280" s="24174"/>
      <c r="AT280" s="24174"/>
      <c r="AU280" s="24174"/>
      <c r="AV280" s="24174"/>
      <c r="AW280" s="24174"/>
      <c r="AX280" s="24174"/>
      <c r="AY280" s="24174"/>
      <c r="AZ280" s="24174"/>
      <c r="BA280" s="24174"/>
      <c r="BB280" s="24175"/>
      <c r="BC280" s="24173"/>
      <c r="BD280" s="24174"/>
      <c r="BE280" s="24174"/>
      <c r="BF280" s="24174"/>
      <c r="BG280" s="24174"/>
      <c r="BH280" s="24174"/>
      <c r="BI280" s="24174"/>
      <c r="BJ280" s="24174"/>
      <c r="BK280" s="24174"/>
      <c r="BL280" s="24174"/>
      <c r="BM280" s="24175"/>
      <c r="BN280" s="24082"/>
      <c r="BO280" s="24083"/>
      <c r="BP280" s="24174"/>
      <c r="BQ280" s="24174"/>
      <c r="BR280" s="24083"/>
      <c r="BS280" s="24174"/>
      <c r="BT280" s="24174"/>
      <c r="BU280" s="24174"/>
      <c r="BV280" s="24174"/>
      <c r="BW280" s="24174"/>
      <c r="BX280" s="24175"/>
      <c r="BY280" s="24173"/>
      <c r="BZ280" s="24174"/>
      <c r="CA280" s="24174"/>
      <c r="CB280" s="24174"/>
      <c r="CC280" s="24174"/>
      <c r="CD280" s="24174"/>
      <c r="CE280" s="24174"/>
      <c r="CF280" s="24174"/>
      <c r="CG280" s="24174"/>
      <c r="CH280" s="24174"/>
      <c r="CI280" s="24175"/>
      <c r="CJ280" s="24173"/>
      <c r="CK280" s="24174"/>
      <c r="CL280" s="24174"/>
      <c r="CM280" s="24174"/>
      <c r="CN280" s="24174"/>
      <c r="CO280" s="24174"/>
      <c r="CP280" s="24174"/>
      <c r="CQ280" s="24174"/>
      <c r="CR280" s="24174"/>
      <c r="CS280" s="24174"/>
      <c r="CT280" s="24175"/>
      <c r="CU280" s="24173"/>
      <c r="CV280" s="24174"/>
      <c r="CW280" s="24174"/>
      <c r="CX280" s="24174"/>
      <c r="CY280" s="24174"/>
      <c r="CZ280" s="24174"/>
      <c r="DA280" s="24174"/>
      <c r="DB280" s="24174"/>
      <c r="DC280" s="24174"/>
      <c r="DD280" s="24174"/>
      <c r="DE280" s="24175"/>
      <c r="DF280" s="24173"/>
      <c r="DG280" s="24174"/>
      <c r="DH280" s="24174"/>
      <c r="DI280" s="24174"/>
      <c r="DJ280" s="24174"/>
      <c r="DK280" s="24174"/>
      <c r="DL280" s="24174"/>
      <c r="DM280" s="24174"/>
      <c r="DN280" s="24174"/>
      <c r="DO280" s="24174"/>
      <c r="DP280" s="24175"/>
      <c r="DQ280" s="24173"/>
      <c r="DR280" s="24174"/>
      <c r="DS280" s="24174"/>
      <c r="DT280" s="24174"/>
      <c r="DU280" s="24174"/>
      <c r="DV280" s="24174"/>
      <c r="DW280" s="24174"/>
      <c r="DX280" s="24174"/>
      <c r="DY280" s="24174"/>
      <c r="DZ280" s="24174"/>
      <c r="EA280" s="24175"/>
      <c r="EB280" s="24173"/>
      <c r="EC280" s="24174"/>
      <c r="ED280" s="24174"/>
      <c r="EE280" s="24174"/>
      <c r="EF280" s="24174"/>
      <c r="EG280" s="24174"/>
      <c r="EH280" s="24174"/>
      <c r="EI280" s="24174"/>
      <c r="EJ280" s="24174"/>
      <c r="EK280" s="24174"/>
      <c r="EL280" s="24175"/>
      <c r="EM280" s="24173"/>
      <c r="EN280" s="24174"/>
      <c r="EO280" s="24174"/>
      <c r="EP280" s="24174"/>
      <c r="EQ280" s="24174"/>
      <c r="ER280" s="24174"/>
      <c r="ES280" s="24174"/>
      <c r="ET280" s="24174"/>
      <c r="EU280" s="24174"/>
      <c r="EV280" s="24174"/>
      <c r="EW280" s="24175"/>
      <c r="EX280" s="24082"/>
      <c r="EY280" s="24083"/>
      <c r="EZ280" s="24174"/>
      <c r="FA280" s="24174"/>
      <c r="FB280" s="24083"/>
      <c r="FC280" s="24174"/>
      <c r="FD280" s="24174"/>
      <c r="FE280" s="24174"/>
      <c r="FF280" s="24174"/>
      <c r="FG280" s="24174"/>
      <c r="FH280" s="24175"/>
      <c r="FI280" s="24082"/>
      <c r="FJ280" s="24083"/>
      <c r="FK280" s="24174"/>
      <c r="FL280" s="24174"/>
      <c r="FM280" s="24083"/>
      <c r="FN280" s="24174"/>
      <c r="FO280" s="24174"/>
      <c r="FP280" s="24083"/>
      <c r="FQ280" s="24083"/>
      <c r="FR280" s="24083"/>
      <c r="FS280" s="24175"/>
      <c r="FT280" s="24084"/>
      <c r="FU280" s="1184" t="s">
        <v>757</v>
      </c>
      <c r="FV280" s="1568"/>
      <c r="FW280" s="1550"/>
      <c r="FX280" s="1550" t="str">
        <f t="shared" si="4"/>
        <v>Наименование централизованной системы горячего водоснабжения</v>
      </c>
      <c r="FY280" s="1550"/>
      <c r="FZ280" s="1550"/>
      <c r="GA280" s="1561">
        <v>0</v>
      </c>
    </row>
    <row r="281" spans="1:183" s="1747" customFormat="1" ht="23.25" customHeight="1">
      <c r="A281" s="1289"/>
      <c r="B281" s="1289"/>
      <c r="C281" s="1289"/>
      <c r="D281" s="1289"/>
      <c r="E281" s="24089"/>
      <c r="F281" s="24089" t="s">
        <v>133</v>
      </c>
      <c r="G281" s="24089"/>
      <c r="H281" s="24089"/>
      <c r="I281" s="24090" t="str">
        <f>S280&amp;".1"</f>
        <v>1.11.1.1</v>
      </c>
      <c r="J281" s="1289"/>
      <c r="K281" s="1289"/>
      <c r="L281" s="1295"/>
      <c r="M281" s="1674"/>
      <c r="N281" s="1674"/>
      <c r="O281" s="1674"/>
      <c r="P281" s="24092">
        <v>1</v>
      </c>
      <c r="Q281" s="1978"/>
      <c r="R281" s="292"/>
      <c r="S281" s="1976" t="str">
        <f>$I281</f>
        <v>1.11.1.1</v>
      </c>
      <c r="T281" s="221" t="s">
        <v>709</v>
      </c>
      <c r="U281" s="236"/>
      <c r="V281" s="24156"/>
      <c r="W281" s="24157"/>
      <c r="X281" s="24157"/>
      <c r="Y281" s="24157"/>
      <c r="Z281" s="24157"/>
      <c r="AA281" s="24157"/>
      <c r="AB281" s="24157"/>
      <c r="AC281" s="24157"/>
      <c r="AD281" s="24157"/>
      <c r="AE281" s="24157"/>
      <c r="AF281" s="24158"/>
      <c r="AG281" s="24159"/>
      <c r="AH281" s="24160"/>
      <c r="AI281" s="24160"/>
      <c r="AJ281" s="24160"/>
      <c r="AK281" s="24160"/>
      <c r="AL281" s="24160"/>
      <c r="AM281" s="24160"/>
      <c r="AN281" s="24160"/>
      <c r="AO281" s="24160"/>
      <c r="AP281" s="24160"/>
      <c r="AQ281" s="24160"/>
      <c r="AR281" s="24176"/>
      <c r="AS281" s="24177"/>
      <c r="AT281" s="24177"/>
      <c r="AU281" s="24177"/>
      <c r="AV281" s="24177"/>
      <c r="AW281" s="24177"/>
      <c r="AX281" s="24177"/>
      <c r="AY281" s="24177"/>
      <c r="AZ281" s="24177"/>
      <c r="BA281" s="24177"/>
      <c r="BB281" s="24178"/>
      <c r="BC281" s="24176"/>
      <c r="BD281" s="24177"/>
      <c r="BE281" s="24177"/>
      <c r="BF281" s="24177"/>
      <c r="BG281" s="24177"/>
      <c r="BH281" s="24177"/>
      <c r="BI281" s="24177"/>
      <c r="BJ281" s="24177"/>
      <c r="BK281" s="24177"/>
      <c r="BL281" s="24177"/>
      <c r="BM281" s="24178"/>
      <c r="BN281" s="24156"/>
      <c r="BO281" s="24157"/>
      <c r="BP281" s="24177"/>
      <c r="BQ281" s="24177"/>
      <c r="BR281" s="24157"/>
      <c r="BS281" s="24177"/>
      <c r="BT281" s="24177"/>
      <c r="BU281" s="24177"/>
      <c r="BV281" s="24177"/>
      <c r="BW281" s="24177"/>
      <c r="BX281" s="24178"/>
      <c r="BY281" s="24176"/>
      <c r="BZ281" s="24177"/>
      <c r="CA281" s="24177"/>
      <c r="CB281" s="24177"/>
      <c r="CC281" s="24177"/>
      <c r="CD281" s="24177"/>
      <c r="CE281" s="24177"/>
      <c r="CF281" s="24177"/>
      <c r="CG281" s="24177"/>
      <c r="CH281" s="24177"/>
      <c r="CI281" s="24178"/>
      <c r="CJ281" s="24176"/>
      <c r="CK281" s="24177"/>
      <c r="CL281" s="24177"/>
      <c r="CM281" s="24177"/>
      <c r="CN281" s="24177"/>
      <c r="CO281" s="24177"/>
      <c r="CP281" s="24177"/>
      <c r="CQ281" s="24177"/>
      <c r="CR281" s="24177"/>
      <c r="CS281" s="24177"/>
      <c r="CT281" s="24178"/>
      <c r="CU281" s="24176"/>
      <c r="CV281" s="24177"/>
      <c r="CW281" s="24177"/>
      <c r="CX281" s="24177"/>
      <c r="CY281" s="24177"/>
      <c r="CZ281" s="24177"/>
      <c r="DA281" s="24177"/>
      <c r="DB281" s="24177"/>
      <c r="DC281" s="24177"/>
      <c r="DD281" s="24177"/>
      <c r="DE281" s="24178"/>
      <c r="DF281" s="24176"/>
      <c r="DG281" s="24177"/>
      <c r="DH281" s="24177"/>
      <c r="DI281" s="24177"/>
      <c r="DJ281" s="24177"/>
      <c r="DK281" s="24177"/>
      <c r="DL281" s="24177"/>
      <c r="DM281" s="24177"/>
      <c r="DN281" s="24177"/>
      <c r="DO281" s="24177"/>
      <c r="DP281" s="24178"/>
      <c r="DQ281" s="24176"/>
      <c r="DR281" s="24177"/>
      <c r="DS281" s="24177"/>
      <c r="DT281" s="24177"/>
      <c r="DU281" s="24177"/>
      <c r="DV281" s="24177"/>
      <c r="DW281" s="24177"/>
      <c r="DX281" s="24177"/>
      <c r="DY281" s="24177"/>
      <c r="DZ281" s="24177"/>
      <c r="EA281" s="24178"/>
      <c r="EB281" s="24176"/>
      <c r="EC281" s="24177"/>
      <c r="ED281" s="24177"/>
      <c r="EE281" s="24177"/>
      <c r="EF281" s="24177"/>
      <c r="EG281" s="24177"/>
      <c r="EH281" s="24177"/>
      <c r="EI281" s="24177"/>
      <c r="EJ281" s="24177"/>
      <c r="EK281" s="24177"/>
      <c r="EL281" s="24178"/>
      <c r="EM281" s="24176"/>
      <c r="EN281" s="24177"/>
      <c r="EO281" s="24177"/>
      <c r="EP281" s="24177"/>
      <c r="EQ281" s="24177"/>
      <c r="ER281" s="24177"/>
      <c r="ES281" s="24177"/>
      <c r="ET281" s="24177"/>
      <c r="EU281" s="24177"/>
      <c r="EV281" s="24177"/>
      <c r="EW281" s="24178"/>
      <c r="EX281" s="24156"/>
      <c r="EY281" s="24157"/>
      <c r="EZ281" s="24177"/>
      <c r="FA281" s="24177"/>
      <c r="FB281" s="24157"/>
      <c r="FC281" s="24177"/>
      <c r="FD281" s="24177"/>
      <c r="FE281" s="24177"/>
      <c r="FF281" s="24177"/>
      <c r="FG281" s="24177"/>
      <c r="FH281" s="24178"/>
      <c r="FI281" s="24156"/>
      <c r="FJ281" s="24157"/>
      <c r="FK281" s="24177"/>
      <c r="FL281" s="24177"/>
      <c r="FM281" s="24157"/>
      <c r="FN281" s="24177"/>
      <c r="FO281" s="24177"/>
      <c r="FP281" s="24157"/>
      <c r="FQ281" s="24157"/>
      <c r="FR281" s="24157"/>
      <c r="FS281" s="24178"/>
      <c r="FT281" s="24161"/>
      <c r="FU281" s="1184" t="s">
        <v>710</v>
      </c>
      <c r="FV281" s="1568"/>
      <c r="FW281" s="1550"/>
      <c r="FX281" s="1550" t="str">
        <f t="shared" si="4"/>
        <v>Наименование признака дифференциации</v>
      </c>
      <c r="FY281" s="1550"/>
      <c r="FZ281" s="1550"/>
      <c r="GA281" s="1561">
        <v>0</v>
      </c>
    </row>
    <row r="282" spans="1:183" s="1747" customFormat="1" ht="23.25" customHeight="1">
      <c r="A282" s="1289"/>
      <c r="B282" s="1289"/>
      <c r="C282" s="1289"/>
      <c r="D282" s="1289"/>
      <c r="E282" s="24089"/>
      <c r="F282" s="24089" t="s">
        <v>133</v>
      </c>
      <c r="G282" s="24089"/>
      <c r="H282" s="24089"/>
      <c r="I282" s="24091"/>
      <c r="J282" s="24090" t="str">
        <f>I281&amp;".1"</f>
        <v>1.11.1.1.1</v>
      </c>
      <c r="K282" s="1289"/>
      <c r="L282" s="1295" t="s">
        <v>635</v>
      </c>
      <c r="M282" s="1674"/>
      <c r="N282" s="1674"/>
      <c r="O282" s="1674"/>
      <c r="P282" s="24092"/>
      <c r="Q282" s="24092">
        <v>1</v>
      </c>
      <c r="R282" s="293"/>
      <c r="S282" s="1976" t="str">
        <f>$J282</f>
        <v>1.11.1.1.1</v>
      </c>
      <c r="T282" s="222" t="s">
        <v>636</v>
      </c>
      <c r="U282" s="236"/>
      <c r="V282" s="24076"/>
      <c r="W282" s="24077"/>
      <c r="X282" s="24077"/>
      <c r="Y282" s="24077"/>
      <c r="Z282" s="24077"/>
      <c r="AA282" s="24077"/>
      <c r="AB282" s="24077"/>
      <c r="AC282" s="24077"/>
      <c r="AD282" s="24077"/>
      <c r="AE282" s="24077"/>
      <c r="AF282" s="24078"/>
      <c r="AG282" s="24076" t="s">
        <v>769</v>
      </c>
      <c r="AH282" s="24077"/>
      <c r="AI282" s="24077"/>
      <c r="AJ282" s="24077"/>
      <c r="AK282" s="24077"/>
      <c r="AL282" s="24077"/>
      <c r="AM282" s="24077"/>
      <c r="AN282" s="24077"/>
      <c r="AO282" s="24077"/>
      <c r="AP282" s="24077"/>
      <c r="AQ282" s="24077"/>
      <c r="AR282" s="24179"/>
      <c r="AS282" s="24180"/>
      <c r="AT282" s="24180"/>
      <c r="AU282" s="24180"/>
      <c r="AV282" s="24180"/>
      <c r="AW282" s="24180"/>
      <c r="AX282" s="24180"/>
      <c r="AY282" s="24180"/>
      <c r="AZ282" s="24180"/>
      <c r="BA282" s="24180"/>
      <c r="BB282" s="24181"/>
      <c r="BC282" s="24179"/>
      <c r="BD282" s="24180"/>
      <c r="BE282" s="24180"/>
      <c r="BF282" s="24180"/>
      <c r="BG282" s="24180"/>
      <c r="BH282" s="24180"/>
      <c r="BI282" s="24180"/>
      <c r="BJ282" s="24180"/>
      <c r="BK282" s="24180"/>
      <c r="BL282" s="24180"/>
      <c r="BM282" s="24181"/>
      <c r="BN282" s="24076"/>
      <c r="BO282" s="24077"/>
      <c r="BP282" s="24180"/>
      <c r="BQ282" s="24180"/>
      <c r="BR282" s="24077"/>
      <c r="BS282" s="24180"/>
      <c r="BT282" s="24180"/>
      <c r="BU282" s="24180"/>
      <c r="BV282" s="24180"/>
      <c r="BW282" s="24180"/>
      <c r="BX282" s="24181"/>
      <c r="BY282" s="24179"/>
      <c r="BZ282" s="24180"/>
      <c r="CA282" s="24180"/>
      <c r="CB282" s="24180"/>
      <c r="CC282" s="24180"/>
      <c r="CD282" s="24180"/>
      <c r="CE282" s="24180"/>
      <c r="CF282" s="24180"/>
      <c r="CG282" s="24180"/>
      <c r="CH282" s="24180"/>
      <c r="CI282" s="24181"/>
      <c r="CJ282" s="24179"/>
      <c r="CK282" s="24180"/>
      <c r="CL282" s="24180"/>
      <c r="CM282" s="24180"/>
      <c r="CN282" s="24180"/>
      <c r="CO282" s="24180"/>
      <c r="CP282" s="24180"/>
      <c r="CQ282" s="24180"/>
      <c r="CR282" s="24180"/>
      <c r="CS282" s="24180"/>
      <c r="CT282" s="24181"/>
      <c r="CU282" s="24179"/>
      <c r="CV282" s="24180"/>
      <c r="CW282" s="24180"/>
      <c r="CX282" s="24180"/>
      <c r="CY282" s="24180"/>
      <c r="CZ282" s="24180"/>
      <c r="DA282" s="24180"/>
      <c r="DB282" s="24180"/>
      <c r="DC282" s="24180"/>
      <c r="DD282" s="24180"/>
      <c r="DE282" s="24181"/>
      <c r="DF282" s="24179"/>
      <c r="DG282" s="24180"/>
      <c r="DH282" s="24180"/>
      <c r="DI282" s="24180"/>
      <c r="DJ282" s="24180"/>
      <c r="DK282" s="24180"/>
      <c r="DL282" s="24180"/>
      <c r="DM282" s="24180"/>
      <c r="DN282" s="24180"/>
      <c r="DO282" s="24180"/>
      <c r="DP282" s="24181"/>
      <c r="DQ282" s="24179"/>
      <c r="DR282" s="24180"/>
      <c r="DS282" s="24180"/>
      <c r="DT282" s="24180"/>
      <c r="DU282" s="24180"/>
      <c r="DV282" s="24180"/>
      <c r="DW282" s="24180"/>
      <c r="DX282" s="24180"/>
      <c r="DY282" s="24180"/>
      <c r="DZ282" s="24180"/>
      <c r="EA282" s="24181"/>
      <c r="EB282" s="24179"/>
      <c r="EC282" s="24180"/>
      <c r="ED282" s="24180"/>
      <c r="EE282" s="24180"/>
      <c r="EF282" s="24180"/>
      <c r="EG282" s="24180"/>
      <c r="EH282" s="24180"/>
      <c r="EI282" s="24180"/>
      <c r="EJ282" s="24180"/>
      <c r="EK282" s="24180"/>
      <c r="EL282" s="24181"/>
      <c r="EM282" s="24179"/>
      <c r="EN282" s="24180"/>
      <c r="EO282" s="24180"/>
      <c r="EP282" s="24180"/>
      <c r="EQ282" s="24180"/>
      <c r="ER282" s="24180"/>
      <c r="ES282" s="24180"/>
      <c r="ET282" s="24180"/>
      <c r="EU282" s="24180"/>
      <c r="EV282" s="24180"/>
      <c r="EW282" s="24181"/>
      <c r="EX282" s="24076"/>
      <c r="EY282" s="24077"/>
      <c r="EZ282" s="24180"/>
      <c r="FA282" s="24180"/>
      <c r="FB282" s="24077"/>
      <c r="FC282" s="24180"/>
      <c r="FD282" s="24180"/>
      <c r="FE282" s="24180"/>
      <c r="FF282" s="24180"/>
      <c r="FG282" s="24180"/>
      <c r="FH282" s="24181"/>
      <c r="FI282" s="24076"/>
      <c r="FJ282" s="24077"/>
      <c r="FK282" s="24180"/>
      <c r="FL282" s="24180"/>
      <c r="FM282" s="24077"/>
      <c r="FN282" s="24180"/>
      <c r="FO282" s="24180"/>
      <c r="FP282" s="24077"/>
      <c r="FQ282" s="24077"/>
      <c r="FR282" s="24077"/>
      <c r="FS282" s="24181"/>
      <c r="FT282" s="24078"/>
      <c r="FU282" s="1233" t="s">
        <v>711</v>
      </c>
      <c r="FV282" s="1568"/>
      <c r="FW282" s="1550"/>
      <c r="FX282" s="1550" t="str">
        <f t="shared" si="4"/>
        <v>Группа потребителей</v>
      </c>
      <c r="FY282" s="1550"/>
      <c r="FZ282" s="1550"/>
      <c r="GA282" s="1561">
        <v>0</v>
      </c>
    </row>
    <row r="283" spans="1:183" s="1747" customFormat="1" ht="23.25" customHeight="1">
      <c r="A283" s="1289"/>
      <c r="B283" s="1289"/>
      <c r="C283" s="1289"/>
      <c r="D283" s="1289"/>
      <c r="E283" s="24089"/>
      <c r="F283" s="24089" t="s">
        <v>133</v>
      </c>
      <c r="G283" s="24089"/>
      <c r="H283" s="24089"/>
      <c r="I283" s="24091"/>
      <c r="J283" s="24091"/>
      <c r="K283" s="24090" t="str">
        <f>J282&amp;".1"</f>
        <v>1.11.1.1.1.1</v>
      </c>
      <c r="L283" s="1295"/>
      <c r="M283" s="1674"/>
      <c r="N283" s="1674"/>
      <c r="O283" s="1674"/>
      <c r="P283" s="24092"/>
      <c r="Q283" s="24092"/>
      <c r="R283" s="293">
        <v>1</v>
      </c>
      <c r="S283" s="1976" t="str">
        <f>$K283</f>
        <v>1.11.1.1.1.1</v>
      </c>
      <c r="T283" s="1363"/>
      <c r="U283" s="236"/>
      <c r="V283" s="1286"/>
      <c r="W283" s="1286"/>
      <c r="X283" s="1286"/>
      <c r="Y283" s="1286"/>
      <c r="Z283" s="1286"/>
      <c r="AA283" s="1286"/>
      <c r="AB283" s="1286"/>
      <c r="AC283" s="24086"/>
      <c r="AD283" s="24085" t="s">
        <v>59</v>
      </c>
      <c r="AE283" s="24086"/>
      <c r="AF283" s="24085" t="s">
        <v>59</v>
      </c>
      <c r="AG283" s="687">
        <v>236.7</v>
      </c>
      <c r="AH283" s="687">
        <v>29.55</v>
      </c>
      <c r="AI283" s="687"/>
      <c r="AJ283" s="687"/>
      <c r="AK283" s="687">
        <v>3185.03</v>
      </c>
      <c r="AL283" s="687"/>
      <c r="AM283" s="687"/>
      <c r="AN283" s="24093" t="s">
        <v>9</v>
      </c>
      <c r="AO283" s="23957" t="s">
        <v>59</v>
      </c>
      <c r="AP283" s="24095" t="s">
        <v>770</v>
      </c>
      <c r="AQ283" s="23957" t="s">
        <v>59</v>
      </c>
      <c r="AR283" s="687">
        <v>263.89999999999998</v>
      </c>
      <c r="AS283" s="687">
        <v>32.51</v>
      </c>
      <c r="AT283" s="687"/>
      <c r="AU283" s="687"/>
      <c r="AV283" s="687">
        <v>3557.68</v>
      </c>
      <c r="AW283" s="687"/>
      <c r="AX283" s="687"/>
      <c r="AY283" s="24093" t="s">
        <v>772</v>
      </c>
      <c r="AZ283" s="23957" t="s">
        <v>59</v>
      </c>
      <c r="BA283" s="24093" t="s">
        <v>773</v>
      </c>
      <c r="BB283" s="23957" t="s">
        <v>59</v>
      </c>
      <c r="BC283" s="687">
        <v>277.26</v>
      </c>
      <c r="BD283" s="687">
        <v>45.87</v>
      </c>
      <c r="BE283" s="687"/>
      <c r="BF283" s="687"/>
      <c r="BG283" s="687">
        <v>3557.68</v>
      </c>
      <c r="BH283" s="687"/>
      <c r="BI283" s="687"/>
      <c r="BJ283" s="24093" t="s">
        <v>774</v>
      </c>
      <c r="BK283" s="23957" t="s">
        <v>59</v>
      </c>
      <c r="BL283" s="24093" t="s">
        <v>775</v>
      </c>
      <c r="BM283" s="23957" t="s">
        <v>59</v>
      </c>
      <c r="BN283" s="687">
        <v>304.8</v>
      </c>
      <c r="BO283" s="687">
        <v>45.87</v>
      </c>
      <c r="BP283" s="687"/>
      <c r="BQ283" s="687"/>
      <c r="BR283" s="687">
        <v>3981.05</v>
      </c>
      <c r="BS283" s="687"/>
      <c r="BT283" s="687"/>
      <c r="BU283" s="24093" t="s">
        <v>776</v>
      </c>
      <c r="BV283" s="23957" t="s">
        <v>59</v>
      </c>
      <c r="BW283" s="24093" t="s">
        <v>777</v>
      </c>
      <c r="BX283" s="23957" t="s">
        <v>59</v>
      </c>
      <c r="BY283" s="687">
        <v>304.8</v>
      </c>
      <c r="BZ283" s="687">
        <v>45.87</v>
      </c>
      <c r="CA283" s="687"/>
      <c r="CB283" s="687"/>
      <c r="CC283" s="687">
        <v>3981.05</v>
      </c>
      <c r="CD283" s="687"/>
      <c r="CE283" s="687"/>
      <c r="CF283" s="24093" t="s">
        <v>778</v>
      </c>
      <c r="CG283" s="23957" t="s">
        <v>59</v>
      </c>
      <c r="CH283" s="24185">
        <v>46295</v>
      </c>
      <c r="CI283" s="23957" t="s">
        <v>59</v>
      </c>
      <c r="CJ283" s="687">
        <v>335.92</v>
      </c>
      <c r="CK283" s="687">
        <v>51.36</v>
      </c>
      <c r="CL283" s="687"/>
      <c r="CM283" s="687"/>
      <c r="CN283" s="687">
        <v>4375.17</v>
      </c>
      <c r="CO283" s="687"/>
      <c r="CP283" s="687"/>
      <c r="CQ283" s="24185">
        <v>46296</v>
      </c>
      <c r="CR283" s="23957" t="s">
        <v>59</v>
      </c>
      <c r="CS283" s="24093" t="s">
        <v>779</v>
      </c>
      <c r="CT283" s="23957" t="s">
        <v>59</v>
      </c>
      <c r="CU283" s="687">
        <f>CJ283</f>
        <v>335.92</v>
      </c>
      <c r="CV283" s="687">
        <f>CK283</f>
        <v>51.36</v>
      </c>
      <c r="CW283" s="687"/>
      <c r="CX283" s="687"/>
      <c r="CY283" s="687">
        <f>CN283</f>
        <v>4375.17</v>
      </c>
      <c r="CZ283" s="687"/>
      <c r="DA283" s="687"/>
      <c r="DB283" s="24093" t="s">
        <v>780</v>
      </c>
      <c r="DC283" s="23957" t="s">
        <v>59</v>
      </c>
      <c r="DD283" s="24093" t="s">
        <v>781</v>
      </c>
      <c r="DE283" s="23957" t="s">
        <v>59</v>
      </c>
      <c r="DF283" s="687">
        <v>361.05</v>
      </c>
      <c r="DG283" s="687">
        <v>51.73</v>
      </c>
      <c r="DH283" s="687"/>
      <c r="DI283" s="687"/>
      <c r="DJ283" s="687">
        <v>4755.8</v>
      </c>
      <c r="DK283" s="687"/>
      <c r="DL283" s="687"/>
      <c r="DM283" s="24093" t="s">
        <v>782</v>
      </c>
      <c r="DN283" s="23957" t="s">
        <v>59</v>
      </c>
      <c r="DO283" s="24093" t="s">
        <v>783</v>
      </c>
      <c r="DP283" s="23957" t="s">
        <v>59</v>
      </c>
      <c r="DQ283" s="687">
        <v>360.86</v>
      </c>
      <c r="DR283" s="687">
        <v>51.54</v>
      </c>
      <c r="DS283" s="687"/>
      <c r="DT283" s="687"/>
      <c r="DU283" s="687">
        <v>4755.8</v>
      </c>
      <c r="DV283" s="687"/>
      <c r="DW283" s="687"/>
      <c r="DX283" s="24185" t="s">
        <v>784</v>
      </c>
      <c r="DY283" s="23957" t="s">
        <v>59</v>
      </c>
      <c r="DZ283" s="24093" t="s">
        <v>785</v>
      </c>
      <c r="EA283" s="23957" t="s">
        <v>59</v>
      </c>
      <c r="EB283" s="687">
        <v>381.67</v>
      </c>
      <c r="EC283" s="687">
        <v>51.54</v>
      </c>
      <c r="ED283" s="687"/>
      <c r="EE283" s="687"/>
      <c r="EF283" s="687">
        <v>5075.75</v>
      </c>
      <c r="EG283" s="687"/>
      <c r="EH283" s="687"/>
      <c r="EI283" s="24093" t="s">
        <v>786</v>
      </c>
      <c r="EJ283" s="23957" t="s">
        <v>59</v>
      </c>
      <c r="EK283" s="24093" t="s">
        <v>787</v>
      </c>
      <c r="EL283" s="23957" t="s">
        <v>6</v>
      </c>
      <c r="EM283" s="1286"/>
      <c r="EN283" s="1286"/>
      <c r="EO283" s="1286"/>
      <c r="EP283" s="1286"/>
      <c r="EQ283" s="1286"/>
      <c r="ER283" s="1286"/>
      <c r="ES283" s="1286"/>
      <c r="ET283" s="24086"/>
      <c r="EU283" s="24085" t="s">
        <v>59</v>
      </c>
      <c r="EV283" s="24086"/>
      <c r="EW283" s="24085" t="s">
        <v>59</v>
      </c>
      <c r="EX283" s="1286"/>
      <c r="EY283" s="1286"/>
      <c r="EZ283" s="1286"/>
      <c r="FA283" s="1286"/>
      <c r="FB283" s="1286"/>
      <c r="FC283" s="1286"/>
      <c r="FD283" s="1286"/>
      <c r="FE283" s="24086"/>
      <c r="FF283" s="24085" t="s">
        <v>59</v>
      </c>
      <c r="FG283" s="24086"/>
      <c r="FH283" s="24085" t="s">
        <v>59</v>
      </c>
      <c r="FI283" s="1286"/>
      <c r="FJ283" s="1286"/>
      <c r="FK283" s="1286"/>
      <c r="FL283" s="1286"/>
      <c r="FM283" s="1286"/>
      <c r="FN283" s="1286"/>
      <c r="FO283" s="1286"/>
      <c r="FP283" s="24086"/>
      <c r="FQ283" s="24085" t="s">
        <v>59</v>
      </c>
      <c r="FR283" s="24086"/>
      <c r="FS283" s="24085" t="s">
        <v>59</v>
      </c>
      <c r="FT283" s="1364"/>
      <c r="FU28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83" s="1568" t="e">
        <f ca="1">STRCHECKDATE(V284:FT284)</f>
        <v>#NAME?</v>
      </c>
      <c r="FW283" s="1550"/>
      <c r="FX283" s="1550" t="str">
        <f t="shared" si="4"/>
        <v/>
      </c>
      <c r="FY283" s="1550"/>
      <c r="FZ283" s="1550"/>
      <c r="GA283" s="1561">
        <v>0</v>
      </c>
    </row>
    <row r="284" spans="1:183" s="1747" customFormat="1" ht="14.25" customHeight="1">
      <c r="A284" s="1289"/>
      <c r="B284" s="1289"/>
      <c r="C284" s="1289"/>
      <c r="D284" s="1289"/>
      <c r="E284" s="24089"/>
      <c r="F284" s="24089" t="s">
        <v>133</v>
      </c>
      <c r="G284" s="24089"/>
      <c r="H284" s="24089"/>
      <c r="I284" s="24091"/>
      <c r="J284" s="24091"/>
      <c r="K284" s="24090"/>
      <c r="L284" s="1295"/>
      <c r="M284" s="1674"/>
      <c r="N284" s="1674"/>
      <c r="O284" s="1674"/>
      <c r="P284" s="24092"/>
      <c r="Q284" s="24092"/>
      <c r="R284" s="293"/>
      <c r="S284" s="1982"/>
      <c r="T284" s="236"/>
      <c r="U284" s="236"/>
      <c r="V284" s="1286"/>
      <c r="W284" s="1286"/>
      <c r="X284" s="1286"/>
      <c r="Y284" s="1286"/>
      <c r="Z284" s="1286"/>
      <c r="AA284" s="1286"/>
      <c r="AB284" s="1286"/>
      <c r="AC284" s="24085"/>
      <c r="AD284" s="24085"/>
      <c r="AE284" s="24085"/>
      <c r="AF284" s="24085"/>
      <c r="AG284" s="261"/>
      <c r="AH284" s="261"/>
      <c r="AI284" s="261"/>
      <c r="AJ284" s="261"/>
      <c r="AK284" s="261"/>
      <c r="AL284" s="261"/>
      <c r="AM284" s="261"/>
      <c r="AN284" s="24094"/>
      <c r="AO284" s="23957"/>
      <c r="AP284" s="24096"/>
      <c r="AQ284" s="23957"/>
      <c r="AR284" s="261"/>
      <c r="AS284" s="261"/>
      <c r="AT284" s="261"/>
      <c r="AU284" s="261"/>
      <c r="AV284" s="261"/>
      <c r="AW284" s="261"/>
      <c r="AX284" s="261"/>
      <c r="AY284" s="24094"/>
      <c r="AZ284" s="23957"/>
      <c r="BA284" s="24094"/>
      <c r="BB284" s="23957"/>
      <c r="BC284" s="261"/>
      <c r="BD284" s="261"/>
      <c r="BE284" s="261"/>
      <c r="BF284" s="261"/>
      <c r="BG284" s="261"/>
      <c r="BH284" s="261"/>
      <c r="BI284" s="261"/>
      <c r="BJ284" s="24094"/>
      <c r="BK284" s="23957"/>
      <c r="BL284" s="24094"/>
      <c r="BM284" s="23957"/>
      <c r="BN284" s="261"/>
      <c r="BO284" s="261"/>
      <c r="BP284" s="261"/>
      <c r="BQ284" s="261"/>
      <c r="BR284" s="261"/>
      <c r="BS284" s="261"/>
      <c r="BT284" s="261"/>
      <c r="BU284" s="24094"/>
      <c r="BV284" s="23957"/>
      <c r="BW284" s="24094"/>
      <c r="BX284" s="23957"/>
      <c r="BY284" s="261"/>
      <c r="BZ284" s="261"/>
      <c r="CA284" s="261"/>
      <c r="CB284" s="261"/>
      <c r="CC284" s="261"/>
      <c r="CD284" s="261"/>
      <c r="CE284" s="261"/>
      <c r="CF284" s="24094"/>
      <c r="CG284" s="23957"/>
      <c r="CH284" s="24094"/>
      <c r="CI284" s="23957"/>
      <c r="CJ284" s="261"/>
      <c r="CK284" s="261"/>
      <c r="CL284" s="261"/>
      <c r="CM284" s="261"/>
      <c r="CN284" s="261"/>
      <c r="CO284" s="261"/>
      <c r="CP284" s="261"/>
      <c r="CQ284" s="24094"/>
      <c r="CR284" s="23957"/>
      <c r="CS284" s="24094"/>
      <c r="CT284" s="23957"/>
      <c r="CU284" s="261"/>
      <c r="CV284" s="261"/>
      <c r="CW284" s="261"/>
      <c r="CX284" s="261"/>
      <c r="CY284" s="261"/>
      <c r="CZ284" s="261"/>
      <c r="DA284" s="261"/>
      <c r="DB284" s="24094"/>
      <c r="DC284" s="23957"/>
      <c r="DD284" s="24094"/>
      <c r="DE284" s="23957"/>
      <c r="DF284" s="261"/>
      <c r="DG284" s="261"/>
      <c r="DH284" s="261"/>
      <c r="DI284" s="261"/>
      <c r="DJ284" s="261"/>
      <c r="DK284" s="261"/>
      <c r="DL284" s="261"/>
      <c r="DM284" s="24094"/>
      <c r="DN284" s="23957"/>
      <c r="DO284" s="24094"/>
      <c r="DP284" s="23957"/>
      <c r="DQ284" s="261"/>
      <c r="DR284" s="261"/>
      <c r="DS284" s="261"/>
      <c r="DT284" s="261"/>
      <c r="DU284" s="261"/>
      <c r="DV284" s="261"/>
      <c r="DW284" s="261"/>
      <c r="DX284" s="24094"/>
      <c r="DY284" s="23957"/>
      <c r="DZ284" s="24094"/>
      <c r="EA284" s="23957"/>
      <c r="EB284" s="261"/>
      <c r="EC284" s="261"/>
      <c r="ED284" s="261"/>
      <c r="EE284" s="261"/>
      <c r="EF284" s="261"/>
      <c r="EG284" s="261"/>
      <c r="EH284" s="261"/>
      <c r="EI284" s="24094"/>
      <c r="EJ284" s="23957"/>
      <c r="EK284" s="24094"/>
      <c r="EL284" s="23957"/>
      <c r="EM284" s="1286"/>
      <c r="EN284" s="1286"/>
      <c r="EO284" s="1286"/>
      <c r="EP284" s="1286"/>
      <c r="EQ284" s="1286"/>
      <c r="ER284" s="1286"/>
      <c r="ES284" s="1286"/>
      <c r="ET284" s="24085"/>
      <c r="EU284" s="24085"/>
      <c r="EV284" s="24085"/>
      <c r="EW284" s="24085"/>
      <c r="EX284" s="1286"/>
      <c r="EY284" s="1286"/>
      <c r="EZ284" s="1286"/>
      <c r="FA284" s="1286"/>
      <c r="FB284" s="1286"/>
      <c r="FC284" s="1286"/>
      <c r="FD284" s="1286"/>
      <c r="FE284" s="24085"/>
      <c r="FF284" s="24085"/>
      <c r="FG284" s="24085"/>
      <c r="FH284" s="24085"/>
      <c r="FI284" s="1286"/>
      <c r="FJ284" s="1286"/>
      <c r="FK284" s="1286"/>
      <c r="FL284" s="1286"/>
      <c r="FM284" s="1286"/>
      <c r="FN284" s="1286"/>
      <c r="FO284" s="1286"/>
      <c r="FP284" s="24085"/>
      <c r="FQ284" s="24085"/>
      <c r="FR284" s="24085"/>
      <c r="FS284" s="24085"/>
      <c r="FT284" s="1365"/>
      <c r="FU284" s="24162"/>
      <c r="FV284" s="1568"/>
      <c r="FW284" s="1550"/>
      <c r="FX284" s="1550" t="str">
        <f t="shared" si="4"/>
        <v/>
      </c>
      <c r="FY284" s="1550"/>
      <c r="FZ284" s="1550"/>
      <c r="GA284" s="1561">
        <v>0</v>
      </c>
    </row>
    <row r="285" spans="1:183" s="1747" customFormat="1" ht="21" customHeight="1">
      <c r="A285" s="1289"/>
      <c r="B285" s="1289"/>
      <c r="C285" s="1289"/>
      <c r="D285" s="1289"/>
      <c r="E285" s="24089"/>
      <c r="F285" s="24089" t="s">
        <v>133</v>
      </c>
      <c r="G285" s="24089"/>
      <c r="H285" s="24089"/>
      <c r="I285" s="24091"/>
      <c r="J285" s="24090"/>
      <c r="K285" s="1289"/>
      <c r="L285" s="1295"/>
      <c r="M285" s="1674"/>
      <c r="N285" s="1674"/>
      <c r="O285" s="1674"/>
      <c r="P285" s="24092"/>
      <c r="Q285" s="24092"/>
      <c r="R285" s="292"/>
      <c r="S285" s="4219"/>
      <c r="T285" s="4220" t="s">
        <v>712</v>
      </c>
      <c r="U285" s="4221"/>
      <c r="V285" s="4222"/>
      <c r="W285" s="4223"/>
      <c r="X285" s="4224"/>
      <c r="Y285" s="4225"/>
      <c r="Z285" s="4226"/>
      <c r="AA285" s="4227"/>
      <c r="AB285" s="4228"/>
      <c r="AC285" s="4229"/>
      <c r="AD285" s="4230"/>
      <c r="AE285" s="4231"/>
      <c r="AF285" s="4232"/>
      <c r="AG285" s="4233"/>
      <c r="AH285" s="4234"/>
      <c r="AI285" s="4235"/>
      <c r="AJ285" s="4236"/>
      <c r="AK285" s="4237"/>
      <c r="AL285" s="4238"/>
      <c r="AM285" s="4239"/>
      <c r="AN285" s="4240"/>
      <c r="AO285" s="4241"/>
      <c r="AP285" s="4242"/>
      <c r="AQ285" s="4243"/>
      <c r="AR285" s="7438"/>
      <c r="AS285" s="7439"/>
      <c r="AT285" s="7440"/>
      <c r="AU285" s="7441"/>
      <c r="AV285" s="7442"/>
      <c r="AW285" s="7443"/>
      <c r="AX285" s="7444"/>
      <c r="AY285" s="7445"/>
      <c r="AZ285" s="7446"/>
      <c r="BA285" s="7447"/>
      <c r="BB285" s="7448"/>
      <c r="BC285" s="7449"/>
      <c r="BD285" s="7450"/>
      <c r="BE285" s="15590"/>
      <c r="BF285" s="15591"/>
      <c r="BG285" s="21894"/>
      <c r="BH285" s="15592"/>
      <c r="BI285" s="15593"/>
      <c r="BJ285" s="15594"/>
      <c r="BK285" s="15595"/>
      <c r="BL285" s="15596"/>
      <c r="BM285" s="15597"/>
      <c r="BN285" s="4244"/>
      <c r="BO285" s="4245"/>
      <c r="BP285" s="15598"/>
      <c r="BQ285" s="15599"/>
      <c r="BR285" s="4246"/>
      <c r="BS285" s="15600"/>
      <c r="BT285" s="15601"/>
      <c r="BU285" s="15602"/>
      <c r="BV285" s="15603"/>
      <c r="BW285" s="15604"/>
      <c r="BX285" s="15605"/>
      <c r="BY285" s="15606"/>
      <c r="BZ285" s="15607"/>
      <c r="CA285" s="15608"/>
      <c r="CB285" s="15609"/>
      <c r="CC285" s="15610"/>
      <c r="CD285" s="15611"/>
      <c r="CE285" s="15612"/>
      <c r="CF285" s="15613"/>
      <c r="CG285" s="15614"/>
      <c r="CH285" s="15615"/>
      <c r="CI285" s="15616"/>
      <c r="CJ285" s="15617"/>
      <c r="CK285" s="15618"/>
      <c r="CL285" s="15619"/>
      <c r="CM285" s="15620"/>
      <c r="CN285" s="15621"/>
      <c r="CO285" s="15622"/>
      <c r="CP285" s="15623"/>
      <c r="CQ285" s="15624"/>
      <c r="CR285" s="15625"/>
      <c r="CS285" s="15626"/>
      <c r="CT285" s="15627"/>
      <c r="CU285" s="15628"/>
      <c r="CV285" s="15629"/>
      <c r="CW285" s="15630"/>
      <c r="CX285" s="15631"/>
      <c r="CY285" s="15632"/>
      <c r="CZ285" s="15633"/>
      <c r="DA285" s="15634"/>
      <c r="DB285" s="15635"/>
      <c r="DC285" s="15636"/>
      <c r="DD285" s="15637"/>
      <c r="DE285" s="15638"/>
      <c r="DF285" s="15639"/>
      <c r="DG285" s="15640"/>
      <c r="DH285" s="15641"/>
      <c r="DI285" s="15642"/>
      <c r="DJ285" s="15643"/>
      <c r="DK285" s="15644"/>
      <c r="DL285" s="15645"/>
      <c r="DM285" s="15646"/>
      <c r="DN285" s="15647"/>
      <c r="DO285" s="15648"/>
      <c r="DP285" s="15649"/>
      <c r="DQ285" s="15650"/>
      <c r="DR285" s="15651"/>
      <c r="DS285" s="15652"/>
      <c r="DT285" s="15653"/>
      <c r="DU285" s="15654"/>
      <c r="DV285" s="15655"/>
      <c r="DW285" s="15656"/>
      <c r="DX285" s="15657"/>
      <c r="DY285" s="15658"/>
      <c r="DZ285" s="15659"/>
      <c r="EA285" s="15660"/>
      <c r="EB285" s="15661"/>
      <c r="EC285" s="15662"/>
      <c r="ED285" s="15663"/>
      <c r="EE285" s="15664"/>
      <c r="EF285" s="15665"/>
      <c r="EG285" s="15666"/>
      <c r="EH285" s="15667"/>
      <c r="EI285" s="15668"/>
      <c r="EJ285" s="15669"/>
      <c r="EK285" s="15670"/>
      <c r="EL285" s="15671"/>
      <c r="EM285" s="21638"/>
      <c r="EN285" s="21639"/>
      <c r="EO285" s="15672"/>
      <c r="EP285" s="15673"/>
      <c r="EQ285" s="21640"/>
      <c r="ER285" s="15674"/>
      <c r="ES285" s="15675"/>
      <c r="ET285" s="15676"/>
      <c r="EU285" s="15677"/>
      <c r="EV285" s="15678"/>
      <c r="EW285" s="15679"/>
      <c r="EX285" s="4247"/>
      <c r="EY285" s="4248"/>
      <c r="EZ285" s="15680"/>
      <c r="FA285" s="15681"/>
      <c r="FB285" s="4249"/>
      <c r="FC285" s="15682"/>
      <c r="FD285" s="15683"/>
      <c r="FE285" s="15684"/>
      <c r="FF285" s="15685"/>
      <c r="FG285" s="15686"/>
      <c r="FH285" s="5730"/>
      <c r="FI285" s="22854"/>
      <c r="FJ285" s="22855"/>
      <c r="FK285" s="23612"/>
      <c r="FL285" s="23613"/>
      <c r="FM285" s="22856"/>
      <c r="FN285" s="23614"/>
      <c r="FO285" s="23615"/>
      <c r="FP285" s="22857"/>
      <c r="FQ285" s="22858"/>
      <c r="FR285" s="22859"/>
      <c r="FS285" s="23616"/>
      <c r="FT285" s="4250"/>
      <c r="FU285" s="1184" t="s">
        <v>713</v>
      </c>
      <c r="FV285" s="1568"/>
      <c r="FW285" s="1550"/>
      <c r="FX285" s="1550" t="str">
        <f t="shared" si="4"/>
        <v>Добавить значение признака дифференциации</v>
      </c>
      <c r="FY285" s="1550"/>
      <c r="FZ285" s="1550"/>
      <c r="GA285" s="1561">
        <v>0</v>
      </c>
    </row>
    <row r="286" spans="1:183" s="1747" customFormat="1" ht="23.25" customHeight="1">
      <c r="A286" s="1289"/>
      <c r="B286" s="1289"/>
      <c r="C286" s="1289"/>
      <c r="D286" s="1289"/>
      <c r="E286" s="24089"/>
      <c r="F286" s="24089"/>
      <c r="G286" s="24089"/>
      <c r="H286" s="24089"/>
      <c r="I286" s="24091"/>
      <c r="J286" s="24090" t="str">
        <f>I281&amp;".2"</f>
        <v>1.11.1.1.2</v>
      </c>
      <c r="K286" s="1289"/>
      <c r="L286" s="1295" t="s">
        <v>635</v>
      </c>
      <c r="M286" s="1674"/>
      <c r="N286" s="1674"/>
      <c r="O286" s="1674"/>
      <c r="P286" s="24092"/>
      <c r="Q286" s="24206" t="s">
        <v>96</v>
      </c>
      <c r="R286" s="293"/>
      <c r="S286" s="1976" t="str">
        <f>$J286</f>
        <v>1.11.1.1.2</v>
      </c>
      <c r="T286" s="222" t="s">
        <v>636</v>
      </c>
      <c r="U286" s="236"/>
      <c r="V286" s="24076"/>
      <c r="W286" s="24077"/>
      <c r="X286" s="24077"/>
      <c r="Y286" s="24077"/>
      <c r="Z286" s="24077"/>
      <c r="AA286" s="24077"/>
      <c r="AB286" s="24077"/>
      <c r="AC286" s="24077"/>
      <c r="AD286" s="24077"/>
      <c r="AE286" s="24077"/>
      <c r="AF286" s="24078"/>
      <c r="AG286" s="24076" t="s">
        <v>771</v>
      </c>
      <c r="AH286" s="24077"/>
      <c r="AI286" s="24077"/>
      <c r="AJ286" s="24077"/>
      <c r="AK286" s="24077"/>
      <c r="AL286" s="24077"/>
      <c r="AM286" s="24077"/>
      <c r="AN286" s="24077"/>
      <c r="AO286" s="24077"/>
      <c r="AP286" s="24077"/>
      <c r="AQ286" s="24077"/>
      <c r="AR286" s="24179"/>
      <c r="AS286" s="24180"/>
      <c r="AT286" s="24180"/>
      <c r="AU286" s="24180"/>
      <c r="AV286" s="24180"/>
      <c r="AW286" s="24180"/>
      <c r="AX286" s="24180"/>
      <c r="AY286" s="24180"/>
      <c r="AZ286" s="24180"/>
      <c r="BA286" s="24180"/>
      <c r="BB286" s="24181"/>
      <c r="BC286" s="24179"/>
      <c r="BD286" s="24180"/>
      <c r="BE286" s="24180"/>
      <c r="BF286" s="24180"/>
      <c r="BG286" s="24180"/>
      <c r="BH286" s="24180"/>
      <c r="BI286" s="24180"/>
      <c r="BJ286" s="24180"/>
      <c r="BK286" s="24180"/>
      <c r="BL286" s="24180"/>
      <c r="BM286" s="24181"/>
      <c r="BN286" s="24076"/>
      <c r="BO286" s="24077"/>
      <c r="BP286" s="24180"/>
      <c r="BQ286" s="24180"/>
      <c r="BR286" s="24077"/>
      <c r="BS286" s="24180"/>
      <c r="BT286" s="24180"/>
      <c r="BU286" s="24180"/>
      <c r="BV286" s="24180"/>
      <c r="BW286" s="24180"/>
      <c r="BX286" s="24181"/>
      <c r="BY286" s="24179"/>
      <c r="BZ286" s="24180"/>
      <c r="CA286" s="24180"/>
      <c r="CB286" s="24180"/>
      <c r="CC286" s="24180"/>
      <c r="CD286" s="24180"/>
      <c r="CE286" s="24180"/>
      <c r="CF286" s="24180"/>
      <c r="CG286" s="24180"/>
      <c r="CH286" s="24180"/>
      <c r="CI286" s="24181"/>
      <c r="CJ286" s="24179"/>
      <c r="CK286" s="24180"/>
      <c r="CL286" s="24180"/>
      <c r="CM286" s="24180"/>
      <c r="CN286" s="24180"/>
      <c r="CO286" s="24180"/>
      <c r="CP286" s="24180"/>
      <c r="CQ286" s="24180"/>
      <c r="CR286" s="24180"/>
      <c r="CS286" s="24180"/>
      <c r="CT286" s="24181"/>
      <c r="CU286" s="24179"/>
      <c r="CV286" s="24180"/>
      <c r="CW286" s="24180"/>
      <c r="CX286" s="24180"/>
      <c r="CY286" s="24180"/>
      <c r="CZ286" s="24180"/>
      <c r="DA286" s="24180"/>
      <c r="DB286" s="24180"/>
      <c r="DC286" s="24180"/>
      <c r="DD286" s="24180"/>
      <c r="DE286" s="24181"/>
      <c r="DF286" s="24179"/>
      <c r="DG286" s="24180"/>
      <c r="DH286" s="24180"/>
      <c r="DI286" s="24180"/>
      <c r="DJ286" s="24180"/>
      <c r="DK286" s="24180"/>
      <c r="DL286" s="24180"/>
      <c r="DM286" s="24180"/>
      <c r="DN286" s="24180"/>
      <c r="DO286" s="24180"/>
      <c r="DP286" s="24181"/>
      <c r="DQ286" s="24179"/>
      <c r="DR286" s="24180"/>
      <c r="DS286" s="24180"/>
      <c r="DT286" s="24180"/>
      <c r="DU286" s="24180"/>
      <c r="DV286" s="24180"/>
      <c r="DW286" s="24180"/>
      <c r="DX286" s="24180"/>
      <c r="DY286" s="24180"/>
      <c r="DZ286" s="24180"/>
      <c r="EA286" s="24181"/>
      <c r="EB286" s="24179"/>
      <c r="EC286" s="24180"/>
      <c r="ED286" s="24180"/>
      <c r="EE286" s="24180"/>
      <c r="EF286" s="24180"/>
      <c r="EG286" s="24180"/>
      <c r="EH286" s="24180"/>
      <c r="EI286" s="24180"/>
      <c r="EJ286" s="24180"/>
      <c r="EK286" s="24180"/>
      <c r="EL286" s="24181"/>
      <c r="EM286" s="24179"/>
      <c r="EN286" s="24180"/>
      <c r="EO286" s="24180"/>
      <c r="EP286" s="24180"/>
      <c r="EQ286" s="24180"/>
      <c r="ER286" s="24180"/>
      <c r="ES286" s="24180"/>
      <c r="ET286" s="24180"/>
      <c r="EU286" s="24180"/>
      <c r="EV286" s="24180"/>
      <c r="EW286" s="24181"/>
      <c r="EX286" s="24076"/>
      <c r="EY286" s="24077"/>
      <c r="EZ286" s="24180"/>
      <c r="FA286" s="24180"/>
      <c r="FB286" s="24077"/>
      <c r="FC286" s="24180"/>
      <c r="FD286" s="24180"/>
      <c r="FE286" s="24180"/>
      <c r="FF286" s="24180"/>
      <c r="FG286" s="24180"/>
      <c r="FH286" s="24181"/>
      <c r="FI286" s="24076"/>
      <c r="FJ286" s="24077"/>
      <c r="FK286" s="24180"/>
      <c r="FL286" s="24180"/>
      <c r="FM286" s="24077"/>
      <c r="FN286" s="24180"/>
      <c r="FO286" s="24180"/>
      <c r="FP286" s="24077"/>
      <c r="FQ286" s="24077"/>
      <c r="FR286" s="24077"/>
      <c r="FS286" s="24181"/>
      <c r="FT286" s="24078"/>
      <c r="FU286" s="1233" t="s">
        <v>711</v>
      </c>
      <c r="FV286" s="1568"/>
      <c r="FW286" s="1550"/>
      <c r="FX286" s="1550" t="str">
        <f t="shared" si="4"/>
        <v>Группа потребителей</v>
      </c>
      <c r="FY286" s="1550"/>
      <c r="FZ286" s="1550"/>
      <c r="GA286" s="1561">
        <v>0</v>
      </c>
    </row>
    <row r="287" spans="1:183" s="1747" customFormat="1" ht="23.25" customHeight="1">
      <c r="A287" s="1289"/>
      <c r="B287" s="1289"/>
      <c r="C287" s="1289"/>
      <c r="D287" s="1289"/>
      <c r="E287" s="24089"/>
      <c r="F287" s="24089"/>
      <c r="G287" s="24089"/>
      <c r="H287" s="24089"/>
      <c r="I287" s="24091"/>
      <c r="J287" s="24091" t="str">
        <f>I281&amp;".1"</f>
        <v>1.11.1.1.1</v>
      </c>
      <c r="K287" s="24090" t="str">
        <f>J286&amp;".1"</f>
        <v>1.11.1.1.2.1</v>
      </c>
      <c r="L287" s="1295"/>
      <c r="M287" s="1674"/>
      <c r="N287" s="1674"/>
      <c r="O287" s="1674"/>
      <c r="P287" s="24092"/>
      <c r="Q287" s="24092"/>
      <c r="R287" s="293">
        <v>1</v>
      </c>
      <c r="S287" s="1976" t="str">
        <f>$K287</f>
        <v>1.11.1.1.2.1</v>
      </c>
      <c r="T287" s="1363"/>
      <c r="U287" s="236"/>
      <c r="V287" s="1286"/>
      <c r="W287" s="1286"/>
      <c r="X287" s="1286"/>
      <c r="Y287" s="1286"/>
      <c r="Z287" s="1286"/>
      <c r="AA287" s="1286"/>
      <c r="AB287" s="1286"/>
      <c r="AC287" s="24086"/>
      <c r="AD287" s="24085" t="s">
        <v>59</v>
      </c>
      <c r="AE287" s="24086"/>
      <c r="AF287" s="24085" t="s">
        <v>59</v>
      </c>
      <c r="AG287" s="687">
        <v>219.97</v>
      </c>
      <c r="AH287" s="687">
        <v>35.46</v>
      </c>
      <c r="AI287" s="687"/>
      <c r="AJ287" s="687"/>
      <c r="AK287" s="687">
        <v>2836.87</v>
      </c>
      <c r="AL287" s="687"/>
      <c r="AM287" s="687"/>
      <c r="AN287" s="24093" t="s">
        <v>9</v>
      </c>
      <c r="AO287" s="23957" t="s">
        <v>59</v>
      </c>
      <c r="AP287" s="24095" t="s">
        <v>770</v>
      </c>
      <c r="AQ287" s="23957" t="s">
        <v>59</v>
      </c>
      <c r="AR287" s="687">
        <v>241.97</v>
      </c>
      <c r="AS287" s="687">
        <v>39.01</v>
      </c>
      <c r="AT287" s="687"/>
      <c r="AU287" s="687"/>
      <c r="AV287" s="687">
        <v>3120.56</v>
      </c>
      <c r="AW287" s="687"/>
      <c r="AX287" s="687"/>
      <c r="AY287" s="24093" t="s">
        <v>772</v>
      </c>
      <c r="AZ287" s="23957" t="s">
        <v>59</v>
      </c>
      <c r="BA287" s="24093" t="s">
        <v>773</v>
      </c>
      <c r="BB287" s="23957" t="s">
        <v>59</v>
      </c>
      <c r="BC287" s="687">
        <v>241.97</v>
      </c>
      <c r="BD287" s="687">
        <v>39.01</v>
      </c>
      <c r="BE287" s="687"/>
      <c r="BF287" s="687"/>
      <c r="BG287" s="687">
        <v>3120.56</v>
      </c>
      <c r="BH287" s="687"/>
      <c r="BI287" s="687"/>
      <c r="BJ287" s="24093" t="s">
        <v>774</v>
      </c>
      <c r="BK287" s="23957" t="s">
        <v>59</v>
      </c>
      <c r="BL287" s="24093" t="s">
        <v>775</v>
      </c>
      <c r="BM287" s="23957" t="s">
        <v>59</v>
      </c>
      <c r="BN287" s="687">
        <v>267.23</v>
      </c>
      <c r="BO287" s="687">
        <v>46.81</v>
      </c>
      <c r="BP287" s="687"/>
      <c r="BQ287" s="687"/>
      <c r="BR287" s="687">
        <v>3388.93</v>
      </c>
      <c r="BS287" s="687"/>
      <c r="BT287" s="687"/>
      <c r="BU287" s="24093" t="s">
        <v>776</v>
      </c>
      <c r="BV287" s="23957" t="s">
        <v>59</v>
      </c>
      <c r="BW287" s="24093" t="s">
        <v>777</v>
      </c>
      <c r="BX287" s="23957" t="s">
        <v>59</v>
      </c>
      <c r="BY287" s="687">
        <v>271.77</v>
      </c>
      <c r="BZ287" s="687">
        <v>47.59</v>
      </c>
      <c r="CA287" s="687"/>
      <c r="CB287" s="687"/>
      <c r="CC287" s="687">
        <v>3446.74</v>
      </c>
      <c r="CD287" s="687"/>
      <c r="CE287" s="687"/>
      <c r="CF287" s="24093" t="s">
        <v>778</v>
      </c>
      <c r="CG287" s="23957" t="s">
        <v>59</v>
      </c>
      <c r="CH287" s="24185">
        <v>46295</v>
      </c>
      <c r="CI287" s="23957" t="s">
        <v>59</v>
      </c>
      <c r="CJ287" s="687">
        <v>304.38</v>
      </c>
      <c r="CK287" s="687">
        <v>53.3</v>
      </c>
      <c r="CL287" s="687"/>
      <c r="CM287" s="687"/>
      <c r="CN287" s="687">
        <v>3860.35</v>
      </c>
      <c r="CO287" s="687"/>
      <c r="CP287" s="687"/>
      <c r="CQ287" s="24185">
        <v>46296</v>
      </c>
      <c r="CR287" s="23957" t="s">
        <v>59</v>
      </c>
      <c r="CS287" s="24093" t="s">
        <v>779</v>
      </c>
      <c r="CT287" s="23957" t="s">
        <v>59</v>
      </c>
      <c r="CU287" s="687">
        <f>CJ287</f>
        <v>304.38</v>
      </c>
      <c r="CV287" s="687">
        <f>CK287</f>
        <v>53.3</v>
      </c>
      <c r="CW287" s="687"/>
      <c r="CX287" s="687"/>
      <c r="CY287" s="687">
        <f>CN287</f>
        <v>3860.35</v>
      </c>
      <c r="CZ287" s="687"/>
      <c r="DA287" s="687"/>
      <c r="DB287" s="24093" t="s">
        <v>780</v>
      </c>
      <c r="DC287" s="23957" t="s">
        <v>59</v>
      </c>
      <c r="DD287" s="24093" t="s">
        <v>781</v>
      </c>
      <c r="DE287" s="23957" t="s">
        <v>59</v>
      </c>
      <c r="DF287" s="687">
        <v>330.86</v>
      </c>
      <c r="DG287" s="687">
        <v>57.94</v>
      </c>
      <c r="DH287" s="687"/>
      <c r="DI287" s="687"/>
      <c r="DJ287" s="687">
        <v>4196.2</v>
      </c>
      <c r="DK287" s="687"/>
      <c r="DL287" s="687"/>
      <c r="DM287" s="24093" t="s">
        <v>782</v>
      </c>
      <c r="DN287" s="23957" t="s">
        <v>59</v>
      </c>
      <c r="DO287" s="24093" t="s">
        <v>783</v>
      </c>
      <c r="DP287" s="23957" t="s">
        <v>59</v>
      </c>
      <c r="DQ287" s="687">
        <f>DF287</f>
        <v>330.86</v>
      </c>
      <c r="DR287" s="687">
        <f>DG287</f>
        <v>57.94</v>
      </c>
      <c r="DS287" s="687"/>
      <c r="DT287" s="687"/>
      <c r="DU287" s="687">
        <f>DJ287</f>
        <v>4196.2</v>
      </c>
      <c r="DV287" s="687"/>
      <c r="DW287" s="687"/>
      <c r="DX287" s="24093" t="s">
        <v>784</v>
      </c>
      <c r="DY287" s="23957" t="s">
        <v>59</v>
      </c>
      <c r="DZ287" s="24093" t="s">
        <v>785</v>
      </c>
      <c r="EA287" s="23957" t="s">
        <v>59</v>
      </c>
      <c r="EB287" s="687">
        <v>354.35</v>
      </c>
      <c r="EC287" s="687">
        <v>62.05</v>
      </c>
      <c r="ED287" s="687"/>
      <c r="EE287" s="687"/>
      <c r="EF287" s="687">
        <v>4494.1400000000003</v>
      </c>
      <c r="EG287" s="687"/>
      <c r="EH287" s="687"/>
      <c r="EI287" s="24093" t="s">
        <v>786</v>
      </c>
      <c r="EJ287" s="23957" t="s">
        <v>59</v>
      </c>
      <c r="EK287" s="24093" t="s">
        <v>787</v>
      </c>
      <c r="EL287" s="23957" t="s">
        <v>6</v>
      </c>
      <c r="EM287" s="1286"/>
      <c r="EN287" s="1286"/>
      <c r="EO287" s="1286"/>
      <c r="EP287" s="1286"/>
      <c r="EQ287" s="1286"/>
      <c r="ER287" s="1286"/>
      <c r="ES287" s="1286"/>
      <c r="ET287" s="24086"/>
      <c r="EU287" s="24085" t="s">
        <v>59</v>
      </c>
      <c r="EV287" s="24086"/>
      <c r="EW287" s="24085" t="s">
        <v>59</v>
      </c>
      <c r="EX287" s="1286"/>
      <c r="EY287" s="1286"/>
      <c r="EZ287" s="1286"/>
      <c r="FA287" s="1286"/>
      <c r="FB287" s="1286"/>
      <c r="FC287" s="1286"/>
      <c r="FD287" s="1286"/>
      <c r="FE287" s="24086"/>
      <c r="FF287" s="24085" t="s">
        <v>59</v>
      </c>
      <c r="FG287" s="24086"/>
      <c r="FH287" s="24085" t="s">
        <v>59</v>
      </c>
      <c r="FI287" s="1286"/>
      <c r="FJ287" s="1286"/>
      <c r="FK287" s="1286"/>
      <c r="FL287" s="1286"/>
      <c r="FM287" s="1286"/>
      <c r="FN287" s="1286"/>
      <c r="FO287" s="1286"/>
      <c r="FP287" s="24086"/>
      <c r="FQ287" s="24085" t="s">
        <v>59</v>
      </c>
      <c r="FR287" s="24086"/>
      <c r="FS287" s="24085" t="s">
        <v>59</v>
      </c>
      <c r="FT287" s="1364"/>
      <c r="FU28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87" s="1568" t="e">
        <f ca="1">STRCHECKDATE(V288:FT288)</f>
        <v>#NAME?</v>
      </c>
      <c r="FW287" s="1550"/>
      <c r="FX287" s="1550" t="str">
        <f t="shared" si="4"/>
        <v/>
      </c>
      <c r="FY287" s="1550"/>
      <c r="FZ287" s="1550"/>
      <c r="GA287" s="1561">
        <v>0</v>
      </c>
    </row>
    <row r="288" spans="1:183" s="1747" customFormat="1" ht="14.25" customHeight="1">
      <c r="A288" s="1289"/>
      <c r="B288" s="1289"/>
      <c r="C288" s="1289"/>
      <c r="D288" s="1289"/>
      <c r="E288" s="24089"/>
      <c r="F288" s="24089"/>
      <c r="G288" s="24089"/>
      <c r="H288" s="24089"/>
      <c r="I288" s="24091"/>
      <c r="J288" s="24091" t="str">
        <f>I281&amp;".1"</f>
        <v>1.11.1.1.1</v>
      </c>
      <c r="K288" s="24090"/>
      <c r="L288" s="1295"/>
      <c r="M288" s="1674"/>
      <c r="N288" s="1674"/>
      <c r="O288" s="1674"/>
      <c r="P288" s="24092"/>
      <c r="Q288" s="24092"/>
      <c r="R288" s="293"/>
      <c r="S288" s="1982"/>
      <c r="T288" s="236"/>
      <c r="U288" s="236"/>
      <c r="V288" s="1286"/>
      <c r="W288" s="1286"/>
      <c r="X288" s="1286"/>
      <c r="Y288" s="1286"/>
      <c r="Z288" s="1286"/>
      <c r="AA288" s="1286"/>
      <c r="AB288" s="1286"/>
      <c r="AC288" s="24085"/>
      <c r="AD288" s="24085"/>
      <c r="AE288" s="24085"/>
      <c r="AF288" s="24085"/>
      <c r="AG288" s="261"/>
      <c r="AH288" s="261"/>
      <c r="AI288" s="261"/>
      <c r="AJ288" s="261"/>
      <c r="AK288" s="261"/>
      <c r="AL288" s="261"/>
      <c r="AM288" s="261"/>
      <c r="AN288" s="24094"/>
      <c r="AO288" s="23957"/>
      <c r="AP288" s="24096"/>
      <c r="AQ288" s="23957"/>
      <c r="AR288" s="261"/>
      <c r="AS288" s="261"/>
      <c r="AT288" s="261"/>
      <c r="AU288" s="261"/>
      <c r="AV288" s="261"/>
      <c r="AW288" s="261"/>
      <c r="AX288" s="261"/>
      <c r="AY288" s="24094"/>
      <c r="AZ288" s="23957"/>
      <c r="BA288" s="24094"/>
      <c r="BB288" s="23957"/>
      <c r="BC288" s="261"/>
      <c r="BD288" s="261"/>
      <c r="BE288" s="261"/>
      <c r="BF288" s="261"/>
      <c r="BG288" s="261"/>
      <c r="BH288" s="261"/>
      <c r="BI288" s="261"/>
      <c r="BJ288" s="24094"/>
      <c r="BK288" s="23957"/>
      <c r="BL288" s="24094"/>
      <c r="BM288" s="23957"/>
      <c r="BN288" s="261"/>
      <c r="BO288" s="261"/>
      <c r="BP288" s="261"/>
      <c r="BQ288" s="261"/>
      <c r="BR288" s="261"/>
      <c r="BS288" s="261"/>
      <c r="BT288" s="261"/>
      <c r="BU288" s="24094"/>
      <c r="BV288" s="23957"/>
      <c r="BW288" s="24094"/>
      <c r="BX288" s="23957"/>
      <c r="BY288" s="261"/>
      <c r="BZ288" s="261"/>
      <c r="CA288" s="261"/>
      <c r="CB288" s="261"/>
      <c r="CC288" s="261"/>
      <c r="CD288" s="261"/>
      <c r="CE288" s="261"/>
      <c r="CF288" s="24094"/>
      <c r="CG288" s="23957"/>
      <c r="CH288" s="24094"/>
      <c r="CI288" s="23957"/>
      <c r="CJ288" s="261"/>
      <c r="CK288" s="261"/>
      <c r="CL288" s="261"/>
      <c r="CM288" s="261"/>
      <c r="CN288" s="261"/>
      <c r="CO288" s="261"/>
      <c r="CP288" s="261"/>
      <c r="CQ288" s="24094"/>
      <c r="CR288" s="23957"/>
      <c r="CS288" s="24094"/>
      <c r="CT288" s="23957"/>
      <c r="CU288" s="261"/>
      <c r="CV288" s="261"/>
      <c r="CW288" s="261"/>
      <c r="CX288" s="261"/>
      <c r="CY288" s="261"/>
      <c r="CZ288" s="261"/>
      <c r="DA288" s="261"/>
      <c r="DB288" s="24094"/>
      <c r="DC288" s="23957"/>
      <c r="DD288" s="24094"/>
      <c r="DE288" s="23957"/>
      <c r="DF288" s="261"/>
      <c r="DG288" s="261"/>
      <c r="DH288" s="261"/>
      <c r="DI288" s="261"/>
      <c r="DJ288" s="261"/>
      <c r="DK288" s="261"/>
      <c r="DL288" s="261"/>
      <c r="DM288" s="24094"/>
      <c r="DN288" s="23957"/>
      <c r="DO288" s="24094"/>
      <c r="DP288" s="23957"/>
      <c r="DQ288" s="261"/>
      <c r="DR288" s="261"/>
      <c r="DS288" s="261"/>
      <c r="DT288" s="261"/>
      <c r="DU288" s="261"/>
      <c r="DV288" s="261"/>
      <c r="DW288" s="261"/>
      <c r="DX288" s="24094"/>
      <c r="DY288" s="23957"/>
      <c r="DZ288" s="24094"/>
      <c r="EA288" s="23957"/>
      <c r="EB288" s="261"/>
      <c r="EC288" s="261"/>
      <c r="ED288" s="261"/>
      <c r="EE288" s="261"/>
      <c r="EF288" s="261"/>
      <c r="EG288" s="261"/>
      <c r="EH288" s="261"/>
      <c r="EI288" s="24094"/>
      <c r="EJ288" s="23957"/>
      <c r="EK288" s="24094"/>
      <c r="EL288" s="23957"/>
      <c r="EM288" s="1286"/>
      <c r="EN288" s="1286"/>
      <c r="EO288" s="1286"/>
      <c r="EP288" s="1286"/>
      <c r="EQ288" s="1286"/>
      <c r="ER288" s="1286"/>
      <c r="ES288" s="1286"/>
      <c r="ET288" s="24085"/>
      <c r="EU288" s="24085"/>
      <c r="EV288" s="24085"/>
      <c r="EW288" s="24085"/>
      <c r="EX288" s="1286"/>
      <c r="EY288" s="1286"/>
      <c r="EZ288" s="1286"/>
      <c r="FA288" s="1286"/>
      <c r="FB288" s="1286"/>
      <c r="FC288" s="1286"/>
      <c r="FD288" s="1286"/>
      <c r="FE288" s="24085"/>
      <c r="FF288" s="24085"/>
      <c r="FG288" s="24085"/>
      <c r="FH288" s="24085"/>
      <c r="FI288" s="1286"/>
      <c r="FJ288" s="1286"/>
      <c r="FK288" s="1286"/>
      <c r="FL288" s="1286"/>
      <c r="FM288" s="1286"/>
      <c r="FN288" s="1286"/>
      <c r="FO288" s="1286"/>
      <c r="FP288" s="24085"/>
      <c r="FQ288" s="24085"/>
      <c r="FR288" s="24085"/>
      <c r="FS288" s="24085"/>
      <c r="FT288" s="1365"/>
      <c r="FU288" s="24162"/>
      <c r="FV288" s="1568"/>
      <c r="FW288" s="1550"/>
      <c r="FX288" s="1550" t="str">
        <f t="shared" si="4"/>
        <v/>
      </c>
      <c r="FY288" s="1550"/>
      <c r="FZ288" s="1550"/>
      <c r="GA288" s="1561">
        <v>0</v>
      </c>
    </row>
    <row r="289" spans="1:183" s="1747" customFormat="1" ht="21" customHeight="1">
      <c r="A289" s="1289"/>
      <c r="B289" s="1289"/>
      <c r="C289" s="1289"/>
      <c r="D289" s="1289"/>
      <c r="E289" s="24089"/>
      <c r="F289" s="24089"/>
      <c r="G289" s="24089"/>
      <c r="H289" s="24089"/>
      <c r="I289" s="24091"/>
      <c r="J289" s="24090" t="str">
        <f>I281&amp;".1"</f>
        <v>1.11.1.1.1</v>
      </c>
      <c r="K289" s="1289"/>
      <c r="L289" s="1295"/>
      <c r="M289" s="1674"/>
      <c r="N289" s="1674"/>
      <c r="O289" s="1674"/>
      <c r="P289" s="24092"/>
      <c r="Q289" s="24092"/>
      <c r="R289" s="292"/>
      <c r="S289" s="4251"/>
      <c r="T289" s="4252" t="s">
        <v>712</v>
      </c>
      <c r="U289" s="4253"/>
      <c r="V289" s="4254"/>
      <c r="W289" s="4255"/>
      <c r="X289" s="4256"/>
      <c r="Y289" s="4257"/>
      <c r="Z289" s="4258"/>
      <c r="AA289" s="4259"/>
      <c r="AB289" s="4260"/>
      <c r="AC289" s="4261"/>
      <c r="AD289" s="4262"/>
      <c r="AE289" s="4263"/>
      <c r="AF289" s="4264"/>
      <c r="AG289" s="4265"/>
      <c r="AH289" s="4266"/>
      <c r="AI289" s="4267"/>
      <c r="AJ289" s="4268"/>
      <c r="AK289" s="4269"/>
      <c r="AL289" s="4270"/>
      <c r="AM289" s="4271"/>
      <c r="AN289" s="4272"/>
      <c r="AO289" s="4273"/>
      <c r="AP289" s="4274"/>
      <c r="AQ289" s="4275"/>
      <c r="AR289" s="7451"/>
      <c r="AS289" s="7452"/>
      <c r="AT289" s="7453"/>
      <c r="AU289" s="7454"/>
      <c r="AV289" s="7455"/>
      <c r="AW289" s="7456"/>
      <c r="AX289" s="7457"/>
      <c r="AY289" s="7458"/>
      <c r="AZ289" s="7459"/>
      <c r="BA289" s="7460"/>
      <c r="BB289" s="7461"/>
      <c r="BC289" s="7462"/>
      <c r="BD289" s="7463"/>
      <c r="BE289" s="15687"/>
      <c r="BF289" s="15688"/>
      <c r="BG289" s="21895"/>
      <c r="BH289" s="15689"/>
      <c r="BI289" s="15690"/>
      <c r="BJ289" s="15691"/>
      <c r="BK289" s="15692"/>
      <c r="BL289" s="15693"/>
      <c r="BM289" s="15694"/>
      <c r="BN289" s="4276"/>
      <c r="BO289" s="4277"/>
      <c r="BP289" s="15695"/>
      <c r="BQ289" s="15696"/>
      <c r="BR289" s="4278"/>
      <c r="BS289" s="15697"/>
      <c r="BT289" s="15698"/>
      <c r="BU289" s="15699"/>
      <c r="BV289" s="15700"/>
      <c r="BW289" s="15701"/>
      <c r="BX289" s="15702"/>
      <c r="BY289" s="15703"/>
      <c r="BZ289" s="15704"/>
      <c r="CA289" s="15705"/>
      <c r="CB289" s="15706"/>
      <c r="CC289" s="15707"/>
      <c r="CD289" s="15708"/>
      <c r="CE289" s="15709"/>
      <c r="CF289" s="15710"/>
      <c r="CG289" s="15711"/>
      <c r="CH289" s="15712"/>
      <c r="CI289" s="15713"/>
      <c r="CJ289" s="15714"/>
      <c r="CK289" s="15715"/>
      <c r="CL289" s="15716"/>
      <c r="CM289" s="15717"/>
      <c r="CN289" s="15718"/>
      <c r="CO289" s="15719"/>
      <c r="CP289" s="15720"/>
      <c r="CQ289" s="15721"/>
      <c r="CR289" s="15722"/>
      <c r="CS289" s="15723"/>
      <c r="CT289" s="15724"/>
      <c r="CU289" s="15725"/>
      <c r="CV289" s="15726"/>
      <c r="CW289" s="15727"/>
      <c r="CX289" s="15728"/>
      <c r="CY289" s="15729"/>
      <c r="CZ289" s="15730"/>
      <c r="DA289" s="15731"/>
      <c r="DB289" s="15732"/>
      <c r="DC289" s="15733"/>
      <c r="DD289" s="15734"/>
      <c r="DE289" s="15735"/>
      <c r="DF289" s="15736"/>
      <c r="DG289" s="15737"/>
      <c r="DH289" s="15738"/>
      <c r="DI289" s="15739"/>
      <c r="DJ289" s="15740"/>
      <c r="DK289" s="15741"/>
      <c r="DL289" s="15742"/>
      <c r="DM289" s="15743"/>
      <c r="DN289" s="15744"/>
      <c r="DO289" s="15745"/>
      <c r="DP289" s="15746"/>
      <c r="DQ289" s="15747"/>
      <c r="DR289" s="15748"/>
      <c r="DS289" s="15749"/>
      <c r="DT289" s="15750"/>
      <c r="DU289" s="15751"/>
      <c r="DV289" s="15752"/>
      <c r="DW289" s="15753"/>
      <c r="DX289" s="15754"/>
      <c r="DY289" s="15755"/>
      <c r="DZ289" s="15756"/>
      <c r="EA289" s="15757"/>
      <c r="EB289" s="15758"/>
      <c r="EC289" s="15759"/>
      <c r="ED289" s="15760"/>
      <c r="EE289" s="15761"/>
      <c r="EF289" s="15762"/>
      <c r="EG289" s="15763"/>
      <c r="EH289" s="15764"/>
      <c r="EI289" s="15765"/>
      <c r="EJ289" s="15766"/>
      <c r="EK289" s="15767"/>
      <c r="EL289" s="15768"/>
      <c r="EM289" s="21641"/>
      <c r="EN289" s="21642"/>
      <c r="EO289" s="15769"/>
      <c r="EP289" s="15770"/>
      <c r="EQ289" s="21643"/>
      <c r="ER289" s="15771"/>
      <c r="ES289" s="15772"/>
      <c r="ET289" s="15773"/>
      <c r="EU289" s="15774"/>
      <c r="EV289" s="15775"/>
      <c r="EW289" s="15776"/>
      <c r="EX289" s="4279"/>
      <c r="EY289" s="4280"/>
      <c r="EZ289" s="15777"/>
      <c r="FA289" s="15778"/>
      <c r="FB289" s="4281"/>
      <c r="FC289" s="15779"/>
      <c r="FD289" s="15780"/>
      <c r="FE289" s="15781"/>
      <c r="FF289" s="15782"/>
      <c r="FG289" s="15783"/>
      <c r="FH289" s="5731"/>
      <c r="FI289" s="22860"/>
      <c r="FJ289" s="22861"/>
      <c r="FK289" s="23617"/>
      <c r="FL289" s="23618"/>
      <c r="FM289" s="22862"/>
      <c r="FN289" s="23619"/>
      <c r="FO289" s="23620"/>
      <c r="FP289" s="22863"/>
      <c r="FQ289" s="22864"/>
      <c r="FR289" s="22865"/>
      <c r="FS289" s="23621"/>
      <c r="FT289" s="4282"/>
      <c r="FU289" s="1184" t="s">
        <v>713</v>
      </c>
      <c r="FV289" s="1568"/>
      <c r="FW289" s="1550"/>
      <c r="FX289" s="1550" t="str">
        <f t="shared" si="4"/>
        <v>Добавить значение признака дифференциации</v>
      </c>
      <c r="FY289" s="1550"/>
      <c r="FZ289" s="1550"/>
      <c r="GA289" s="1561">
        <v>0</v>
      </c>
    </row>
    <row r="290" spans="1:183" s="1747" customFormat="1" ht="21" customHeight="1">
      <c r="A290" s="1289"/>
      <c r="B290" s="1289"/>
      <c r="C290" s="1289"/>
      <c r="D290" s="1289"/>
      <c r="E290" s="24089"/>
      <c r="F290" s="24089" t="s">
        <v>133</v>
      </c>
      <c r="G290" s="24089"/>
      <c r="H290" s="24089"/>
      <c r="I290" s="24090"/>
      <c r="J290" s="1289"/>
      <c r="K290" s="1289"/>
      <c r="L290" s="1295"/>
      <c r="M290" s="1674"/>
      <c r="N290" s="1674"/>
      <c r="O290" s="1674"/>
      <c r="P290" s="24092"/>
      <c r="Q290" s="1978"/>
      <c r="R290" s="292"/>
      <c r="S290" s="4283"/>
      <c r="T290" s="4284" t="s">
        <v>641</v>
      </c>
      <c r="U290" s="4285"/>
      <c r="V290" s="4286"/>
      <c r="W290" s="4287"/>
      <c r="X290" s="4288"/>
      <c r="Y290" s="4289"/>
      <c r="Z290" s="4290"/>
      <c r="AA290" s="4291"/>
      <c r="AB290" s="4292"/>
      <c r="AC290" s="4293"/>
      <c r="AD290" s="4294"/>
      <c r="AE290" s="4295"/>
      <c r="AF290" s="4296"/>
      <c r="AG290" s="4297"/>
      <c r="AH290" s="4298"/>
      <c r="AI290" s="4299"/>
      <c r="AJ290" s="4300"/>
      <c r="AK290" s="4301"/>
      <c r="AL290" s="4302"/>
      <c r="AM290" s="4303"/>
      <c r="AN290" s="4304"/>
      <c r="AO290" s="4305"/>
      <c r="AP290" s="4306"/>
      <c r="AQ290" s="4307"/>
      <c r="AR290" s="7464"/>
      <c r="AS290" s="7465"/>
      <c r="AT290" s="7466"/>
      <c r="AU290" s="7467"/>
      <c r="AV290" s="7468"/>
      <c r="AW290" s="7469"/>
      <c r="AX290" s="7470"/>
      <c r="AY290" s="7471"/>
      <c r="AZ290" s="7472"/>
      <c r="BA290" s="7473"/>
      <c r="BB290" s="7474"/>
      <c r="BC290" s="7475"/>
      <c r="BD290" s="7476"/>
      <c r="BE290" s="15784"/>
      <c r="BF290" s="15785"/>
      <c r="BG290" s="21896"/>
      <c r="BH290" s="15786"/>
      <c r="BI290" s="15787"/>
      <c r="BJ290" s="15788"/>
      <c r="BK290" s="15789"/>
      <c r="BL290" s="15790"/>
      <c r="BM290" s="15791"/>
      <c r="BN290" s="4308"/>
      <c r="BO290" s="4309"/>
      <c r="BP290" s="15792"/>
      <c r="BQ290" s="15793"/>
      <c r="BR290" s="4310"/>
      <c r="BS290" s="15794"/>
      <c r="BT290" s="15795"/>
      <c r="BU290" s="15796"/>
      <c r="BV290" s="15797"/>
      <c r="BW290" s="15798"/>
      <c r="BX290" s="15799"/>
      <c r="BY290" s="15800"/>
      <c r="BZ290" s="15801"/>
      <c r="CA290" s="15802"/>
      <c r="CB290" s="15803"/>
      <c r="CC290" s="15804"/>
      <c r="CD290" s="15805"/>
      <c r="CE290" s="15806"/>
      <c r="CF290" s="15807"/>
      <c r="CG290" s="15808"/>
      <c r="CH290" s="15809"/>
      <c r="CI290" s="15810"/>
      <c r="CJ290" s="15811"/>
      <c r="CK290" s="15812"/>
      <c r="CL290" s="15813"/>
      <c r="CM290" s="15814"/>
      <c r="CN290" s="15815"/>
      <c r="CO290" s="15816"/>
      <c r="CP290" s="15817"/>
      <c r="CQ290" s="15818"/>
      <c r="CR290" s="15819"/>
      <c r="CS290" s="15820"/>
      <c r="CT290" s="15821"/>
      <c r="CU290" s="15822"/>
      <c r="CV290" s="15823"/>
      <c r="CW290" s="15824"/>
      <c r="CX290" s="15825"/>
      <c r="CY290" s="15826"/>
      <c r="CZ290" s="15827"/>
      <c r="DA290" s="15828"/>
      <c r="DB290" s="15829"/>
      <c r="DC290" s="15830"/>
      <c r="DD290" s="15831"/>
      <c r="DE290" s="15832"/>
      <c r="DF290" s="15833"/>
      <c r="DG290" s="15834"/>
      <c r="DH290" s="15835"/>
      <c r="DI290" s="15836"/>
      <c r="DJ290" s="15837"/>
      <c r="DK290" s="15838"/>
      <c r="DL290" s="15839"/>
      <c r="DM290" s="15840"/>
      <c r="DN290" s="15841"/>
      <c r="DO290" s="15842"/>
      <c r="DP290" s="15843"/>
      <c r="DQ290" s="15844"/>
      <c r="DR290" s="15845"/>
      <c r="DS290" s="15846"/>
      <c r="DT290" s="15847"/>
      <c r="DU290" s="15848"/>
      <c r="DV290" s="15849"/>
      <c r="DW290" s="15850"/>
      <c r="DX290" s="15851"/>
      <c r="DY290" s="15852"/>
      <c r="DZ290" s="15853"/>
      <c r="EA290" s="15854"/>
      <c r="EB290" s="15855"/>
      <c r="EC290" s="15856"/>
      <c r="ED290" s="15857"/>
      <c r="EE290" s="15858"/>
      <c r="EF290" s="15859"/>
      <c r="EG290" s="15860"/>
      <c r="EH290" s="15861"/>
      <c r="EI290" s="15862"/>
      <c r="EJ290" s="15863"/>
      <c r="EK290" s="15864"/>
      <c r="EL290" s="15865"/>
      <c r="EM290" s="21644"/>
      <c r="EN290" s="21645"/>
      <c r="EO290" s="15866"/>
      <c r="EP290" s="15867"/>
      <c r="EQ290" s="21646"/>
      <c r="ER290" s="15868"/>
      <c r="ES290" s="15869"/>
      <c r="ET290" s="15870"/>
      <c r="EU290" s="15871"/>
      <c r="EV290" s="15872"/>
      <c r="EW290" s="15873"/>
      <c r="EX290" s="4311"/>
      <c r="EY290" s="4312"/>
      <c r="EZ290" s="15874"/>
      <c r="FA290" s="15875"/>
      <c r="FB290" s="4313"/>
      <c r="FC290" s="15876"/>
      <c r="FD290" s="15877"/>
      <c r="FE290" s="15878"/>
      <c r="FF290" s="15879"/>
      <c r="FG290" s="15880"/>
      <c r="FH290" s="5732"/>
      <c r="FI290" s="22866"/>
      <c r="FJ290" s="22867"/>
      <c r="FK290" s="23622"/>
      <c r="FL290" s="23623"/>
      <c r="FM290" s="22868"/>
      <c r="FN290" s="23624"/>
      <c r="FO290" s="23625"/>
      <c r="FP290" s="22869"/>
      <c r="FQ290" s="22870"/>
      <c r="FR290" s="22871"/>
      <c r="FS290" s="23626"/>
      <c r="FT290" s="4314"/>
      <c r="FU290" s="4315"/>
      <c r="FV290" s="1568"/>
      <c r="FW290" s="1550"/>
      <c r="FX290" s="1550" t="str">
        <f t="shared" si="4"/>
        <v>Добавить группу потребителей</v>
      </c>
      <c r="FY290" s="1550"/>
      <c r="FZ290" s="1550"/>
      <c r="GA290" s="1561">
        <v>0</v>
      </c>
    </row>
    <row r="291" spans="1:183" s="1747" customFormat="1" ht="21" customHeight="1">
      <c r="A291" s="1289"/>
      <c r="B291" s="1289"/>
      <c r="C291" s="1289"/>
      <c r="D291" s="1289"/>
      <c r="E291" s="24089"/>
      <c r="F291" s="24089" t="s">
        <v>133</v>
      </c>
      <c r="G291" s="24089"/>
      <c r="H291" s="24088"/>
      <c r="I291" s="1289"/>
      <c r="J291" s="1289"/>
      <c r="K291" s="1289"/>
      <c r="L291" s="1295"/>
      <c r="M291" s="1291"/>
      <c r="N291" s="1291"/>
      <c r="O291" s="1292"/>
      <c r="P291" s="1720"/>
      <c r="Q291" s="311"/>
      <c r="R291" s="291"/>
      <c r="S291" s="4316"/>
      <c r="T291" s="4317" t="s">
        <v>714</v>
      </c>
      <c r="U291" s="4318"/>
      <c r="V291" s="4319"/>
      <c r="W291" s="4320"/>
      <c r="X291" s="4321"/>
      <c r="Y291" s="4322"/>
      <c r="Z291" s="4323"/>
      <c r="AA291" s="4324"/>
      <c r="AB291" s="4325"/>
      <c r="AC291" s="4326"/>
      <c r="AD291" s="4327"/>
      <c r="AE291" s="4328"/>
      <c r="AF291" s="4329"/>
      <c r="AG291" s="4330"/>
      <c r="AH291" s="4331"/>
      <c r="AI291" s="4332"/>
      <c r="AJ291" s="4333"/>
      <c r="AK291" s="4334"/>
      <c r="AL291" s="4335"/>
      <c r="AM291" s="4336"/>
      <c r="AN291" s="4337"/>
      <c r="AO291" s="4338"/>
      <c r="AP291" s="4339"/>
      <c r="AQ291" s="4340"/>
      <c r="AR291" s="7477"/>
      <c r="AS291" s="7478"/>
      <c r="AT291" s="7479"/>
      <c r="AU291" s="7480"/>
      <c r="AV291" s="7481"/>
      <c r="AW291" s="7482"/>
      <c r="AX291" s="7483"/>
      <c r="AY291" s="7484"/>
      <c r="AZ291" s="7485"/>
      <c r="BA291" s="7486"/>
      <c r="BB291" s="7487"/>
      <c r="BC291" s="7488"/>
      <c r="BD291" s="7489"/>
      <c r="BE291" s="15881"/>
      <c r="BF291" s="15882"/>
      <c r="BG291" s="21897"/>
      <c r="BH291" s="15883"/>
      <c r="BI291" s="15884"/>
      <c r="BJ291" s="15885"/>
      <c r="BK291" s="15886"/>
      <c r="BL291" s="15887"/>
      <c r="BM291" s="15888"/>
      <c r="BN291" s="4341"/>
      <c r="BO291" s="4342"/>
      <c r="BP291" s="15889"/>
      <c r="BQ291" s="15890"/>
      <c r="BR291" s="4343"/>
      <c r="BS291" s="15891"/>
      <c r="BT291" s="15892"/>
      <c r="BU291" s="15893"/>
      <c r="BV291" s="15894"/>
      <c r="BW291" s="15895"/>
      <c r="BX291" s="15896"/>
      <c r="BY291" s="15897"/>
      <c r="BZ291" s="15898"/>
      <c r="CA291" s="15899"/>
      <c r="CB291" s="15900"/>
      <c r="CC291" s="15901"/>
      <c r="CD291" s="15902"/>
      <c r="CE291" s="15903"/>
      <c r="CF291" s="15904"/>
      <c r="CG291" s="15905"/>
      <c r="CH291" s="15906"/>
      <c r="CI291" s="15907"/>
      <c r="CJ291" s="15908"/>
      <c r="CK291" s="15909"/>
      <c r="CL291" s="15910"/>
      <c r="CM291" s="15911"/>
      <c r="CN291" s="15912"/>
      <c r="CO291" s="15913"/>
      <c r="CP291" s="15914"/>
      <c r="CQ291" s="15915"/>
      <c r="CR291" s="15916"/>
      <c r="CS291" s="15917"/>
      <c r="CT291" s="15918"/>
      <c r="CU291" s="15919"/>
      <c r="CV291" s="15920"/>
      <c r="CW291" s="15921"/>
      <c r="CX291" s="15922"/>
      <c r="CY291" s="15923"/>
      <c r="CZ291" s="15924"/>
      <c r="DA291" s="15925"/>
      <c r="DB291" s="15926"/>
      <c r="DC291" s="15927"/>
      <c r="DD291" s="15928"/>
      <c r="DE291" s="15929"/>
      <c r="DF291" s="15930"/>
      <c r="DG291" s="15931"/>
      <c r="DH291" s="15932"/>
      <c r="DI291" s="15933"/>
      <c r="DJ291" s="15934"/>
      <c r="DK291" s="15935"/>
      <c r="DL291" s="15936"/>
      <c r="DM291" s="15937"/>
      <c r="DN291" s="15938"/>
      <c r="DO291" s="15939"/>
      <c r="DP291" s="15940"/>
      <c r="DQ291" s="15941"/>
      <c r="DR291" s="15942"/>
      <c r="DS291" s="15943"/>
      <c r="DT291" s="15944"/>
      <c r="DU291" s="15945"/>
      <c r="DV291" s="15946"/>
      <c r="DW291" s="15947"/>
      <c r="DX291" s="15948"/>
      <c r="DY291" s="15949"/>
      <c r="DZ291" s="15950"/>
      <c r="EA291" s="15951"/>
      <c r="EB291" s="15952"/>
      <c r="EC291" s="15953"/>
      <c r="ED291" s="15954"/>
      <c r="EE291" s="15955"/>
      <c r="EF291" s="15956"/>
      <c r="EG291" s="15957"/>
      <c r="EH291" s="15958"/>
      <c r="EI291" s="15959"/>
      <c r="EJ291" s="15960"/>
      <c r="EK291" s="15961"/>
      <c r="EL291" s="15962"/>
      <c r="EM291" s="21647"/>
      <c r="EN291" s="21648"/>
      <c r="EO291" s="15963"/>
      <c r="EP291" s="15964"/>
      <c r="EQ291" s="21649"/>
      <c r="ER291" s="15965"/>
      <c r="ES291" s="15966"/>
      <c r="ET291" s="15967"/>
      <c r="EU291" s="15968"/>
      <c r="EV291" s="15969"/>
      <c r="EW291" s="15970"/>
      <c r="EX291" s="4344"/>
      <c r="EY291" s="4345"/>
      <c r="EZ291" s="15971"/>
      <c r="FA291" s="15972"/>
      <c r="FB291" s="4346"/>
      <c r="FC291" s="15973"/>
      <c r="FD291" s="15974"/>
      <c r="FE291" s="15975"/>
      <c r="FF291" s="15976"/>
      <c r="FG291" s="15977"/>
      <c r="FH291" s="5733"/>
      <c r="FI291" s="22872"/>
      <c r="FJ291" s="22873"/>
      <c r="FK291" s="23627"/>
      <c r="FL291" s="23628"/>
      <c r="FM291" s="22874"/>
      <c r="FN291" s="23629"/>
      <c r="FO291" s="23630"/>
      <c r="FP291" s="22875"/>
      <c r="FQ291" s="22876"/>
      <c r="FR291" s="22877"/>
      <c r="FS291" s="23631"/>
      <c r="FT291" s="4347"/>
      <c r="FU291" s="4348"/>
      <c r="FV291" s="1568"/>
      <c r="FW291" s="1550"/>
      <c r="FX291" s="1550" t="str">
        <f t="shared" si="4"/>
        <v>Добавить наименование признака дифференциации</v>
      </c>
      <c r="FY291" s="1550"/>
      <c r="FZ291" s="1550"/>
      <c r="GA291" s="1561">
        <v>0</v>
      </c>
    </row>
    <row r="292" spans="1:183" s="558" customFormat="1" ht="14.25" customHeight="1">
      <c r="A292" s="1269"/>
      <c r="B292" s="1269"/>
      <c r="C292" s="1269"/>
      <c r="D292" s="1269"/>
      <c r="E292" s="24089"/>
      <c r="F292" s="24088" t="s">
        <v>133</v>
      </c>
      <c r="G292" s="1269"/>
      <c r="H292" s="1269"/>
      <c r="I292" s="1269"/>
      <c r="J292" s="1269"/>
      <c r="K292" s="1269"/>
      <c r="L292" s="1471"/>
      <c r="M292" s="1247"/>
      <c r="N292" s="1247"/>
      <c r="O292" s="1568"/>
      <c r="P292" s="1242"/>
      <c r="Q292" s="1270"/>
      <c r="R292" s="1242"/>
      <c r="S292" s="1248"/>
      <c r="T292" s="1251" t="s">
        <v>370</v>
      </c>
      <c r="U292" s="1250"/>
      <c r="V292" s="1250"/>
      <c r="W292" s="1250"/>
      <c r="X292" s="1250"/>
      <c r="Y292" s="1250"/>
      <c r="Z292" s="1250"/>
      <c r="AA292" s="1250"/>
      <c r="AB292" s="1250"/>
      <c r="AC292" s="1250"/>
      <c r="AD292" s="1250"/>
      <c r="AE292" s="1250"/>
      <c r="AF292" s="1250"/>
      <c r="AG292" s="1250"/>
      <c r="AH292" s="1250"/>
      <c r="AI292" s="1250"/>
      <c r="AJ292" s="1250"/>
      <c r="AK292" s="1250"/>
      <c r="AL292" s="1250"/>
      <c r="AM292" s="1250"/>
      <c r="AN292" s="1250"/>
      <c r="AO292" s="1250"/>
      <c r="AP292" s="1250"/>
      <c r="AQ292" s="1250"/>
      <c r="AR292" s="1250"/>
      <c r="AS292" s="1250"/>
      <c r="AT292" s="1250"/>
      <c r="AU292" s="1250"/>
      <c r="AV292" s="1250"/>
      <c r="AW292" s="1250"/>
      <c r="AX292" s="1250"/>
      <c r="AY292" s="1250"/>
      <c r="AZ292" s="1250"/>
      <c r="BA292" s="1250"/>
      <c r="BB292" s="1250"/>
      <c r="BC292" s="1250"/>
      <c r="BD292" s="1250"/>
      <c r="BE292" s="1250"/>
      <c r="BF292" s="1250"/>
      <c r="BG292" s="1250"/>
      <c r="BH292" s="1250"/>
      <c r="BI292" s="1250"/>
      <c r="BJ292" s="1250"/>
      <c r="BK292" s="1250"/>
      <c r="BL292" s="1250"/>
      <c r="BM292" s="1250"/>
      <c r="BN292" s="1250"/>
      <c r="BO292" s="1250"/>
      <c r="BP292" s="1250"/>
      <c r="BQ292" s="1250"/>
      <c r="BR292" s="1250"/>
      <c r="BS292" s="1250"/>
      <c r="BT292" s="1250"/>
      <c r="BU292" s="1250"/>
      <c r="BV292" s="1250"/>
      <c r="BW292" s="1250"/>
      <c r="BX292" s="1250"/>
      <c r="BY292" s="1250"/>
      <c r="BZ292" s="1250"/>
      <c r="CA292" s="1250"/>
      <c r="CB292" s="1250"/>
      <c r="CC292" s="1250"/>
      <c r="CD292" s="1250"/>
      <c r="CE292" s="1250"/>
      <c r="CF292" s="1250"/>
      <c r="CG292" s="1250"/>
      <c r="CH292" s="1250"/>
      <c r="CI292" s="1250"/>
      <c r="CJ292" s="1250"/>
      <c r="CK292" s="1250"/>
      <c r="CL292" s="1250"/>
      <c r="CM292" s="1250"/>
      <c r="CN292" s="1250"/>
      <c r="CO292" s="1250"/>
      <c r="CP292" s="1250"/>
      <c r="CQ292" s="1250"/>
      <c r="CR292" s="1250"/>
      <c r="CS292" s="1250"/>
      <c r="CT292" s="1250"/>
      <c r="CU292" s="1250"/>
      <c r="CV292" s="1250"/>
      <c r="CW292" s="1250"/>
      <c r="CX292" s="1250"/>
      <c r="CY292" s="1250"/>
      <c r="CZ292" s="1250"/>
      <c r="DA292" s="1250"/>
      <c r="DB292" s="1250"/>
      <c r="DC292" s="1250"/>
      <c r="DD292" s="1250"/>
      <c r="DE292" s="1250"/>
      <c r="DF292" s="1250"/>
      <c r="DG292" s="1250"/>
      <c r="DH292" s="1250"/>
      <c r="DI292" s="1250"/>
      <c r="DJ292" s="1250"/>
      <c r="DK292" s="1250"/>
      <c r="DL292" s="1250"/>
      <c r="DM292" s="1250"/>
      <c r="DN292" s="1250"/>
      <c r="DO292" s="1250"/>
      <c r="DP292" s="1250"/>
      <c r="DQ292" s="1250"/>
      <c r="DR292" s="1250"/>
      <c r="DS292" s="1250"/>
      <c r="DT292" s="1250"/>
      <c r="DU292" s="1250"/>
      <c r="DV292" s="1250"/>
      <c r="DW292" s="1250"/>
      <c r="DX292" s="1250"/>
      <c r="DY292" s="1250"/>
      <c r="DZ292" s="1250"/>
      <c r="EA292" s="1250"/>
      <c r="EB292" s="1250"/>
      <c r="EC292" s="1250"/>
      <c r="ED292" s="1250"/>
      <c r="EE292" s="1250"/>
      <c r="EF292" s="1250"/>
      <c r="EG292" s="1250"/>
      <c r="EH292" s="1250"/>
      <c r="EI292" s="1250"/>
      <c r="EJ292" s="1250"/>
      <c r="EK292" s="1250"/>
      <c r="EL292" s="1250"/>
      <c r="EM292" s="1250"/>
      <c r="EN292" s="1250"/>
      <c r="EO292" s="1250"/>
      <c r="EP292" s="1250"/>
      <c r="EQ292" s="1250"/>
      <c r="ER292" s="1250"/>
      <c r="ES292" s="1250"/>
      <c r="ET292" s="1250"/>
      <c r="EU292" s="1250"/>
      <c r="EV292" s="1250"/>
      <c r="EW292" s="1250"/>
      <c r="EX292" s="1250"/>
      <c r="EY292" s="1250"/>
      <c r="EZ292" s="1250"/>
      <c r="FA292" s="1250"/>
      <c r="FB292" s="1250"/>
      <c r="FC292" s="1250"/>
      <c r="FD292" s="1250"/>
      <c r="FE292" s="1250"/>
      <c r="FF292" s="1250"/>
      <c r="FG292" s="1250"/>
      <c r="FH292" s="1250"/>
      <c r="FI292" s="1250"/>
      <c r="FJ292" s="1250"/>
      <c r="FK292" s="1250"/>
      <c r="FL292" s="1250"/>
      <c r="FM292" s="1250"/>
      <c r="FN292" s="1250"/>
      <c r="FO292" s="1250"/>
      <c r="FP292" s="1250"/>
      <c r="FQ292" s="1250"/>
      <c r="FR292" s="1250"/>
      <c r="FS292" s="1250"/>
      <c r="FT292" s="1250"/>
      <c r="FU292" s="1250"/>
      <c r="FV292" s="1568"/>
      <c r="FW292" s="1550"/>
      <c r="FX292" s="1550" t="str">
        <f t="shared" si="4"/>
        <v>Добавить централизованную систему для дифференциации</v>
      </c>
      <c r="FY292" s="1550"/>
      <c r="FZ292" s="1550"/>
      <c r="GA292" s="1568">
        <v>0</v>
      </c>
    </row>
    <row r="293" spans="1:183" s="1747" customFormat="1" ht="23.25" customHeight="1">
      <c r="A293" s="1289"/>
      <c r="B293" s="1289" t="s">
        <v>424</v>
      </c>
      <c r="C293" s="1289"/>
      <c r="D293" s="1289"/>
      <c r="E293" s="24089"/>
      <c r="F293" s="24088" t="s">
        <v>147</v>
      </c>
      <c r="G293" s="1289"/>
      <c r="H293" s="1289"/>
      <c r="I293" s="1289"/>
      <c r="J293" s="1289"/>
      <c r="K293" s="1289"/>
      <c r="L293" s="1295"/>
      <c r="M293" s="1291"/>
      <c r="N293" s="1291"/>
      <c r="O293" s="1291"/>
      <c r="P293" s="1971"/>
      <c r="Q293" s="288"/>
      <c r="R293" s="289"/>
      <c r="S293" s="1976" t="str">
        <f>INDEX(PT_DIFFERENTIATION_NUM_TER,MATCH(B293,PT_DIFFERENTIATION_TER_ID,0))</f>
        <v>1.12</v>
      </c>
      <c r="T293" s="1448" t="s">
        <v>626</v>
      </c>
      <c r="U293" s="236"/>
      <c r="V293" s="24082"/>
      <c r="W293" s="24083"/>
      <c r="X293" s="24083"/>
      <c r="Y293" s="24083"/>
      <c r="Z293" s="24083"/>
      <c r="AA293" s="24083"/>
      <c r="AB293" s="24083"/>
      <c r="AC293" s="24083"/>
      <c r="AD293" s="24083"/>
      <c r="AE293" s="24083"/>
      <c r="AF293" s="24084"/>
      <c r="AG293" s="24082" t="str">
        <f>INDEX(PT_DIFFERENTIATION_TER,MATCH(B293,PT_DIFFERENTIATION_TER_ID,0))</f>
        <v>Территория 12</v>
      </c>
      <c r="AH293" s="24083"/>
      <c r="AI293" s="24083"/>
      <c r="AJ293" s="24083"/>
      <c r="AK293" s="24083"/>
      <c r="AL293" s="24083"/>
      <c r="AM293" s="24083"/>
      <c r="AN293" s="24083"/>
      <c r="AO293" s="24083"/>
      <c r="AP293" s="24083"/>
      <c r="AQ293" s="24083"/>
      <c r="AR293" s="24173"/>
      <c r="AS293" s="24174"/>
      <c r="AT293" s="24174"/>
      <c r="AU293" s="24174"/>
      <c r="AV293" s="24174"/>
      <c r="AW293" s="24174"/>
      <c r="AX293" s="24174"/>
      <c r="AY293" s="24174"/>
      <c r="AZ293" s="24174"/>
      <c r="BA293" s="24174"/>
      <c r="BB293" s="24175"/>
      <c r="BC293" s="24173"/>
      <c r="BD293" s="24174"/>
      <c r="BE293" s="24174"/>
      <c r="BF293" s="24174"/>
      <c r="BG293" s="24174"/>
      <c r="BH293" s="24174"/>
      <c r="BI293" s="24174"/>
      <c r="BJ293" s="24174"/>
      <c r="BK293" s="24174"/>
      <c r="BL293" s="24174"/>
      <c r="BM293" s="24175"/>
      <c r="BN293" s="24082"/>
      <c r="BO293" s="24083"/>
      <c r="BP293" s="24174"/>
      <c r="BQ293" s="24174"/>
      <c r="BR293" s="24083"/>
      <c r="BS293" s="24174"/>
      <c r="BT293" s="24174"/>
      <c r="BU293" s="24174"/>
      <c r="BV293" s="24174"/>
      <c r="BW293" s="24174"/>
      <c r="BX293" s="24175"/>
      <c r="BY293" s="24173"/>
      <c r="BZ293" s="24174"/>
      <c r="CA293" s="24174"/>
      <c r="CB293" s="24174"/>
      <c r="CC293" s="24174"/>
      <c r="CD293" s="24174"/>
      <c r="CE293" s="24174"/>
      <c r="CF293" s="24174"/>
      <c r="CG293" s="24174"/>
      <c r="CH293" s="24174"/>
      <c r="CI293" s="24175"/>
      <c r="CJ293" s="24173"/>
      <c r="CK293" s="24174"/>
      <c r="CL293" s="24174"/>
      <c r="CM293" s="24174"/>
      <c r="CN293" s="24174"/>
      <c r="CO293" s="24174"/>
      <c r="CP293" s="24174"/>
      <c r="CQ293" s="24174"/>
      <c r="CR293" s="24174"/>
      <c r="CS293" s="24174"/>
      <c r="CT293" s="24175"/>
      <c r="CU293" s="24173"/>
      <c r="CV293" s="24174"/>
      <c r="CW293" s="24174"/>
      <c r="CX293" s="24174"/>
      <c r="CY293" s="24174"/>
      <c r="CZ293" s="24174"/>
      <c r="DA293" s="24174"/>
      <c r="DB293" s="24174"/>
      <c r="DC293" s="24174"/>
      <c r="DD293" s="24174"/>
      <c r="DE293" s="24175"/>
      <c r="DF293" s="24173"/>
      <c r="DG293" s="24174"/>
      <c r="DH293" s="24174"/>
      <c r="DI293" s="24174"/>
      <c r="DJ293" s="24174"/>
      <c r="DK293" s="24174"/>
      <c r="DL293" s="24174"/>
      <c r="DM293" s="24174"/>
      <c r="DN293" s="24174"/>
      <c r="DO293" s="24174"/>
      <c r="DP293" s="24175"/>
      <c r="DQ293" s="24173"/>
      <c r="DR293" s="24174"/>
      <c r="DS293" s="24174"/>
      <c r="DT293" s="24174"/>
      <c r="DU293" s="24174"/>
      <c r="DV293" s="24174"/>
      <c r="DW293" s="24174"/>
      <c r="DX293" s="24174"/>
      <c r="DY293" s="24174"/>
      <c r="DZ293" s="24174"/>
      <c r="EA293" s="24175"/>
      <c r="EB293" s="24173"/>
      <c r="EC293" s="24174"/>
      <c r="ED293" s="24174"/>
      <c r="EE293" s="24174"/>
      <c r="EF293" s="24174"/>
      <c r="EG293" s="24174"/>
      <c r="EH293" s="24174"/>
      <c r="EI293" s="24174"/>
      <c r="EJ293" s="24174"/>
      <c r="EK293" s="24174"/>
      <c r="EL293" s="24175"/>
      <c r="EM293" s="24173"/>
      <c r="EN293" s="24174"/>
      <c r="EO293" s="24174"/>
      <c r="EP293" s="24174"/>
      <c r="EQ293" s="24174"/>
      <c r="ER293" s="24174"/>
      <c r="ES293" s="24174"/>
      <c r="ET293" s="24174"/>
      <c r="EU293" s="24174"/>
      <c r="EV293" s="24174"/>
      <c r="EW293" s="24175"/>
      <c r="EX293" s="24082"/>
      <c r="EY293" s="24083"/>
      <c r="EZ293" s="24174"/>
      <c r="FA293" s="24174"/>
      <c r="FB293" s="24083"/>
      <c r="FC293" s="24174"/>
      <c r="FD293" s="24174"/>
      <c r="FE293" s="24174"/>
      <c r="FF293" s="24174"/>
      <c r="FG293" s="24174"/>
      <c r="FH293" s="24175"/>
      <c r="FI293" s="24082"/>
      <c r="FJ293" s="24083"/>
      <c r="FK293" s="24174"/>
      <c r="FL293" s="24174"/>
      <c r="FM293" s="24083"/>
      <c r="FN293" s="24174"/>
      <c r="FO293" s="24174"/>
      <c r="FP293" s="24083"/>
      <c r="FQ293" s="24083"/>
      <c r="FR293" s="24083"/>
      <c r="FS293" s="24175"/>
      <c r="FT293" s="24084"/>
      <c r="FU293" s="1184" t="s">
        <v>627</v>
      </c>
      <c r="FV293" s="1568"/>
      <c r="FW293" s="1550"/>
      <c r="FX293" s="1550" t="str">
        <f t="shared" si="4"/>
        <v>Территория действия тарифа</v>
      </c>
      <c r="FY293" s="1550"/>
      <c r="FZ293" s="1550"/>
      <c r="GA293" s="1561">
        <v>0</v>
      </c>
    </row>
    <row r="294" spans="1:183" s="1747" customFormat="1" ht="23.25" customHeight="1">
      <c r="A294" s="1289"/>
      <c r="B294" s="1289"/>
      <c r="C294" s="1289" t="s">
        <v>425</v>
      </c>
      <c r="D294" s="1289"/>
      <c r="E294" s="24089"/>
      <c r="F294" s="24089" t="s">
        <v>138</v>
      </c>
      <c r="G294" s="24088">
        <v>1</v>
      </c>
      <c r="H294" s="1289"/>
      <c r="I294" s="1289"/>
      <c r="J294" s="1289"/>
      <c r="K294" s="1289"/>
      <c r="L294" s="1295"/>
      <c r="M294" s="1291"/>
      <c r="N294" s="1291"/>
      <c r="O294" s="1291"/>
      <c r="P294" s="290"/>
      <c r="Q294" s="288"/>
      <c r="R294" s="289"/>
      <c r="S294" s="1976" t="str">
        <f>INDEX(PT_DIFFERENTIATION_NUM_CS,MATCH(C294,PT_DIFFERENTIATION_CS_ID,0))</f>
        <v>1.12.1</v>
      </c>
      <c r="T294" s="245" t="s">
        <v>756</v>
      </c>
      <c r="U294" s="236"/>
      <c r="V294" s="24082"/>
      <c r="W294" s="24083"/>
      <c r="X294" s="24083"/>
      <c r="Y294" s="24083"/>
      <c r="Z294" s="24083"/>
      <c r="AA294" s="24083"/>
      <c r="AB294" s="24083"/>
      <c r="AC294" s="24083"/>
      <c r="AD294" s="24083"/>
      <c r="AE294" s="24083"/>
      <c r="AF294" s="24084"/>
      <c r="AG294" s="24082" t="str">
        <f>INDEX(PT_DIFFERENTIATION_CS,MATCH(C294,PT_DIFFERENTIATION_CS_ID,0))</f>
        <v>г. Сафоново (для потребителей, теплоснабжение которых осуществляется от котельной по ул. Советская, д. 78)</v>
      </c>
      <c r="AH294" s="24083"/>
      <c r="AI294" s="24083"/>
      <c r="AJ294" s="24083"/>
      <c r="AK294" s="24083"/>
      <c r="AL294" s="24083"/>
      <c r="AM294" s="24083"/>
      <c r="AN294" s="24083"/>
      <c r="AO294" s="24083"/>
      <c r="AP294" s="24083"/>
      <c r="AQ294" s="24083"/>
      <c r="AR294" s="24173"/>
      <c r="AS294" s="24174"/>
      <c r="AT294" s="24174"/>
      <c r="AU294" s="24174"/>
      <c r="AV294" s="24174"/>
      <c r="AW294" s="24174"/>
      <c r="AX294" s="24174"/>
      <c r="AY294" s="24174"/>
      <c r="AZ294" s="24174"/>
      <c r="BA294" s="24174"/>
      <c r="BB294" s="24175"/>
      <c r="BC294" s="24173"/>
      <c r="BD294" s="24174"/>
      <c r="BE294" s="24174"/>
      <c r="BF294" s="24174"/>
      <c r="BG294" s="24174"/>
      <c r="BH294" s="24174"/>
      <c r="BI294" s="24174"/>
      <c r="BJ294" s="24174"/>
      <c r="BK294" s="24174"/>
      <c r="BL294" s="24174"/>
      <c r="BM294" s="24175"/>
      <c r="BN294" s="24082"/>
      <c r="BO294" s="24083"/>
      <c r="BP294" s="24174"/>
      <c r="BQ294" s="24174"/>
      <c r="BR294" s="24083"/>
      <c r="BS294" s="24174"/>
      <c r="BT294" s="24174"/>
      <c r="BU294" s="24174"/>
      <c r="BV294" s="24174"/>
      <c r="BW294" s="24174"/>
      <c r="BX294" s="24175"/>
      <c r="BY294" s="24173"/>
      <c r="BZ294" s="24174"/>
      <c r="CA294" s="24174"/>
      <c r="CB294" s="24174"/>
      <c r="CC294" s="24174"/>
      <c r="CD294" s="24174"/>
      <c r="CE294" s="24174"/>
      <c r="CF294" s="24174"/>
      <c r="CG294" s="24174"/>
      <c r="CH294" s="24174"/>
      <c r="CI294" s="24175"/>
      <c r="CJ294" s="24173"/>
      <c r="CK294" s="24174"/>
      <c r="CL294" s="24174"/>
      <c r="CM294" s="24174"/>
      <c r="CN294" s="24174"/>
      <c r="CO294" s="24174"/>
      <c r="CP294" s="24174"/>
      <c r="CQ294" s="24174"/>
      <c r="CR294" s="24174"/>
      <c r="CS294" s="24174"/>
      <c r="CT294" s="24175"/>
      <c r="CU294" s="24173"/>
      <c r="CV294" s="24174"/>
      <c r="CW294" s="24174"/>
      <c r="CX294" s="24174"/>
      <c r="CY294" s="24174"/>
      <c r="CZ294" s="24174"/>
      <c r="DA294" s="24174"/>
      <c r="DB294" s="24174"/>
      <c r="DC294" s="24174"/>
      <c r="DD294" s="24174"/>
      <c r="DE294" s="24175"/>
      <c r="DF294" s="24173"/>
      <c r="DG294" s="24174"/>
      <c r="DH294" s="24174"/>
      <c r="DI294" s="24174"/>
      <c r="DJ294" s="24174"/>
      <c r="DK294" s="24174"/>
      <c r="DL294" s="24174"/>
      <c r="DM294" s="24174"/>
      <c r="DN294" s="24174"/>
      <c r="DO294" s="24174"/>
      <c r="DP294" s="24175"/>
      <c r="DQ294" s="24173"/>
      <c r="DR294" s="24174"/>
      <c r="DS294" s="24174"/>
      <c r="DT294" s="24174"/>
      <c r="DU294" s="24174"/>
      <c r="DV294" s="24174"/>
      <c r="DW294" s="24174"/>
      <c r="DX294" s="24174"/>
      <c r="DY294" s="24174"/>
      <c r="DZ294" s="24174"/>
      <c r="EA294" s="24175"/>
      <c r="EB294" s="24173"/>
      <c r="EC294" s="24174"/>
      <c r="ED294" s="24174"/>
      <c r="EE294" s="24174"/>
      <c r="EF294" s="24174"/>
      <c r="EG294" s="24174"/>
      <c r="EH294" s="24174"/>
      <c r="EI294" s="24174"/>
      <c r="EJ294" s="24174"/>
      <c r="EK294" s="24174"/>
      <c r="EL294" s="24175"/>
      <c r="EM294" s="24173"/>
      <c r="EN294" s="24174"/>
      <c r="EO294" s="24174"/>
      <c r="EP294" s="24174"/>
      <c r="EQ294" s="24174"/>
      <c r="ER294" s="24174"/>
      <c r="ES294" s="24174"/>
      <c r="ET294" s="24174"/>
      <c r="EU294" s="24174"/>
      <c r="EV294" s="24174"/>
      <c r="EW294" s="24175"/>
      <c r="EX294" s="24082"/>
      <c r="EY294" s="24083"/>
      <c r="EZ294" s="24174"/>
      <c r="FA294" s="24174"/>
      <c r="FB294" s="24083"/>
      <c r="FC294" s="24174"/>
      <c r="FD294" s="24174"/>
      <c r="FE294" s="24174"/>
      <c r="FF294" s="24174"/>
      <c r="FG294" s="24174"/>
      <c r="FH294" s="24175"/>
      <c r="FI294" s="24082"/>
      <c r="FJ294" s="24083"/>
      <c r="FK294" s="24174"/>
      <c r="FL294" s="24174"/>
      <c r="FM294" s="24083"/>
      <c r="FN294" s="24174"/>
      <c r="FO294" s="24174"/>
      <c r="FP294" s="24083"/>
      <c r="FQ294" s="24083"/>
      <c r="FR294" s="24083"/>
      <c r="FS294" s="24175"/>
      <c r="FT294" s="24084"/>
      <c r="FU294" s="1184" t="s">
        <v>757</v>
      </c>
      <c r="FV294" s="1568"/>
      <c r="FW294" s="1550"/>
      <c r="FX294" s="1550" t="str">
        <f t="shared" si="4"/>
        <v>Наименование централизованной системы горячего водоснабжения</v>
      </c>
      <c r="FY294" s="1550"/>
      <c r="FZ294" s="1550"/>
      <c r="GA294" s="1561">
        <v>0</v>
      </c>
    </row>
    <row r="295" spans="1:183" s="1747" customFormat="1" ht="23.25" customHeight="1">
      <c r="A295" s="1289"/>
      <c r="B295" s="1289"/>
      <c r="C295" s="1289"/>
      <c r="D295" s="1289"/>
      <c r="E295" s="24089"/>
      <c r="F295" s="24089" t="s">
        <v>138</v>
      </c>
      <c r="G295" s="24089"/>
      <c r="H295" s="24089"/>
      <c r="I295" s="24090" t="str">
        <f>S294&amp;".1"</f>
        <v>1.12.1.1</v>
      </c>
      <c r="J295" s="1289"/>
      <c r="K295" s="1289"/>
      <c r="L295" s="1295"/>
      <c r="M295" s="1674"/>
      <c r="N295" s="1674"/>
      <c r="O295" s="1674"/>
      <c r="P295" s="24092">
        <v>1</v>
      </c>
      <c r="Q295" s="1978"/>
      <c r="R295" s="292"/>
      <c r="S295" s="1976" t="str">
        <f>$I295</f>
        <v>1.12.1.1</v>
      </c>
      <c r="T295" s="221" t="s">
        <v>709</v>
      </c>
      <c r="U295" s="236"/>
      <c r="V295" s="24156"/>
      <c r="W295" s="24157"/>
      <c r="X295" s="24157"/>
      <c r="Y295" s="24157"/>
      <c r="Z295" s="24157"/>
      <c r="AA295" s="24157"/>
      <c r="AB295" s="24157"/>
      <c r="AC295" s="24157"/>
      <c r="AD295" s="24157"/>
      <c r="AE295" s="24157"/>
      <c r="AF295" s="24158"/>
      <c r="AG295" s="24159"/>
      <c r="AH295" s="24160"/>
      <c r="AI295" s="24160"/>
      <c r="AJ295" s="24160"/>
      <c r="AK295" s="24160"/>
      <c r="AL295" s="24160"/>
      <c r="AM295" s="24160"/>
      <c r="AN295" s="24160"/>
      <c r="AO295" s="24160"/>
      <c r="AP295" s="24160"/>
      <c r="AQ295" s="24160"/>
      <c r="AR295" s="24176"/>
      <c r="AS295" s="24177"/>
      <c r="AT295" s="24177"/>
      <c r="AU295" s="24177"/>
      <c r="AV295" s="24177"/>
      <c r="AW295" s="24177"/>
      <c r="AX295" s="24177"/>
      <c r="AY295" s="24177"/>
      <c r="AZ295" s="24177"/>
      <c r="BA295" s="24177"/>
      <c r="BB295" s="24178"/>
      <c r="BC295" s="24176"/>
      <c r="BD295" s="24177"/>
      <c r="BE295" s="24177"/>
      <c r="BF295" s="24177"/>
      <c r="BG295" s="24177"/>
      <c r="BH295" s="24177"/>
      <c r="BI295" s="24177"/>
      <c r="BJ295" s="24177"/>
      <c r="BK295" s="24177"/>
      <c r="BL295" s="24177"/>
      <c r="BM295" s="24178"/>
      <c r="BN295" s="24156"/>
      <c r="BO295" s="24157"/>
      <c r="BP295" s="24177"/>
      <c r="BQ295" s="24177"/>
      <c r="BR295" s="24157"/>
      <c r="BS295" s="24177"/>
      <c r="BT295" s="24177"/>
      <c r="BU295" s="24177"/>
      <c r="BV295" s="24177"/>
      <c r="BW295" s="24177"/>
      <c r="BX295" s="24178"/>
      <c r="BY295" s="24176"/>
      <c r="BZ295" s="24177"/>
      <c r="CA295" s="24177"/>
      <c r="CB295" s="24177"/>
      <c r="CC295" s="24177"/>
      <c r="CD295" s="24177"/>
      <c r="CE295" s="24177"/>
      <c r="CF295" s="24177"/>
      <c r="CG295" s="24177"/>
      <c r="CH295" s="24177"/>
      <c r="CI295" s="24178"/>
      <c r="CJ295" s="24176"/>
      <c r="CK295" s="24177"/>
      <c r="CL295" s="24177"/>
      <c r="CM295" s="24177"/>
      <c r="CN295" s="24177"/>
      <c r="CO295" s="24177"/>
      <c r="CP295" s="24177"/>
      <c r="CQ295" s="24177"/>
      <c r="CR295" s="24177"/>
      <c r="CS295" s="24177"/>
      <c r="CT295" s="24178"/>
      <c r="CU295" s="24176"/>
      <c r="CV295" s="24177"/>
      <c r="CW295" s="24177"/>
      <c r="CX295" s="24177"/>
      <c r="CY295" s="24177"/>
      <c r="CZ295" s="24177"/>
      <c r="DA295" s="24177"/>
      <c r="DB295" s="24177"/>
      <c r="DC295" s="24177"/>
      <c r="DD295" s="24177"/>
      <c r="DE295" s="24178"/>
      <c r="DF295" s="24176"/>
      <c r="DG295" s="24177"/>
      <c r="DH295" s="24177"/>
      <c r="DI295" s="24177"/>
      <c r="DJ295" s="24177"/>
      <c r="DK295" s="24177"/>
      <c r="DL295" s="24177"/>
      <c r="DM295" s="24177"/>
      <c r="DN295" s="24177"/>
      <c r="DO295" s="24177"/>
      <c r="DP295" s="24178"/>
      <c r="DQ295" s="24176"/>
      <c r="DR295" s="24177"/>
      <c r="DS295" s="24177"/>
      <c r="DT295" s="24177"/>
      <c r="DU295" s="24177"/>
      <c r="DV295" s="24177"/>
      <c r="DW295" s="24177"/>
      <c r="DX295" s="24177"/>
      <c r="DY295" s="24177"/>
      <c r="DZ295" s="24177"/>
      <c r="EA295" s="24178"/>
      <c r="EB295" s="24176"/>
      <c r="EC295" s="24177"/>
      <c r="ED295" s="24177"/>
      <c r="EE295" s="24177"/>
      <c r="EF295" s="24177"/>
      <c r="EG295" s="24177"/>
      <c r="EH295" s="24177"/>
      <c r="EI295" s="24177"/>
      <c r="EJ295" s="24177"/>
      <c r="EK295" s="24177"/>
      <c r="EL295" s="24178"/>
      <c r="EM295" s="24176"/>
      <c r="EN295" s="24177"/>
      <c r="EO295" s="24177"/>
      <c r="EP295" s="24177"/>
      <c r="EQ295" s="24177"/>
      <c r="ER295" s="24177"/>
      <c r="ES295" s="24177"/>
      <c r="ET295" s="24177"/>
      <c r="EU295" s="24177"/>
      <c r="EV295" s="24177"/>
      <c r="EW295" s="24178"/>
      <c r="EX295" s="24156"/>
      <c r="EY295" s="24157"/>
      <c r="EZ295" s="24177"/>
      <c r="FA295" s="24177"/>
      <c r="FB295" s="24157"/>
      <c r="FC295" s="24177"/>
      <c r="FD295" s="24177"/>
      <c r="FE295" s="24177"/>
      <c r="FF295" s="24177"/>
      <c r="FG295" s="24177"/>
      <c r="FH295" s="24178"/>
      <c r="FI295" s="24156"/>
      <c r="FJ295" s="24157"/>
      <c r="FK295" s="24177"/>
      <c r="FL295" s="24177"/>
      <c r="FM295" s="24157"/>
      <c r="FN295" s="24177"/>
      <c r="FO295" s="24177"/>
      <c r="FP295" s="24157"/>
      <c r="FQ295" s="24157"/>
      <c r="FR295" s="24157"/>
      <c r="FS295" s="24178"/>
      <c r="FT295" s="24161"/>
      <c r="FU295" s="1184" t="s">
        <v>710</v>
      </c>
      <c r="FV295" s="1568"/>
      <c r="FW295" s="1550"/>
      <c r="FX295" s="1550" t="str">
        <f t="shared" si="4"/>
        <v>Наименование признака дифференциации</v>
      </c>
      <c r="FY295" s="1550"/>
      <c r="FZ295" s="1550"/>
      <c r="GA295" s="1561">
        <v>0</v>
      </c>
    </row>
    <row r="296" spans="1:183" s="1747" customFormat="1" ht="23.25" customHeight="1">
      <c r="A296" s="1289"/>
      <c r="B296" s="1289"/>
      <c r="C296" s="1289"/>
      <c r="D296" s="1289"/>
      <c r="E296" s="24089"/>
      <c r="F296" s="24089" t="s">
        <v>138</v>
      </c>
      <c r="G296" s="24089"/>
      <c r="H296" s="24089"/>
      <c r="I296" s="24091"/>
      <c r="J296" s="24090" t="str">
        <f>I295&amp;".1"</f>
        <v>1.12.1.1.1</v>
      </c>
      <c r="K296" s="1289"/>
      <c r="L296" s="1295" t="s">
        <v>635</v>
      </c>
      <c r="M296" s="1674"/>
      <c r="N296" s="1674"/>
      <c r="O296" s="1674"/>
      <c r="P296" s="24092"/>
      <c r="Q296" s="24092">
        <v>1</v>
      </c>
      <c r="R296" s="293"/>
      <c r="S296" s="1976" t="str">
        <f>$J296</f>
        <v>1.12.1.1.1</v>
      </c>
      <c r="T296" s="222" t="s">
        <v>636</v>
      </c>
      <c r="U296" s="236"/>
      <c r="V296" s="24076"/>
      <c r="W296" s="24077"/>
      <c r="X296" s="24077"/>
      <c r="Y296" s="24077"/>
      <c r="Z296" s="24077"/>
      <c r="AA296" s="24077"/>
      <c r="AB296" s="24077"/>
      <c r="AC296" s="24077"/>
      <c r="AD296" s="24077"/>
      <c r="AE296" s="24077"/>
      <c r="AF296" s="24078"/>
      <c r="AG296" s="24076" t="s">
        <v>769</v>
      </c>
      <c r="AH296" s="24077"/>
      <c r="AI296" s="24077"/>
      <c r="AJ296" s="24077"/>
      <c r="AK296" s="24077"/>
      <c r="AL296" s="24077"/>
      <c r="AM296" s="24077"/>
      <c r="AN296" s="24077"/>
      <c r="AO296" s="24077"/>
      <c r="AP296" s="24077"/>
      <c r="AQ296" s="24077"/>
      <c r="AR296" s="24179"/>
      <c r="AS296" s="24180"/>
      <c r="AT296" s="24180"/>
      <c r="AU296" s="24180"/>
      <c r="AV296" s="24180"/>
      <c r="AW296" s="24180"/>
      <c r="AX296" s="24180"/>
      <c r="AY296" s="24180"/>
      <c r="AZ296" s="24180"/>
      <c r="BA296" s="24180"/>
      <c r="BB296" s="24181"/>
      <c r="BC296" s="24179"/>
      <c r="BD296" s="24180"/>
      <c r="BE296" s="24180"/>
      <c r="BF296" s="24180"/>
      <c r="BG296" s="24180"/>
      <c r="BH296" s="24180"/>
      <c r="BI296" s="24180"/>
      <c r="BJ296" s="24180"/>
      <c r="BK296" s="24180"/>
      <c r="BL296" s="24180"/>
      <c r="BM296" s="24181"/>
      <c r="BN296" s="24076"/>
      <c r="BO296" s="24077"/>
      <c r="BP296" s="24180"/>
      <c r="BQ296" s="24180"/>
      <c r="BR296" s="24077"/>
      <c r="BS296" s="24180"/>
      <c r="BT296" s="24180"/>
      <c r="BU296" s="24180"/>
      <c r="BV296" s="24180"/>
      <c r="BW296" s="24180"/>
      <c r="BX296" s="24181"/>
      <c r="BY296" s="24179"/>
      <c r="BZ296" s="24180"/>
      <c r="CA296" s="24180"/>
      <c r="CB296" s="24180"/>
      <c r="CC296" s="24180"/>
      <c r="CD296" s="24180"/>
      <c r="CE296" s="24180"/>
      <c r="CF296" s="24180"/>
      <c r="CG296" s="24180"/>
      <c r="CH296" s="24180"/>
      <c r="CI296" s="24181"/>
      <c r="CJ296" s="24179"/>
      <c r="CK296" s="24180"/>
      <c r="CL296" s="24180"/>
      <c r="CM296" s="24180"/>
      <c r="CN296" s="24180"/>
      <c r="CO296" s="24180"/>
      <c r="CP296" s="24180"/>
      <c r="CQ296" s="24180"/>
      <c r="CR296" s="24180"/>
      <c r="CS296" s="24180"/>
      <c r="CT296" s="24181"/>
      <c r="CU296" s="24179"/>
      <c r="CV296" s="24180"/>
      <c r="CW296" s="24180"/>
      <c r="CX296" s="24180"/>
      <c r="CY296" s="24180"/>
      <c r="CZ296" s="24180"/>
      <c r="DA296" s="24180"/>
      <c r="DB296" s="24180"/>
      <c r="DC296" s="24180"/>
      <c r="DD296" s="24180"/>
      <c r="DE296" s="24181"/>
      <c r="DF296" s="24179"/>
      <c r="DG296" s="24180"/>
      <c r="DH296" s="24180"/>
      <c r="DI296" s="24180"/>
      <c r="DJ296" s="24180"/>
      <c r="DK296" s="24180"/>
      <c r="DL296" s="24180"/>
      <c r="DM296" s="24180"/>
      <c r="DN296" s="24180"/>
      <c r="DO296" s="24180"/>
      <c r="DP296" s="24181"/>
      <c r="DQ296" s="24179"/>
      <c r="DR296" s="24180"/>
      <c r="DS296" s="24180"/>
      <c r="DT296" s="24180"/>
      <c r="DU296" s="24180"/>
      <c r="DV296" s="24180"/>
      <c r="DW296" s="24180"/>
      <c r="DX296" s="24180"/>
      <c r="DY296" s="24180"/>
      <c r="DZ296" s="24180"/>
      <c r="EA296" s="24181"/>
      <c r="EB296" s="24179"/>
      <c r="EC296" s="24180"/>
      <c r="ED296" s="24180"/>
      <c r="EE296" s="24180"/>
      <c r="EF296" s="24180"/>
      <c r="EG296" s="24180"/>
      <c r="EH296" s="24180"/>
      <c r="EI296" s="24180"/>
      <c r="EJ296" s="24180"/>
      <c r="EK296" s="24180"/>
      <c r="EL296" s="24181"/>
      <c r="EM296" s="24179"/>
      <c r="EN296" s="24180"/>
      <c r="EO296" s="24180"/>
      <c r="EP296" s="24180"/>
      <c r="EQ296" s="24180"/>
      <c r="ER296" s="24180"/>
      <c r="ES296" s="24180"/>
      <c r="ET296" s="24180"/>
      <c r="EU296" s="24180"/>
      <c r="EV296" s="24180"/>
      <c r="EW296" s="24181"/>
      <c r="EX296" s="24076"/>
      <c r="EY296" s="24077"/>
      <c r="EZ296" s="24180"/>
      <c r="FA296" s="24180"/>
      <c r="FB296" s="24077"/>
      <c r="FC296" s="24180"/>
      <c r="FD296" s="24180"/>
      <c r="FE296" s="24180"/>
      <c r="FF296" s="24180"/>
      <c r="FG296" s="24180"/>
      <c r="FH296" s="24181"/>
      <c r="FI296" s="24076"/>
      <c r="FJ296" s="24077"/>
      <c r="FK296" s="24180"/>
      <c r="FL296" s="24180"/>
      <c r="FM296" s="24077"/>
      <c r="FN296" s="24180"/>
      <c r="FO296" s="24180"/>
      <c r="FP296" s="24077"/>
      <c r="FQ296" s="24077"/>
      <c r="FR296" s="24077"/>
      <c r="FS296" s="24181"/>
      <c r="FT296" s="24078"/>
      <c r="FU296" s="1233" t="s">
        <v>711</v>
      </c>
      <c r="FV296" s="1568"/>
      <c r="FW296" s="1550"/>
      <c r="FX296" s="1550" t="str">
        <f t="shared" si="4"/>
        <v>Группа потребителей</v>
      </c>
      <c r="FY296" s="1550"/>
      <c r="FZ296" s="1550"/>
      <c r="GA296" s="1561">
        <v>0</v>
      </c>
    </row>
    <row r="297" spans="1:183" s="1747" customFormat="1" ht="23.25" customHeight="1">
      <c r="A297" s="1289"/>
      <c r="B297" s="1289"/>
      <c r="C297" s="1289"/>
      <c r="D297" s="1289"/>
      <c r="E297" s="24089"/>
      <c r="F297" s="24089" t="s">
        <v>138</v>
      </c>
      <c r="G297" s="24089"/>
      <c r="H297" s="24089"/>
      <c r="I297" s="24091"/>
      <c r="J297" s="24091"/>
      <c r="K297" s="24090" t="str">
        <f>J296&amp;".1"</f>
        <v>1.12.1.1.1.1</v>
      </c>
      <c r="L297" s="1295"/>
      <c r="M297" s="1674"/>
      <c r="N297" s="1674"/>
      <c r="O297" s="1674"/>
      <c r="P297" s="24092"/>
      <c r="Q297" s="24092"/>
      <c r="R297" s="293">
        <v>1</v>
      </c>
      <c r="S297" s="1976" t="str">
        <f>$K297</f>
        <v>1.12.1.1.1.1</v>
      </c>
      <c r="T297" s="1363"/>
      <c r="U297" s="236"/>
      <c r="V297" s="1286"/>
      <c r="W297" s="1286"/>
      <c r="X297" s="1286"/>
      <c r="Y297" s="1286"/>
      <c r="Z297" s="1286"/>
      <c r="AA297" s="1286"/>
      <c r="AB297" s="1286"/>
      <c r="AC297" s="24086"/>
      <c r="AD297" s="24085" t="s">
        <v>59</v>
      </c>
      <c r="AE297" s="24086"/>
      <c r="AF297" s="24085" t="s">
        <v>59</v>
      </c>
      <c r="AG297" s="687">
        <v>258.92</v>
      </c>
      <c r="AH297" s="687">
        <v>77.11</v>
      </c>
      <c r="AI297" s="687"/>
      <c r="AJ297" s="687"/>
      <c r="AK297" s="687">
        <v>2770.59</v>
      </c>
      <c r="AL297" s="687"/>
      <c r="AM297" s="687"/>
      <c r="AN297" s="24093" t="s">
        <v>9</v>
      </c>
      <c r="AO297" s="23957" t="s">
        <v>59</v>
      </c>
      <c r="AP297" s="24095" t="s">
        <v>770</v>
      </c>
      <c r="AQ297" s="23957" t="s">
        <v>59</v>
      </c>
      <c r="AR297" s="687">
        <v>287.60000000000002</v>
      </c>
      <c r="AS297" s="687">
        <v>84.7</v>
      </c>
      <c r="AT297" s="687"/>
      <c r="AU297" s="687"/>
      <c r="AV297" s="687">
        <v>3092.03</v>
      </c>
      <c r="AW297" s="687"/>
      <c r="AX297" s="687"/>
      <c r="AY297" s="24093" t="s">
        <v>772</v>
      </c>
      <c r="AZ297" s="23957" t="s">
        <v>59</v>
      </c>
      <c r="BA297" s="24093" t="s">
        <v>773</v>
      </c>
      <c r="BB297" s="23957" t="s">
        <v>59</v>
      </c>
      <c r="BC297" s="687">
        <v>287.60000000000002</v>
      </c>
      <c r="BD297" s="687">
        <v>84.7</v>
      </c>
      <c r="BE297" s="687"/>
      <c r="BF297" s="687"/>
      <c r="BG297" s="687">
        <v>3092.03</v>
      </c>
      <c r="BH297" s="687"/>
      <c r="BI297" s="687"/>
      <c r="BJ297" s="24093" t="s">
        <v>774</v>
      </c>
      <c r="BK297" s="23957" t="s">
        <v>59</v>
      </c>
      <c r="BL297" s="24093" t="s">
        <v>775</v>
      </c>
      <c r="BM297" s="23957" t="s">
        <v>59</v>
      </c>
      <c r="BN297" s="687">
        <v>321.74</v>
      </c>
      <c r="BO297" s="687">
        <v>94.69</v>
      </c>
      <c r="BP297" s="687"/>
      <c r="BQ297" s="687"/>
      <c r="BR297" s="687">
        <v>3460</v>
      </c>
      <c r="BS297" s="687"/>
      <c r="BT297" s="687"/>
      <c r="BU297" s="24093" t="s">
        <v>776</v>
      </c>
      <c r="BV297" s="23957" t="s">
        <v>59</v>
      </c>
      <c r="BW297" s="24093" t="s">
        <v>777</v>
      </c>
      <c r="BX297" s="23957" t="s">
        <v>59</v>
      </c>
      <c r="BY297" s="687">
        <v>321.74</v>
      </c>
      <c r="BZ297" s="687">
        <v>94.69</v>
      </c>
      <c r="CA297" s="687"/>
      <c r="CB297" s="687"/>
      <c r="CC297" s="687">
        <v>3460</v>
      </c>
      <c r="CD297" s="687"/>
      <c r="CE297" s="687"/>
      <c r="CF297" s="24093" t="s">
        <v>778</v>
      </c>
      <c r="CG297" s="23957" t="s">
        <v>59</v>
      </c>
      <c r="CH297" s="24185">
        <v>46295</v>
      </c>
      <c r="CI297" s="23957" t="s">
        <v>59</v>
      </c>
      <c r="CJ297" s="687">
        <v>355.56</v>
      </c>
      <c r="CK297" s="687">
        <v>106.05</v>
      </c>
      <c r="CL297" s="687"/>
      <c r="CM297" s="687"/>
      <c r="CN297" s="687">
        <v>3802.33</v>
      </c>
      <c r="CO297" s="687"/>
      <c r="CP297" s="687"/>
      <c r="CQ297" s="24185">
        <v>46296</v>
      </c>
      <c r="CR297" s="23957" t="s">
        <v>59</v>
      </c>
      <c r="CS297" s="24093" t="s">
        <v>779</v>
      </c>
      <c r="CT297" s="23957" t="s">
        <v>59</v>
      </c>
      <c r="CU297" s="687">
        <f>CJ297</f>
        <v>355.56</v>
      </c>
      <c r="CV297" s="687">
        <f>CK297</f>
        <v>106.05</v>
      </c>
      <c r="CW297" s="687"/>
      <c r="CX297" s="687"/>
      <c r="CY297" s="687">
        <f>CN297</f>
        <v>3802.33</v>
      </c>
      <c r="CZ297" s="687"/>
      <c r="DA297" s="687"/>
      <c r="DB297" s="24093" t="s">
        <v>780</v>
      </c>
      <c r="DC297" s="23957" t="s">
        <v>59</v>
      </c>
      <c r="DD297" s="24093" t="s">
        <v>781</v>
      </c>
      <c r="DE297" s="23957" t="s">
        <v>59</v>
      </c>
      <c r="DF297" s="687">
        <v>386.56</v>
      </c>
      <c r="DG297" s="687">
        <v>115.28</v>
      </c>
      <c r="DH297" s="687"/>
      <c r="DI297" s="687"/>
      <c r="DJ297" s="687">
        <v>4134.16</v>
      </c>
      <c r="DK297" s="687"/>
      <c r="DL297" s="687"/>
      <c r="DM297" s="24093" t="s">
        <v>782</v>
      </c>
      <c r="DN297" s="23957" t="s">
        <v>59</v>
      </c>
      <c r="DO297" s="24093" t="s">
        <v>783</v>
      </c>
      <c r="DP297" s="23957" t="s">
        <v>59</v>
      </c>
      <c r="DQ297" s="687">
        <f>DF297</f>
        <v>386.56</v>
      </c>
      <c r="DR297" s="687">
        <f>DG297</f>
        <v>115.28</v>
      </c>
      <c r="DS297" s="687"/>
      <c r="DT297" s="687"/>
      <c r="DU297" s="687">
        <f>DJ297</f>
        <v>4134.16</v>
      </c>
      <c r="DV297" s="687"/>
      <c r="DW297" s="687"/>
      <c r="DX297" s="24093" t="s">
        <v>784</v>
      </c>
      <c r="DY297" s="23957" t="s">
        <v>59</v>
      </c>
      <c r="DZ297" s="24093" t="s">
        <v>785</v>
      </c>
      <c r="EA297" s="23957" t="s">
        <v>59</v>
      </c>
      <c r="EB297" s="687">
        <v>413.28</v>
      </c>
      <c r="EC297" s="687">
        <v>123.46</v>
      </c>
      <c r="ED297" s="687"/>
      <c r="EE297" s="687"/>
      <c r="EF297" s="687">
        <v>4416.63</v>
      </c>
      <c r="EG297" s="687"/>
      <c r="EH297" s="687"/>
      <c r="EI297" s="24093" t="s">
        <v>786</v>
      </c>
      <c r="EJ297" s="23957" t="s">
        <v>59</v>
      </c>
      <c r="EK297" s="24093" t="s">
        <v>787</v>
      </c>
      <c r="EL297" s="23957" t="s">
        <v>6</v>
      </c>
      <c r="EM297" s="1286"/>
      <c r="EN297" s="1286"/>
      <c r="EO297" s="1286"/>
      <c r="EP297" s="1286"/>
      <c r="EQ297" s="1286"/>
      <c r="ER297" s="1286"/>
      <c r="ES297" s="1286"/>
      <c r="ET297" s="24086"/>
      <c r="EU297" s="24085" t="s">
        <v>59</v>
      </c>
      <c r="EV297" s="24086"/>
      <c r="EW297" s="24085" t="s">
        <v>59</v>
      </c>
      <c r="EX297" s="1286"/>
      <c r="EY297" s="1286"/>
      <c r="EZ297" s="1286"/>
      <c r="FA297" s="1286"/>
      <c r="FB297" s="1286"/>
      <c r="FC297" s="1286"/>
      <c r="FD297" s="1286"/>
      <c r="FE297" s="24086"/>
      <c r="FF297" s="24085" t="s">
        <v>59</v>
      </c>
      <c r="FG297" s="24086"/>
      <c r="FH297" s="24085" t="s">
        <v>59</v>
      </c>
      <c r="FI297" s="1286"/>
      <c r="FJ297" s="1286"/>
      <c r="FK297" s="1286"/>
      <c r="FL297" s="1286"/>
      <c r="FM297" s="1286"/>
      <c r="FN297" s="1286"/>
      <c r="FO297" s="1286"/>
      <c r="FP297" s="24086"/>
      <c r="FQ297" s="24085" t="s">
        <v>59</v>
      </c>
      <c r="FR297" s="24086"/>
      <c r="FS297" s="24085" t="s">
        <v>59</v>
      </c>
      <c r="FT297" s="1364"/>
      <c r="FU29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297" s="1568" t="e">
        <f ca="1">STRCHECKDATE(V298:FT298)</f>
        <v>#NAME?</v>
      </c>
      <c r="FW297" s="1550"/>
      <c r="FX297" s="1550" t="str">
        <f t="shared" si="4"/>
        <v/>
      </c>
      <c r="FY297" s="1550"/>
      <c r="FZ297" s="1550"/>
      <c r="GA297" s="1561">
        <v>0</v>
      </c>
    </row>
    <row r="298" spans="1:183" s="1747" customFormat="1" ht="14.25" customHeight="1">
      <c r="A298" s="1289"/>
      <c r="B298" s="1289"/>
      <c r="C298" s="1289"/>
      <c r="D298" s="1289"/>
      <c r="E298" s="24089"/>
      <c r="F298" s="24089" t="s">
        <v>138</v>
      </c>
      <c r="G298" s="24089"/>
      <c r="H298" s="24089"/>
      <c r="I298" s="24091"/>
      <c r="J298" s="24091"/>
      <c r="K298" s="24090"/>
      <c r="L298" s="1295"/>
      <c r="M298" s="1674"/>
      <c r="N298" s="1674"/>
      <c r="O298" s="1674"/>
      <c r="P298" s="24092"/>
      <c r="Q298" s="24092"/>
      <c r="R298" s="293"/>
      <c r="S298" s="1982"/>
      <c r="T298" s="236"/>
      <c r="U298" s="236"/>
      <c r="V298" s="1286"/>
      <c r="W298" s="1286"/>
      <c r="X298" s="1286"/>
      <c r="Y298" s="1286"/>
      <c r="Z298" s="1286"/>
      <c r="AA298" s="1286"/>
      <c r="AB298" s="1286"/>
      <c r="AC298" s="24085"/>
      <c r="AD298" s="24085"/>
      <c r="AE298" s="24085"/>
      <c r="AF298" s="24085"/>
      <c r="AG298" s="261"/>
      <c r="AH298" s="261"/>
      <c r="AI298" s="261"/>
      <c r="AJ298" s="261"/>
      <c r="AK298" s="261"/>
      <c r="AL298" s="261"/>
      <c r="AM298" s="261"/>
      <c r="AN298" s="24094"/>
      <c r="AO298" s="23957"/>
      <c r="AP298" s="24096"/>
      <c r="AQ298" s="23957"/>
      <c r="AR298" s="261"/>
      <c r="AS298" s="261"/>
      <c r="AT298" s="261"/>
      <c r="AU298" s="261"/>
      <c r="AV298" s="261"/>
      <c r="AW298" s="261"/>
      <c r="AX298" s="261"/>
      <c r="AY298" s="24094"/>
      <c r="AZ298" s="23957"/>
      <c r="BA298" s="24094"/>
      <c r="BB298" s="23957"/>
      <c r="BC298" s="261"/>
      <c r="BD298" s="261"/>
      <c r="BE298" s="261"/>
      <c r="BF298" s="261"/>
      <c r="BG298" s="261"/>
      <c r="BH298" s="261"/>
      <c r="BI298" s="261"/>
      <c r="BJ298" s="24094"/>
      <c r="BK298" s="23957"/>
      <c r="BL298" s="24094"/>
      <c r="BM298" s="23957"/>
      <c r="BN298" s="261"/>
      <c r="BO298" s="261"/>
      <c r="BP298" s="261"/>
      <c r="BQ298" s="261"/>
      <c r="BR298" s="261"/>
      <c r="BS298" s="261"/>
      <c r="BT298" s="261"/>
      <c r="BU298" s="24094"/>
      <c r="BV298" s="23957"/>
      <c r="BW298" s="24094"/>
      <c r="BX298" s="23957"/>
      <c r="BY298" s="261"/>
      <c r="BZ298" s="261"/>
      <c r="CA298" s="261"/>
      <c r="CB298" s="261"/>
      <c r="CC298" s="261"/>
      <c r="CD298" s="261"/>
      <c r="CE298" s="261"/>
      <c r="CF298" s="24094"/>
      <c r="CG298" s="23957"/>
      <c r="CH298" s="24094"/>
      <c r="CI298" s="23957"/>
      <c r="CJ298" s="261"/>
      <c r="CK298" s="261"/>
      <c r="CL298" s="261"/>
      <c r="CM298" s="261"/>
      <c r="CN298" s="261"/>
      <c r="CO298" s="261"/>
      <c r="CP298" s="261"/>
      <c r="CQ298" s="24094"/>
      <c r="CR298" s="23957"/>
      <c r="CS298" s="24094"/>
      <c r="CT298" s="23957"/>
      <c r="CU298" s="261"/>
      <c r="CV298" s="261"/>
      <c r="CW298" s="261"/>
      <c r="CX298" s="261"/>
      <c r="CY298" s="261"/>
      <c r="CZ298" s="261"/>
      <c r="DA298" s="261"/>
      <c r="DB298" s="24094"/>
      <c r="DC298" s="23957"/>
      <c r="DD298" s="24094"/>
      <c r="DE298" s="23957"/>
      <c r="DF298" s="261"/>
      <c r="DG298" s="261"/>
      <c r="DH298" s="261"/>
      <c r="DI298" s="261"/>
      <c r="DJ298" s="261"/>
      <c r="DK298" s="261"/>
      <c r="DL298" s="261"/>
      <c r="DM298" s="24094"/>
      <c r="DN298" s="23957"/>
      <c r="DO298" s="24094"/>
      <c r="DP298" s="23957"/>
      <c r="DQ298" s="261"/>
      <c r="DR298" s="261"/>
      <c r="DS298" s="261"/>
      <c r="DT298" s="261"/>
      <c r="DU298" s="261"/>
      <c r="DV298" s="261"/>
      <c r="DW298" s="261"/>
      <c r="DX298" s="24094"/>
      <c r="DY298" s="23957"/>
      <c r="DZ298" s="24094"/>
      <c r="EA298" s="23957"/>
      <c r="EB298" s="261"/>
      <c r="EC298" s="261"/>
      <c r="ED298" s="261"/>
      <c r="EE298" s="261"/>
      <c r="EF298" s="261"/>
      <c r="EG298" s="261"/>
      <c r="EH298" s="261"/>
      <c r="EI298" s="24094"/>
      <c r="EJ298" s="23957"/>
      <c r="EK298" s="24094"/>
      <c r="EL298" s="23957"/>
      <c r="EM298" s="1286"/>
      <c r="EN298" s="1286"/>
      <c r="EO298" s="1286"/>
      <c r="EP298" s="1286"/>
      <c r="EQ298" s="1286"/>
      <c r="ER298" s="1286"/>
      <c r="ES298" s="1286"/>
      <c r="ET298" s="24085"/>
      <c r="EU298" s="24085"/>
      <c r="EV298" s="24085"/>
      <c r="EW298" s="24085"/>
      <c r="EX298" s="1286"/>
      <c r="EY298" s="1286"/>
      <c r="EZ298" s="1286"/>
      <c r="FA298" s="1286"/>
      <c r="FB298" s="1286"/>
      <c r="FC298" s="1286"/>
      <c r="FD298" s="1286"/>
      <c r="FE298" s="24085"/>
      <c r="FF298" s="24085"/>
      <c r="FG298" s="24085"/>
      <c r="FH298" s="24085"/>
      <c r="FI298" s="1286"/>
      <c r="FJ298" s="1286"/>
      <c r="FK298" s="1286"/>
      <c r="FL298" s="1286"/>
      <c r="FM298" s="1286"/>
      <c r="FN298" s="1286"/>
      <c r="FO298" s="1286"/>
      <c r="FP298" s="24085"/>
      <c r="FQ298" s="24085"/>
      <c r="FR298" s="24085"/>
      <c r="FS298" s="24085"/>
      <c r="FT298" s="1365"/>
      <c r="FU298" s="24162"/>
      <c r="FV298" s="1568"/>
      <c r="FW298" s="1550"/>
      <c r="FX298" s="1550" t="str">
        <f t="shared" ref="FX298:FX361" si="5">IF(T298="","",T298)</f>
        <v/>
      </c>
      <c r="FY298" s="1550"/>
      <c r="FZ298" s="1550"/>
      <c r="GA298" s="1561">
        <v>0</v>
      </c>
    </row>
    <row r="299" spans="1:183" s="1747" customFormat="1" ht="21" customHeight="1">
      <c r="A299" s="1289"/>
      <c r="B299" s="1289"/>
      <c r="C299" s="1289"/>
      <c r="D299" s="1289"/>
      <c r="E299" s="24089"/>
      <c r="F299" s="24089" t="s">
        <v>138</v>
      </c>
      <c r="G299" s="24089"/>
      <c r="H299" s="24089"/>
      <c r="I299" s="24091"/>
      <c r="J299" s="24090"/>
      <c r="K299" s="1289"/>
      <c r="L299" s="1295"/>
      <c r="M299" s="1674"/>
      <c r="N299" s="1674"/>
      <c r="O299" s="1674"/>
      <c r="P299" s="24092"/>
      <c r="Q299" s="24092"/>
      <c r="R299" s="292"/>
      <c r="S299" s="4349"/>
      <c r="T299" s="4350" t="s">
        <v>712</v>
      </c>
      <c r="U299" s="4351"/>
      <c r="V299" s="4352"/>
      <c r="W299" s="4353"/>
      <c r="X299" s="4354"/>
      <c r="Y299" s="4355"/>
      <c r="Z299" s="4356"/>
      <c r="AA299" s="4357"/>
      <c r="AB299" s="4358"/>
      <c r="AC299" s="4359"/>
      <c r="AD299" s="4360"/>
      <c r="AE299" s="4361"/>
      <c r="AF299" s="4362"/>
      <c r="AG299" s="4363"/>
      <c r="AH299" s="4364"/>
      <c r="AI299" s="4365"/>
      <c r="AJ299" s="4366"/>
      <c r="AK299" s="4367"/>
      <c r="AL299" s="4368"/>
      <c r="AM299" s="4369"/>
      <c r="AN299" s="4370"/>
      <c r="AO299" s="4371"/>
      <c r="AP299" s="4372"/>
      <c r="AQ299" s="4373"/>
      <c r="AR299" s="7490"/>
      <c r="AS299" s="7491"/>
      <c r="AT299" s="7492"/>
      <c r="AU299" s="7493"/>
      <c r="AV299" s="7494"/>
      <c r="AW299" s="7495"/>
      <c r="AX299" s="7496"/>
      <c r="AY299" s="7497"/>
      <c r="AZ299" s="7498"/>
      <c r="BA299" s="7499"/>
      <c r="BB299" s="7500"/>
      <c r="BC299" s="7501"/>
      <c r="BD299" s="7502"/>
      <c r="BE299" s="15978"/>
      <c r="BF299" s="15979"/>
      <c r="BG299" s="21898"/>
      <c r="BH299" s="15980"/>
      <c r="BI299" s="15981"/>
      <c r="BJ299" s="15982"/>
      <c r="BK299" s="15983"/>
      <c r="BL299" s="15984"/>
      <c r="BM299" s="15985"/>
      <c r="BN299" s="4374"/>
      <c r="BO299" s="4375"/>
      <c r="BP299" s="15986"/>
      <c r="BQ299" s="15987"/>
      <c r="BR299" s="4376"/>
      <c r="BS299" s="15988"/>
      <c r="BT299" s="15989"/>
      <c r="BU299" s="15990"/>
      <c r="BV299" s="15991"/>
      <c r="BW299" s="15992"/>
      <c r="BX299" s="15993"/>
      <c r="BY299" s="15994"/>
      <c r="BZ299" s="15995"/>
      <c r="CA299" s="15996"/>
      <c r="CB299" s="15997"/>
      <c r="CC299" s="15998"/>
      <c r="CD299" s="15999"/>
      <c r="CE299" s="16000"/>
      <c r="CF299" s="16001"/>
      <c r="CG299" s="16002"/>
      <c r="CH299" s="16003"/>
      <c r="CI299" s="16004"/>
      <c r="CJ299" s="16005"/>
      <c r="CK299" s="16006"/>
      <c r="CL299" s="16007"/>
      <c r="CM299" s="16008"/>
      <c r="CN299" s="16009"/>
      <c r="CO299" s="16010"/>
      <c r="CP299" s="16011"/>
      <c r="CQ299" s="16012"/>
      <c r="CR299" s="16013"/>
      <c r="CS299" s="16014"/>
      <c r="CT299" s="16015"/>
      <c r="CU299" s="16016"/>
      <c r="CV299" s="16017"/>
      <c r="CW299" s="16018"/>
      <c r="CX299" s="16019"/>
      <c r="CY299" s="16020"/>
      <c r="CZ299" s="16021"/>
      <c r="DA299" s="16022"/>
      <c r="DB299" s="16023"/>
      <c r="DC299" s="16024"/>
      <c r="DD299" s="16025"/>
      <c r="DE299" s="16026"/>
      <c r="DF299" s="16027"/>
      <c r="DG299" s="16028"/>
      <c r="DH299" s="16029"/>
      <c r="DI299" s="16030"/>
      <c r="DJ299" s="16031"/>
      <c r="DK299" s="16032"/>
      <c r="DL299" s="16033"/>
      <c r="DM299" s="16034"/>
      <c r="DN299" s="16035"/>
      <c r="DO299" s="16036"/>
      <c r="DP299" s="16037"/>
      <c r="DQ299" s="16038"/>
      <c r="DR299" s="16039"/>
      <c r="DS299" s="16040"/>
      <c r="DT299" s="16041"/>
      <c r="DU299" s="16042"/>
      <c r="DV299" s="16043"/>
      <c r="DW299" s="16044"/>
      <c r="DX299" s="16045"/>
      <c r="DY299" s="16046"/>
      <c r="DZ299" s="16047"/>
      <c r="EA299" s="16048"/>
      <c r="EB299" s="16049"/>
      <c r="EC299" s="16050"/>
      <c r="ED299" s="16051"/>
      <c r="EE299" s="16052"/>
      <c r="EF299" s="16053"/>
      <c r="EG299" s="16054"/>
      <c r="EH299" s="16055"/>
      <c r="EI299" s="16056"/>
      <c r="EJ299" s="16057"/>
      <c r="EK299" s="16058"/>
      <c r="EL299" s="16059"/>
      <c r="EM299" s="21650"/>
      <c r="EN299" s="21651"/>
      <c r="EO299" s="16060"/>
      <c r="EP299" s="16061"/>
      <c r="EQ299" s="21652"/>
      <c r="ER299" s="16062"/>
      <c r="ES299" s="16063"/>
      <c r="ET299" s="16064"/>
      <c r="EU299" s="16065"/>
      <c r="EV299" s="16066"/>
      <c r="EW299" s="16067"/>
      <c r="EX299" s="4377"/>
      <c r="EY299" s="4378"/>
      <c r="EZ299" s="16068"/>
      <c r="FA299" s="16069"/>
      <c r="FB299" s="4379"/>
      <c r="FC299" s="16070"/>
      <c r="FD299" s="16071"/>
      <c r="FE299" s="16072"/>
      <c r="FF299" s="16073"/>
      <c r="FG299" s="16074"/>
      <c r="FH299" s="5734"/>
      <c r="FI299" s="22878"/>
      <c r="FJ299" s="22879"/>
      <c r="FK299" s="23632"/>
      <c r="FL299" s="23633"/>
      <c r="FM299" s="22880"/>
      <c r="FN299" s="23634"/>
      <c r="FO299" s="23635"/>
      <c r="FP299" s="22881"/>
      <c r="FQ299" s="22882"/>
      <c r="FR299" s="22883"/>
      <c r="FS299" s="23636"/>
      <c r="FT299" s="4380"/>
      <c r="FU299" s="1184" t="s">
        <v>713</v>
      </c>
      <c r="FV299" s="1568"/>
      <c r="FW299" s="1550"/>
      <c r="FX299" s="1550" t="str">
        <f t="shared" si="5"/>
        <v>Добавить значение признака дифференциации</v>
      </c>
      <c r="FY299" s="1550"/>
      <c r="FZ299" s="1550"/>
      <c r="GA299" s="1561">
        <v>0</v>
      </c>
    </row>
    <row r="300" spans="1:183" s="1747" customFormat="1" ht="23.25" customHeight="1">
      <c r="A300" s="1289"/>
      <c r="B300" s="1289"/>
      <c r="C300" s="1289"/>
      <c r="D300" s="1289"/>
      <c r="E300" s="24089"/>
      <c r="F300" s="24089"/>
      <c r="G300" s="24089"/>
      <c r="H300" s="24089"/>
      <c r="I300" s="24091"/>
      <c r="J300" s="24090" t="str">
        <f>I295&amp;".2"</f>
        <v>1.12.1.1.2</v>
      </c>
      <c r="K300" s="1289"/>
      <c r="L300" s="1295" t="s">
        <v>635</v>
      </c>
      <c r="M300" s="1674"/>
      <c r="N300" s="1674"/>
      <c r="O300" s="1674"/>
      <c r="P300" s="24092"/>
      <c r="Q300" s="24206" t="s">
        <v>96</v>
      </c>
      <c r="R300" s="293"/>
      <c r="S300" s="1976" t="str">
        <f>$J300</f>
        <v>1.12.1.1.2</v>
      </c>
      <c r="T300" s="222" t="s">
        <v>636</v>
      </c>
      <c r="U300" s="236"/>
      <c r="V300" s="24076"/>
      <c r="W300" s="24077"/>
      <c r="X300" s="24077"/>
      <c r="Y300" s="24077"/>
      <c r="Z300" s="24077"/>
      <c r="AA300" s="24077"/>
      <c r="AB300" s="24077"/>
      <c r="AC300" s="24077"/>
      <c r="AD300" s="24077"/>
      <c r="AE300" s="24077"/>
      <c r="AF300" s="24078"/>
      <c r="AG300" s="24076" t="s">
        <v>771</v>
      </c>
      <c r="AH300" s="24077"/>
      <c r="AI300" s="24077"/>
      <c r="AJ300" s="24077"/>
      <c r="AK300" s="24077"/>
      <c r="AL300" s="24077"/>
      <c r="AM300" s="24077"/>
      <c r="AN300" s="24077"/>
      <c r="AO300" s="24077"/>
      <c r="AP300" s="24077"/>
      <c r="AQ300" s="24077"/>
      <c r="AR300" s="24179"/>
      <c r="AS300" s="24180"/>
      <c r="AT300" s="24180"/>
      <c r="AU300" s="24180"/>
      <c r="AV300" s="24180"/>
      <c r="AW300" s="24180"/>
      <c r="AX300" s="24180"/>
      <c r="AY300" s="24180"/>
      <c r="AZ300" s="24180"/>
      <c r="BA300" s="24180"/>
      <c r="BB300" s="24181"/>
      <c r="BC300" s="24179"/>
      <c r="BD300" s="24180"/>
      <c r="BE300" s="24180"/>
      <c r="BF300" s="24180"/>
      <c r="BG300" s="24180"/>
      <c r="BH300" s="24180"/>
      <c r="BI300" s="24180"/>
      <c r="BJ300" s="24180"/>
      <c r="BK300" s="24180"/>
      <c r="BL300" s="24180"/>
      <c r="BM300" s="24181"/>
      <c r="BN300" s="24076"/>
      <c r="BO300" s="24077"/>
      <c r="BP300" s="24180"/>
      <c r="BQ300" s="24180"/>
      <c r="BR300" s="24077"/>
      <c r="BS300" s="24180"/>
      <c r="BT300" s="24180"/>
      <c r="BU300" s="24180"/>
      <c r="BV300" s="24180"/>
      <c r="BW300" s="24180"/>
      <c r="BX300" s="24181"/>
      <c r="BY300" s="24179"/>
      <c r="BZ300" s="24180"/>
      <c r="CA300" s="24180"/>
      <c r="CB300" s="24180"/>
      <c r="CC300" s="24180"/>
      <c r="CD300" s="24180"/>
      <c r="CE300" s="24180"/>
      <c r="CF300" s="24180"/>
      <c r="CG300" s="24180"/>
      <c r="CH300" s="24180"/>
      <c r="CI300" s="24181"/>
      <c r="CJ300" s="24179"/>
      <c r="CK300" s="24180"/>
      <c r="CL300" s="24180"/>
      <c r="CM300" s="24180"/>
      <c r="CN300" s="24180"/>
      <c r="CO300" s="24180"/>
      <c r="CP300" s="24180"/>
      <c r="CQ300" s="24180"/>
      <c r="CR300" s="24180"/>
      <c r="CS300" s="24180"/>
      <c r="CT300" s="24181"/>
      <c r="CU300" s="24179"/>
      <c r="CV300" s="24180"/>
      <c r="CW300" s="24180"/>
      <c r="CX300" s="24180"/>
      <c r="CY300" s="24180"/>
      <c r="CZ300" s="24180"/>
      <c r="DA300" s="24180"/>
      <c r="DB300" s="24180"/>
      <c r="DC300" s="24180"/>
      <c r="DD300" s="24180"/>
      <c r="DE300" s="24181"/>
      <c r="DF300" s="24179"/>
      <c r="DG300" s="24180"/>
      <c r="DH300" s="24180"/>
      <c r="DI300" s="24180"/>
      <c r="DJ300" s="24180"/>
      <c r="DK300" s="24180"/>
      <c r="DL300" s="24180"/>
      <c r="DM300" s="24180"/>
      <c r="DN300" s="24180"/>
      <c r="DO300" s="24180"/>
      <c r="DP300" s="24181"/>
      <c r="DQ300" s="24179"/>
      <c r="DR300" s="24180"/>
      <c r="DS300" s="24180"/>
      <c r="DT300" s="24180"/>
      <c r="DU300" s="24180"/>
      <c r="DV300" s="24180"/>
      <c r="DW300" s="24180"/>
      <c r="DX300" s="24180"/>
      <c r="DY300" s="24180"/>
      <c r="DZ300" s="24180"/>
      <c r="EA300" s="24181"/>
      <c r="EB300" s="24179"/>
      <c r="EC300" s="24180"/>
      <c r="ED300" s="24180"/>
      <c r="EE300" s="24180"/>
      <c r="EF300" s="24180"/>
      <c r="EG300" s="24180"/>
      <c r="EH300" s="24180"/>
      <c r="EI300" s="24180"/>
      <c r="EJ300" s="24180"/>
      <c r="EK300" s="24180"/>
      <c r="EL300" s="24181"/>
      <c r="EM300" s="24179"/>
      <c r="EN300" s="24180"/>
      <c r="EO300" s="24180"/>
      <c r="EP300" s="24180"/>
      <c r="EQ300" s="24180"/>
      <c r="ER300" s="24180"/>
      <c r="ES300" s="24180"/>
      <c r="ET300" s="24180"/>
      <c r="EU300" s="24180"/>
      <c r="EV300" s="24180"/>
      <c r="EW300" s="24181"/>
      <c r="EX300" s="24076"/>
      <c r="EY300" s="24077"/>
      <c r="EZ300" s="24180"/>
      <c r="FA300" s="24180"/>
      <c r="FB300" s="24077"/>
      <c r="FC300" s="24180"/>
      <c r="FD300" s="24180"/>
      <c r="FE300" s="24180"/>
      <c r="FF300" s="24180"/>
      <c r="FG300" s="24180"/>
      <c r="FH300" s="24181"/>
      <c r="FI300" s="24076"/>
      <c r="FJ300" s="24077"/>
      <c r="FK300" s="24180"/>
      <c r="FL300" s="24180"/>
      <c r="FM300" s="24077"/>
      <c r="FN300" s="24180"/>
      <c r="FO300" s="24180"/>
      <c r="FP300" s="24077"/>
      <c r="FQ300" s="24077"/>
      <c r="FR300" s="24077"/>
      <c r="FS300" s="24181"/>
      <c r="FT300" s="24078"/>
      <c r="FU300" s="1233" t="s">
        <v>711</v>
      </c>
      <c r="FV300" s="1568"/>
      <c r="FW300" s="1550"/>
      <c r="FX300" s="1550" t="str">
        <f t="shared" si="5"/>
        <v>Группа потребителей</v>
      </c>
      <c r="FY300" s="1550"/>
      <c r="FZ300" s="1550"/>
      <c r="GA300" s="1561">
        <v>0</v>
      </c>
    </row>
    <row r="301" spans="1:183" s="1747" customFormat="1" ht="23.25" customHeight="1">
      <c r="A301" s="1289"/>
      <c r="B301" s="1289"/>
      <c r="C301" s="1289"/>
      <c r="D301" s="1289"/>
      <c r="E301" s="24089"/>
      <c r="F301" s="24089"/>
      <c r="G301" s="24089"/>
      <c r="H301" s="24089"/>
      <c r="I301" s="24091"/>
      <c r="J301" s="24091" t="str">
        <f>I295&amp;".1"</f>
        <v>1.12.1.1.1</v>
      </c>
      <c r="K301" s="24090" t="str">
        <f>J300&amp;".1"</f>
        <v>1.12.1.1.2.1</v>
      </c>
      <c r="L301" s="1295"/>
      <c r="M301" s="1674"/>
      <c r="N301" s="1674"/>
      <c r="O301" s="1674"/>
      <c r="P301" s="24092"/>
      <c r="Q301" s="24092"/>
      <c r="R301" s="293">
        <v>1</v>
      </c>
      <c r="S301" s="1976" t="str">
        <f>$K301</f>
        <v>1.12.1.1.2.1</v>
      </c>
      <c r="T301" s="1363"/>
      <c r="U301" s="236"/>
      <c r="V301" s="1286"/>
      <c r="W301" s="1286"/>
      <c r="X301" s="1286"/>
      <c r="Y301" s="1286"/>
      <c r="Z301" s="1286"/>
      <c r="AA301" s="1286"/>
      <c r="AB301" s="1286"/>
      <c r="AC301" s="24086"/>
      <c r="AD301" s="24085" t="s">
        <v>59</v>
      </c>
      <c r="AE301" s="24086"/>
      <c r="AF301" s="24085" t="s">
        <v>59</v>
      </c>
      <c r="AG301" s="687">
        <v>225.68</v>
      </c>
      <c r="AH301" s="687">
        <v>92.53</v>
      </c>
      <c r="AI301" s="687"/>
      <c r="AJ301" s="687"/>
      <c r="AK301" s="687">
        <v>2029.14</v>
      </c>
      <c r="AL301" s="687"/>
      <c r="AM301" s="687"/>
      <c r="AN301" s="24093" t="s">
        <v>9</v>
      </c>
      <c r="AO301" s="23957" t="s">
        <v>59</v>
      </c>
      <c r="AP301" s="24095" t="s">
        <v>770</v>
      </c>
      <c r="AQ301" s="23957" t="s">
        <v>59</v>
      </c>
      <c r="AR301" s="687">
        <v>248.11</v>
      </c>
      <c r="AS301" s="687">
        <v>101.64</v>
      </c>
      <c r="AT301" s="687"/>
      <c r="AU301" s="687"/>
      <c r="AV301" s="687">
        <v>2232.06</v>
      </c>
      <c r="AW301" s="687"/>
      <c r="AX301" s="687"/>
      <c r="AY301" s="24093" t="s">
        <v>772</v>
      </c>
      <c r="AZ301" s="23957" t="s">
        <v>59</v>
      </c>
      <c r="BA301" s="24093" t="s">
        <v>773</v>
      </c>
      <c r="BB301" s="23957" t="s">
        <v>59</v>
      </c>
      <c r="BC301" s="687">
        <v>248.11</v>
      </c>
      <c r="BD301" s="687">
        <v>101.64</v>
      </c>
      <c r="BE301" s="687"/>
      <c r="BF301" s="687"/>
      <c r="BG301" s="687">
        <v>2232.06</v>
      </c>
      <c r="BH301" s="687"/>
      <c r="BI301" s="687"/>
      <c r="BJ301" s="24093" t="s">
        <v>774</v>
      </c>
      <c r="BK301" s="23957" t="s">
        <v>59</v>
      </c>
      <c r="BL301" s="24093" t="s">
        <v>775</v>
      </c>
      <c r="BM301" s="23957" t="s">
        <v>59</v>
      </c>
      <c r="BN301" s="687">
        <v>277.52</v>
      </c>
      <c r="BO301" s="687">
        <v>113.63</v>
      </c>
      <c r="BP301" s="687"/>
      <c r="BQ301" s="687"/>
      <c r="BR301" s="687">
        <v>2497.6799999999998</v>
      </c>
      <c r="BS301" s="687"/>
      <c r="BT301" s="687"/>
      <c r="BU301" s="24093" t="s">
        <v>776</v>
      </c>
      <c r="BV301" s="23957" t="s">
        <v>59</v>
      </c>
      <c r="BW301" s="24093" t="s">
        <v>777</v>
      </c>
      <c r="BX301" s="23957" t="s">
        <v>59</v>
      </c>
      <c r="BY301" s="687">
        <v>282.23</v>
      </c>
      <c r="BZ301" s="687">
        <v>115.52</v>
      </c>
      <c r="CA301" s="687"/>
      <c r="CB301" s="687"/>
      <c r="CC301" s="687">
        <v>2540.67</v>
      </c>
      <c r="CD301" s="687"/>
      <c r="CE301" s="687"/>
      <c r="CF301" s="24093" t="s">
        <v>778</v>
      </c>
      <c r="CG301" s="23957" t="s">
        <v>59</v>
      </c>
      <c r="CH301" s="24185">
        <v>46295</v>
      </c>
      <c r="CI301" s="23957" t="s">
        <v>59</v>
      </c>
      <c r="CJ301" s="687">
        <v>316.10000000000002</v>
      </c>
      <c r="CK301" s="687">
        <v>129.38</v>
      </c>
      <c r="CL301" s="687"/>
      <c r="CM301" s="687"/>
      <c r="CN301" s="687">
        <v>2845.55</v>
      </c>
      <c r="CO301" s="687"/>
      <c r="CP301" s="687"/>
      <c r="CQ301" s="24185">
        <v>46296</v>
      </c>
      <c r="CR301" s="23957" t="s">
        <v>59</v>
      </c>
      <c r="CS301" s="24093" t="s">
        <v>779</v>
      </c>
      <c r="CT301" s="23957" t="s">
        <v>59</v>
      </c>
      <c r="CU301" s="687">
        <f>CJ301</f>
        <v>316.10000000000002</v>
      </c>
      <c r="CV301" s="687">
        <f>CK301</f>
        <v>129.38</v>
      </c>
      <c r="CW301" s="687"/>
      <c r="CX301" s="687"/>
      <c r="CY301" s="687">
        <f>CN301</f>
        <v>2845.55</v>
      </c>
      <c r="CZ301" s="687"/>
      <c r="DA301" s="687"/>
      <c r="DB301" s="24093" t="s">
        <v>780</v>
      </c>
      <c r="DC301" s="23957" t="s">
        <v>59</v>
      </c>
      <c r="DD301" s="24093" t="s">
        <v>781</v>
      </c>
      <c r="DE301" s="23957" t="s">
        <v>59</v>
      </c>
      <c r="DF301" s="687">
        <v>343.61</v>
      </c>
      <c r="DG301" s="687">
        <v>140.63999999999999</v>
      </c>
      <c r="DH301" s="687"/>
      <c r="DI301" s="687"/>
      <c r="DJ301" s="687">
        <v>3093.11</v>
      </c>
      <c r="DK301" s="687"/>
      <c r="DL301" s="687"/>
      <c r="DM301" s="24093" t="s">
        <v>782</v>
      </c>
      <c r="DN301" s="23957" t="s">
        <v>59</v>
      </c>
      <c r="DO301" s="24093" t="s">
        <v>783</v>
      </c>
      <c r="DP301" s="23957" t="s">
        <v>59</v>
      </c>
      <c r="DQ301" s="687">
        <v>343.61</v>
      </c>
      <c r="DR301" s="687">
        <v>140.63999999999999</v>
      </c>
      <c r="DS301" s="687"/>
      <c r="DT301" s="687"/>
      <c r="DU301" s="687">
        <v>3093.11</v>
      </c>
      <c r="DV301" s="687"/>
      <c r="DW301" s="687"/>
      <c r="DX301" s="24093" t="s">
        <v>784</v>
      </c>
      <c r="DY301" s="23957" t="s">
        <v>59</v>
      </c>
      <c r="DZ301" s="24093" t="s">
        <v>785</v>
      </c>
      <c r="EA301" s="23957" t="s">
        <v>59</v>
      </c>
      <c r="EB301" s="687">
        <v>368</v>
      </c>
      <c r="EC301" s="687">
        <v>150.62</v>
      </c>
      <c r="ED301" s="687"/>
      <c r="EE301" s="687"/>
      <c r="EF301" s="687">
        <v>3312.73</v>
      </c>
      <c r="EG301" s="687"/>
      <c r="EH301" s="687"/>
      <c r="EI301" s="24093" t="s">
        <v>786</v>
      </c>
      <c r="EJ301" s="23957" t="s">
        <v>59</v>
      </c>
      <c r="EK301" s="24093" t="s">
        <v>787</v>
      </c>
      <c r="EL301" s="23957" t="s">
        <v>6</v>
      </c>
      <c r="EM301" s="1286"/>
      <c r="EN301" s="1286"/>
      <c r="EO301" s="1286"/>
      <c r="EP301" s="1286"/>
      <c r="EQ301" s="1286"/>
      <c r="ER301" s="1286"/>
      <c r="ES301" s="1286"/>
      <c r="ET301" s="24086"/>
      <c r="EU301" s="24085" t="s">
        <v>59</v>
      </c>
      <c r="EV301" s="24086"/>
      <c r="EW301" s="24085" t="s">
        <v>59</v>
      </c>
      <c r="EX301" s="1286"/>
      <c r="EY301" s="1286"/>
      <c r="EZ301" s="1286"/>
      <c r="FA301" s="1286"/>
      <c r="FB301" s="1286"/>
      <c r="FC301" s="1286"/>
      <c r="FD301" s="1286"/>
      <c r="FE301" s="24086"/>
      <c r="FF301" s="24085" t="s">
        <v>59</v>
      </c>
      <c r="FG301" s="24086"/>
      <c r="FH301" s="24085" t="s">
        <v>59</v>
      </c>
      <c r="FI301" s="1286"/>
      <c r="FJ301" s="1286"/>
      <c r="FK301" s="1286"/>
      <c r="FL301" s="1286"/>
      <c r="FM301" s="1286"/>
      <c r="FN301" s="1286"/>
      <c r="FO301" s="1286"/>
      <c r="FP301" s="24086"/>
      <c r="FQ301" s="24085" t="s">
        <v>59</v>
      </c>
      <c r="FR301" s="24086"/>
      <c r="FS301" s="24085" t="s">
        <v>59</v>
      </c>
      <c r="FT301" s="1364"/>
      <c r="FU30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01" s="1568" t="e">
        <f ca="1">STRCHECKDATE(V302:FT302)</f>
        <v>#NAME?</v>
      </c>
      <c r="FW301" s="1550"/>
      <c r="FX301" s="1550" t="str">
        <f t="shared" si="5"/>
        <v/>
      </c>
      <c r="FY301" s="1550"/>
      <c r="FZ301" s="1550"/>
      <c r="GA301" s="1561">
        <v>0</v>
      </c>
    </row>
    <row r="302" spans="1:183" s="1747" customFormat="1" ht="14.25" customHeight="1">
      <c r="A302" s="1289"/>
      <c r="B302" s="1289"/>
      <c r="C302" s="1289"/>
      <c r="D302" s="1289"/>
      <c r="E302" s="24089"/>
      <c r="F302" s="24089"/>
      <c r="G302" s="24089"/>
      <c r="H302" s="24089"/>
      <c r="I302" s="24091"/>
      <c r="J302" s="24091" t="str">
        <f>I295&amp;".1"</f>
        <v>1.12.1.1.1</v>
      </c>
      <c r="K302" s="24090"/>
      <c r="L302" s="1295"/>
      <c r="M302" s="1674"/>
      <c r="N302" s="1674"/>
      <c r="O302" s="1674"/>
      <c r="P302" s="24092"/>
      <c r="Q302" s="24092"/>
      <c r="R302" s="293"/>
      <c r="S302" s="1982"/>
      <c r="T302" s="236"/>
      <c r="U302" s="236"/>
      <c r="V302" s="1286"/>
      <c r="W302" s="1286"/>
      <c r="X302" s="1286"/>
      <c r="Y302" s="1286"/>
      <c r="Z302" s="1286"/>
      <c r="AA302" s="1286"/>
      <c r="AB302" s="1286"/>
      <c r="AC302" s="24085"/>
      <c r="AD302" s="24085"/>
      <c r="AE302" s="24085"/>
      <c r="AF302" s="24085"/>
      <c r="AG302" s="261"/>
      <c r="AH302" s="261"/>
      <c r="AI302" s="261"/>
      <c r="AJ302" s="261"/>
      <c r="AK302" s="261"/>
      <c r="AL302" s="261"/>
      <c r="AM302" s="261"/>
      <c r="AN302" s="24094"/>
      <c r="AO302" s="23957"/>
      <c r="AP302" s="24096"/>
      <c r="AQ302" s="23957"/>
      <c r="AR302" s="261"/>
      <c r="AS302" s="261"/>
      <c r="AT302" s="261"/>
      <c r="AU302" s="261"/>
      <c r="AV302" s="261"/>
      <c r="AW302" s="261"/>
      <c r="AX302" s="261"/>
      <c r="AY302" s="24094"/>
      <c r="AZ302" s="23957"/>
      <c r="BA302" s="24094"/>
      <c r="BB302" s="23957"/>
      <c r="BC302" s="261"/>
      <c r="BD302" s="261"/>
      <c r="BE302" s="261"/>
      <c r="BF302" s="261"/>
      <c r="BG302" s="261"/>
      <c r="BH302" s="261"/>
      <c r="BI302" s="261"/>
      <c r="BJ302" s="24094"/>
      <c r="BK302" s="23957"/>
      <c r="BL302" s="24094"/>
      <c r="BM302" s="23957"/>
      <c r="BN302" s="261"/>
      <c r="BO302" s="261"/>
      <c r="BP302" s="261"/>
      <c r="BQ302" s="261"/>
      <c r="BR302" s="261"/>
      <c r="BS302" s="261"/>
      <c r="BT302" s="261"/>
      <c r="BU302" s="24094"/>
      <c r="BV302" s="23957"/>
      <c r="BW302" s="24094"/>
      <c r="BX302" s="23957"/>
      <c r="BY302" s="261"/>
      <c r="BZ302" s="261"/>
      <c r="CA302" s="261"/>
      <c r="CB302" s="261"/>
      <c r="CC302" s="261"/>
      <c r="CD302" s="261"/>
      <c r="CE302" s="261"/>
      <c r="CF302" s="24094"/>
      <c r="CG302" s="23957"/>
      <c r="CH302" s="24094"/>
      <c r="CI302" s="23957"/>
      <c r="CJ302" s="261"/>
      <c r="CK302" s="261"/>
      <c r="CL302" s="261"/>
      <c r="CM302" s="261"/>
      <c r="CN302" s="261"/>
      <c r="CO302" s="261"/>
      <c r="CP302" s="261"/>
      <c r="CQ302" s="24094"/>
      <c r="CR302" s="23957"/>
      <c r="CS302" s="24094"/>
      <c r="CT302" s="23957"/>
      <c r="CU302" s="261"/>
      <c r="CV302" s="261"/>
      <c r="CW302" s="261"/>
      <c r="CX302" s="261"/>
      <c r="CY302" s="261"/>
      <c r="CZ302" s="261"/>
      <c r="DA302" s="261"/>
      <c r="DB302" s="24094"/>
      <c r="DC302" s="23957"/>
      <c r="DD302" s="24094"/>
      <c r="DE302" s="23957"/>
      <c r="DF302" s="261"/>
      <c r="DG302" s="261"/>
      <c r="DH302" s="261"/>
      <c r="DI302" s="261"/>
      <c r="DJ302" s="261"/>
      <c r="DK302" s="261"/>
      <c r="DL302" s="261"/>
      <c r="DM302" s="24094"/>
      <c r="DN302" s="23957"/>
      <c r="DO302" s="24094"/>
      <c r="DP302" s="23957"/>
      <c r="DQ302" s="261"/>
      <c r="DR302" s="261"/>
      <c r="DS302" s="261"/>
      <c r="DT302" s="261"/>
      <c r="DU302" s="261"/>
      <c r="DV302" s="261"/>
      <c r="DW302" s="261"/>
      <c r="DX302" s="24094"/>
      <c r="DY302" s="23957"/>
      <c r="DZ302" s="24094"/>
      <c r="EA302" s="23957"/>
      <c r="EB302" s="261"/>
      <c r="EC302" s="261"/>
      <c r="ED302" s="261"/>
      <c r="EE302" s="261"/>
      <c r="EF302" s="261"/>
      <c r="EG302" s="261"/>
      <c r="EH302" s="261"/>
      <c r="EI302" s="24094"/>
      <c r="EJ302" s="23957"/>
      <c r="EK302" s="24094"/>
      <c r="EL302" s="23957"/>
      <c r="EM302" s="1286"/>
      <c r="EN302" s="1286"/>
      <c r="EO302" s="1286"/>
      <c r="EP302" s="1286"/>
      <c r="EQ302" s="1286"/>
      <c r="ER302" s="1286"/>
      <c r="ES302" s="1286"/>
      <c r="ET302" s="24085"/>
      <c r="EU302" s="24085"/>
      <c r="EV302" s="24085"/>
      <c r="EW302" s="24085"/>
      <c r="EX302" s="1286"/>
      <c r="EY302" s="1286"/>
      <c r="EZ302" s="1286"/>
      <c r="FA302" s="1286"/>
      <c r="FB302" s="1286"/>
      <c r="FC302" s="1286"/>
      <c r="FD302" s="1286"/>
      <c r="FE302" s="24085"/>
      <c r="FF302" s="24085"/>
      <c r="FG302" s="24085"/>
      <c r="FH302" s="24085"/>
      <c r="FI302" s="1286"/>
      <c r="FJ302" s="1286"/>
      <c r="FK302" s="1286"/>
      <c r="FL302" s="1286"/>
      <c r="FM302" s="1286"/>
      <c r="FN302" s="1286"/>
      <c r="FO302" s="1286"/>
      <c r="FP302" s="24085"/>
      <c r="FQ302" s="24085"/>
      <c r="FR302" s="24085"/>
      <c r="FS302" s="24085"/>
      <c r="FT302" s="1365"/>
      <c r="FU302" s="24162"/>
      <c r="FV302" s="1568"/>
      <c r="FW302" s="1550"/>
      <c r="FX302" s="1550" t="str">
        <f t="shared" si="5"/>
        <v/>
      </c>
      <c r="FY302" s="1550"/>
      <c r="FZ302" s="1550"/>
      <c r="GA302" s="1561">
        <v>0</v>
      </c>
    </row>
    <row r="303" spans="1:183" s="1747" customFormat="1" ht="21" customHeight="1">
      <c r="A303" s="1289"/>
      <c r="B303" s="1289"/>
      <c r="C303" s="1289"/>
      <c r="D303" s="1289"/>
      <c r="E303" s="24089"/>
      <c r="F303" s="24089"/>
      <c r="G303" s="24089"/>
      <c r="H303" s="24089"/>
      <c r="I303" s="24091"/>
      <c r="J303" s="24090" t="str">
        <f>I295&amp;".1"</f>
        <v>1.12.1.1.1</v>
      </c>
      <c r="K303" s="1289"/>
      <c r="L303" s="1295"/>
      <c r="M303" s="1674"/>
      <c r="N303" s="1674"/>
      <c r="O303" s="1674"/>
      <c r="P303" s="24092"/>
      <c r="Q303" s="24092"/>
      <c r="R303" s="292"/>
      <c r="S303" s="4381"/>
      <c r="T303" s="4382" t="s">
        <v>712</v>
      </c>
      <c r="U303" s="4383"/>
      <c r="V303" s="4384"/>
      <c r="W303" s="4385"/>
      <c r="X303" s="4386"/>
      <c r="Y303" s="4387"/>
      <c r="Z303" s="4388"/>
      <c r="AA303" s="4389"/>
      <c r="AB303" s="4390"/>
      <c r="AC303" s="4391"/>
      <c r="AD303" s="4392"/>
      <c r="AE303" s="4393"/>
      <c r="AF303" s="4394"/>
      <c r="AG303" s="4395"/>
      <c r="AH303" s="4396"/>
      <c r="AI303" s="4397"/>
      <c r="AJ303" s="4398"/>
      <c r="AK303" s="4399"/>
      <c r="AL303" s="4400"/>
      <c r="AM303" s="4401"/>
      <c r="AN303" s="4402"/>
      <c r="AO303" s="4403"/>
      <c r="AP303" s="4404"/>
      <c r="AQ303" s="4405"/>
      <c r="AR303" s="7503"/>
      <c r="AS303" s="7504"/>
      <c r="AT303" s="7505"/>
      <c r="AU303" s="7506"/>
      <c r="AV303" s="7507"/>
      <c r="AW303" s="7508"/>
      <c r="AX303" s="7509"/>
      <c r="AY303" s="7510"/>
      <c r="AZ303" s="7511"/>
      <c r="BA303" s="7512"/>
      <c r="BB303" s="7513"/>
      <c r="BC303" s="7514"/>
      <c r="BD303" s="7515"/>
      <c r="BE303" s="16075"/>
      <c r="BF303" s="16076"/>
      <c r="BG303" s="21899"/>
      <c r="BH303" s="16077"/>
      <c r="BI303" s="16078"/>
      <c r="BJ303" s="16079"/>
      <c r="BK303" s="16080"/>
      <c r="BL303" s="16081"/>
      <c r="BM303" s="16082"/>
      <c r="BN303" s="4406"/>
      <c r="BO303" s="4407"/>
      <c r="BP303" s="16083"/>
      <c r="BQ303" s="16084"/>
      <c r="BR303" s="4408"/>
      <c r="BS303" s="16085"/>
      <c r="BT303" s="16086"/>
      <c r="BU303" s="16087"/>
      <c r="BV303" s="16088"/>
      <c r="BW303" s="16089"/>
      <c r="BX303" s="16090"/>
      <c r="BY303" s="16091"/>
      <c r="BZ303" s="16092"/>
      <c r="CA303" s="16093"/>
      <c r="CB303" s="16094"/>
      <c r="CC303" s="16095"/>
      <c r="CD303" s="16096"/>
      <c r="CE303" s="16097"/>
      <c r="CF303" s="16098"/>
      <c r="CG303" s="16099"/>
      <c r="CH303" s="16100"/>
      <c r="CI303" s="16101"/>
      <c r="CJ303" s="16102"/>
      <c r="CK303" s="16103"/>
      <c r="CL303" s="16104"/>
      <c r="CM303" s="16105"/>
      <c r="CN303" s="16106"/>
      <c r="CO303" s="16107"/>
      <c r="CP303" s="16108"/>
      <c r="CQ303" s="16109"/>
      <c r="CR303" s="16110"/>
      <c r="CS303" s="16111"/>
      <c r="CT303" s="16112"/>
      <c r="CU303" s="16113"/>
      <c r="CV303" s="16114"/>
      <c r="CW303" s="16115"/>
      <c r="CX303" s="16116"/>
      <c r="CY303" s="16117"/>
      <c r="CZ303" s="16118"/>
      <c r="DA303" s="16119"/>
      <c r="DB303" s="16120"/>
      <c r="DC303" s="16121"/>
      <c r="DD303" s="16122"/>
      <c r="DE303" s="16123"/>
      <c r="DF303" s="16124"/>
      <c r="DG303" s="16125"/>
      <c r="DH303" s="16126"/>
      <c r="DI303" s="16127"/>
      <c r="DJ303" s="16128"/>
      <c r="DK303" s="16129"/>
      <c r="DL303" s="16130"/>
      <c r="DM303" s="16131"/>
      <c r="DN303" s="16132"/>
      <c r="DO303" s="16133"/>
      <c r="DP303" s="16134"/>
      <c r="DQ303" s="16135"/>
      <c r="DR303" s="16136"/>
      <c r="DS303" s="16137"/>
      <c r="DT303" s="16138"/>
      <c r="DU303" s="16139"/>
      <c r="DV303" s="16140"/>
      <c r="DW303" s="16141"/>
      <c r="DX303" s="16142"/>
      <c r="DY303" s="16143"/>
      <c r="DZ303" s="16144"/>
      <c r="EA303" s="16145"/>
      <c r="EB303" s="16146"/>
      <c r="EC303" s="16147"/>
      <c r="ED303" s="16148"/>
      <c r="EE303" s="16149"/>
      <c r="EF303" s="16150"/>
      <c r="EG303" s="16151"/>
      <c r="EH303" s="16152"/>
      <c r="EI303" s="16153"/>
      <c r="EJ303" s="16154"/>
      <c r="EK303" s="16155"/>
      <c r="EL303" s="16156"/>
      <c r="EM303" s="21653"/>
      <c r="EN303" s="21654"/>
      <c r="EO303" s="16157"/>
      <c r="EP303" s="16158"/>
      <c r="EQ303" s="21655"/>
      <c r="ER303" s="16159"/>
      <c r="ES303" s="16160"/>
      <c r="ET303" s="16161"/>
      <c r="EU303" s="16162"/>
      <c r="EV303" s="16163"/>
      <c r="EW303" s="16164"/>
      <c r="EX303" s="4409"/>
      <c r="EY303" s="4410"/>
      <c r="EZ303" s="16165"/>
      <c r="FA303" s="16166"/>
      <c r="FB303" s="4411"/>
      <c r="FC303" s="16167"/>
      <c r="FD303" s="16168"/>
      <c r="FE303" s="16169"/>
      <c r="FF303" s="16170"/>
      <c r="FG303" s="16171"/>
      <c r="FH303" s="5735"/>
      <c r="FI303" s="22884"/>
      <c r="FJ303" s="22885"/>
      <c r="FK303" s="23637"/>
      <c r="FL303" s="23638"/>
      <c r="FM303" s="22886"/>
      <c r="FN303" s="23639"/>
      <c r="FO303" s="23640"/>
      <c r="FP303" s="22887"/>
      <c r="FQ303" s="22888"/>
      <c r="FR303" s="22889"/>
      <c r="FS303" s="23641"/>
      <c r="FT303" s="4412"/>
      <c r="FU303" s="1184" t="s">
        <v>713</v>
      </c>
      <c r="FV303" s="1568"/>
      <c r="FW303" s="1550"/>
      <c r="FX303" s="1550" t="str">
        <f t="shared" si="5"/>
        <v>Добавить значение признака дифференциации</v>
      </c>
      <c r="FY303" s="1550"/>
      <c r="FZ303" s="1550"/>
      <c r="GA303" s="1561">
        <v>0</v>
      </c>
    </row>
    <row r="304" spans="1:183" s="1747" customFormat="1" ht="21" customHeight="1">
      <c r="A304" s="1289"/>
      <c r="B304" s="1289"/>
      <c r="C304" s="1289"/>
      <c r="D304" s="1289"/>
      <c r="E304" s="24089"/>
      <c r="F304" s="24089" t="s">
        <v>138</v>
      </c>
      <c r="G304" s="24089"/>
      <c r="H304" s="24089"/>
      <c r="I304" s="24090"/>
      <c r="J304" s="1289"/>
      <c r="K304" s="1289"/>
      <c r="L304" s="1295"/>
      <c r="M304" s="1674"/>
      <c r="N304" s="1674"/>
      <c r="O304" s="1674"/>
      <c r="P304" s="24092"/>
      <c r="Q304" s="1978"/>
      <c r="R304" s="292"/>
      <c r="S304" s="4413"/>
      <c r="T304" s="4414" t="s">
        <v>641</v>
      </c>
      <c r="U304" s="4415"/>
      <c r="V304" s="4416"/>
      <c r="W304" s="4417"/>
      <c r="X304" s="4418"/>
      <c r="Y304" s="4419"/>
      <c r="Z304" s="4420"/>
      <c r="AA304" s="4421"/>
      <c r="AB304" s="4422"/>
      <c r="AC304" s="4423"/>
      <c r="AD304" s="4424"/>
      <c r="AE304" s="4425"/>
      <c r="AF304" s="4426"/>
      <c r="AG304" s="4427"/>
      <c r="AH304" s="4428"/>
      <c r="AI304" s="4429"/>
      <c r="AJ304" s="4430"/>
      <c r="AK304" s="4431"/>
      <c r="AL304" s="4432"/>
      <c r="AM304" s="4433"/>
      <c r="AN304" s="4434"/>
      <c r="AO304" s="4435"/>
      <c r="AP304" s="4436"/>
      <c r="AQ304" s="4437"/>
      <c r="AR304" s="7516"/>
      <c r="AS304" s="7517"/>
      <c r="AT304" s="7518"/>
      <c r="AU304" s="7519"/>
      <c r="AV304" s="7520"/>
      <c r="AW304" s="7521"/>
      <c r="AX304" s="7522"/>
      <c r="AY304" s="7523"/>
      <c r="AZ304" s="7524"/>
      <c r="BA304" s="7525"/>
      <c r="BB304" s="7526"/>
      <c r="BC304" s="7527"/>
      <c r="BD304" s="7528"/>
      <c r="BE304" s="16172"/>
      <c r="BF304" s="16173"/>
      <c r="BG304" s="21900"/>
      <c r="BH304" s="16174"/>
      <c r="BI304" s="16175"/>
      <c r="BJ304" s="16176"/>
      <c r="BK304" s="16177"/>
      <c r="BL304" s="16178"/>
      <c r="BM304" s="16179"/>
      <c r="BN304" s="4438"/>
      <c r="BO304" s="4439"/>
      <c r="BP304" s="16180"/>
      <c r="BQ304" s="16181"/>
      <c r="BR304" s="4440"/>
      <c r="BS304" s="16182"/>
      <c r="BT304" s="16183"/>
      <c r="BU304" s="16184"/>
      <c r="BV304" s="16185"/>
      <c r="BW304" s="16186"/>
      <c r="BX304" s="16187"/>
      <c r="BY304" s="16188"/>
      <c r="BZ304" s="16189"/>
      <c r="CA304" s="16190"/>
      <c r="CB304" s="16191"/>
      <c r="CC304" s="16192"/>
      <c r="CD304" s="16193"/>
      <c r="CE304" s="16194"/>
      <c r="CF304" s="16195"/>
      <c r="CG304" s="16196"/>
      <c r="CH304" s="16197"/>
      <c r="CI304" s="16198"/>
      <c r="CJ304" s="16199"/>
      <c r="CK304" s="16200"/>
      <c r="CL304" s="16201"/>
      <c r="CM304" s="16202"/>
      <c r="CN304" s="16203"/>
      <c r="CO304" s="16204"/>
      <c r="CP304" s="16205"/>
      <c r="CQ304" s="16206"/>
      <c r="CR304" s="16207"/>
      <c r="CS304" s="16208"/>
      <c r="CT304" s="16209"/>
      <c r="CU304" s="16210"/>
      <c r="CV304" s="16211"/>
      <c r="CW304" s="16212"/>
      <c r="CX304" s="16213"/>
      <c r="CY304" s="16214"/>
      <c r="CZ304" s="16215"/>
      <c r="DA304" s="16216"/>
      <c r="DB304" s="16217"/>
      <c r="DC304" s="16218"/>
      <c r="DD304" s="16219"/>
      <c r="DE304" s="16220"/>
      <c r="DF304" s="16221"/>
      <c r="DG304" s="16222"/>
      <c r="DH304" s="16223"/>
      <c r="DI304" s="16224"/>
      <c r="DJ304" s="16225"/>
      <c r="DK304" s="16226"/>
      <c r="DL304" s="16227"/>
      <c r="DM304" s="16228"/>
      <c r="DN304" s="16229"/>
      <c r="DO304" s="16230"/>
      <c r="DP304" s="16231"/>
      <c r="DQ304" s="16232"/>
      <c r="DR304" s="16233"/>
      <c r="DS304" s="16234"/>
      <c r="DT304" s="16235"/>
      <c r="DU304" s="16236"/>
      <c r="DV304" s="16237"/>
      <c r="DW304" s="16238"/>
      <c r="DX304" s="16239"/>
      <c r="DY304" s="16240"/>
      <c r="DZ304" s="16241"/>
      <c r="EA304" s="16242"/>
      <c r="EB304" s="16243"/>
      <c r="EC304" s="16244"/>
      <c r="ED304" s="16245"/>
      <c r="EE304" s="16246"/>
      <c r="EF304" s="16247"/>
      <c r="EG304" s="16248"/>
      <c r="EH304" s="16249"/>
      <c r="EI304" s="16250"/>
      <c r="EJ304" s="16251"/>
      <c r="EK304" s="16252"/>
      <c r="EL304" s="16253"/>
      <c r="EM304" s="21656"/>
      <c r="EN304" s="21657"/>
      <c r="EO304" s="16254"/>
      <c r="EP304" s="16255"/>
      <c r="EQ304" s="21658"/>
      <c r="ER304" s="16256"/>
      <c r="ES304" s="16257"/>
      <c r="ET304" s="16258"/>
      <c r="EU304" s="16259"/>
      <c r="EV304" s="16260"/>
      <c r="EW304" s="16261"/>
      <c r="EX304" s="4441"/>
      <c r="EY304" s="4442"/>
      <c r="EZ304" s="16262"/>
      <c r="FA304" s="16263"/>
      <c r="FB304" s="4443"/>
      <c r="FC304" s="16264"/>
      <c r="FD304" s="16265"/>
      <c r="FE304" s="16266"/>
      <c r="FF304" s="16267"/>
      <c r="FG304" s="16268"/>
      <c r="FH304" s="5736"/>
      <c r="FI304" s="22890"/>
      <c r="FJ304" s="22891"/>
      <c r="FK304" s="23642"/>
      <c r="FL304" s="23643"/>
      <c r="FM304" s="22892"/>
      <c r="FN304" s="23644"/>
      <c r="FO304" s="23645"/>
      <c r="FP304" s="22893"/>
      <c r="FQ304" s="22894"/>
      <c r="FR304" s="22895"/>
      <c r="FS304" s="23646"/>
      <c r="FT304" s="4444"/>
      <c r="FU304" s="4445"/>
      <c r="FV304" s="1568"/>
      <c r="FW304" s="1550"/>
      <c r="FX304" s="1550" t="str">
        <f t="shared" si="5"/>
        <v>Добавить группу потребителей</v>
      </c>
      <c r="FY304" s="1550"/>
      <c r="FZ304" s="1550"/>
      <c r="GA304" s="1561">
        <v>0</v>
      </c>
    </row>
    <row r="305" spans="1:183" s="1747" customFormat="1" ht="21" customHeight="1">
      <c r="A305" s="1289"/>
      <c r="B305" s="1289"/>
      <c r="C305" s="1289"/>
      <c r="D305" s="1289"/>
      <c r="E305" s="24089"/>
      <c r="F305" s="24089" t="s">
        <v>138</v>
      </c>
      <c r="G305" s="24089"/>
      <c r="H305" s="24088"/>
      <c r="I305" s="1289"/>
      <c r="J305" s="1289"/>
      <c r="K305" s="1289"/>
      <c r="L305" s="1295"/>
      <c r="M305" s="1291"/>
      <c r="N305" s="1291"/>
      <c r="O305" s="1292"/>
      <c r="P305" s="1720"/>
      <c r="Q305" s="311"/>
      <c r="R305" s="291"/>
      <c r="S305" s="4446"/>
      <c r="T305" s="4447" t="s">
        <v>714</v>
      </c>
      <c r="U305" s="4448"/>
      <c r="V305" s="4449"/>
      <c r="W305" s="4450"/>
      <c r="X305" s="4451"/>
      <c r="Y305" s="4452"/>
      <c r="Z305" s="4453"/>
      <c r="AA305" s="4454"/>
      <c r="AB305" s="4455"/>
      <c r="AC305" s="4456"/>
      <c r="AD305" s="4457"/>
      <c r="AE305" s="4458"/>
      <c r="AF305" s="4459"/>
      <c r="AG305" s="4460"/>
      <c r="AH305" s="4461"/>
      <c r="AI305" s="4462"/>
      <c r="AJ305" s="4463"/>
      <c r="AK305" s="4464"/>
      <c r="AL305" s="4465"/>
      <c r="AM305" s="4466"/>
      <c r="AN305" s="4467"/>
      <c r="AO305" s="4468"/>
      <c r="AP305" s="4469"/>
      <c r="AQ305" s="4470"/>
      <c r="AR305" s="7529"/>
      <c r="AS305" s="7530"/>
      <c r="AT305" s="7531"/>
      <c r="AU305" s="7532"/>
      <c r="AV305" s="7533"/>
      <c r="AW305" s="7534"/>
      <c r="AX305" s="7535"/>
      <c r="AY305" s="7536"/>
      <c r="AZ305" s="7537"/>
      <c r="BA305" s="7538"/>
      <c r="BB305" s="7539"/>
      <c r="BC305" s="7540"/>
      <c r="BD305" s="7541"/>
      <c r="BE305" s="16269"/>
      <c r="BF305" s="16270"/>
      <c r="BG305" s="21901"/>
      <c r="BH305" s="16271"/>
      <c r="BI305" s="16272"/>
      <c r="BJ305" s="16273"/>
      <c r="BK305" s="16274"/>
      <c r="BL305" s="16275"/>
      <c r="BM305" s="16276"/>
      <c r="BN305" s="4471"/>
      <c r="BO305" s="4472"/>
      <c r="BP305" s="16277"/>
      <c r="BQ305" s="16278"/>
      <c r="BR305" s="4473"/>
      <c r="BS305" s="16279"/>
      <c r="BT305" s="16280"/>
      <c r="BU305" s="16281"/>
      <c r="BV305" s="16282"/>
      <c r="BW305" s="16283"/>
      <c r="BX305" s="16284"/>
      <c r="BY305" s="16285"/>
      <c r="BZ305" s="16286"/>
      <c r="CA305" s="16287"/>
      <c r="CB305" s="16288"/>
      <c r="CC305" s="16289"/>
      <c r="CD305" s="16290"/>
      <c r="CE305" s="16291"/>
      <c r="CF305" s="16292"/>
      <c r="CG305" s="16293"/>
      <c r="CH305" s="16294"/>
      <c r="CI305" s="16295"/>
      <c r="CJ305" s="16296"/>
      <c r="CK305" s="16297"/>
      <c r="CL305" s="16298"/>
      <c r="CM305" s="16299"/>
      <c r="CN305" s="16300"/>
      <c r="CO305" s="16301"/>
      <c r="CP305" s="16302"/>
      <c r="CQ305" s="16303"/>
      <c r="CR305" s="16304"/>
      <c r="CS305" s="16305"/>
      <c r="CT305" s="16306"/>
      <c r="CU305" s="16307"/>
      <c r="CV305" s="16308"/>
      <c r="CW305" s="16309"/>
      <c r="CX305" s="16310"/>
      <c r="CY305" s="16311"/>
      <c r="CZ305" s="16312"/>
      <c r="DA305" s="16313"/>
      <c r="DB305" s="16314"/>
      <c r="DC305" s="16315"/>
      <c r="DD305" s="16316"/>
      <c r="DE305" s="16317"/>
      <c r="DF305" s="16318"/>
      <c r="DG305" s="16319"/>
      <c r="DH305" s="16320"/>
      <c r="DI305" s="16321"/>
      <c r="DJ305" s="16322"/>
      <c r="DK305" s="16323"/>
      <c r="DL305" s="16324"/>
      <c r="DM305" s="16325"/>
      <c r="DN305" s="16326"/>
      <c r="DO305" s="16327"/>
      <c r="DP305" s="16328"/>
      <c r="DQ305" s="16329"/>
      <c r="DR305" s="16330"/>
      <c r="DS305" s="16331"/>
      <c r="DT305" s="16332"/>
      <c r="DU305" s="16333"/>
      <c r="DV305" s="16334"/>
      <c r="DW305" s="16335"/>
      <c r="DX305" s="16336"/>
      <c r="DY305" s="16337"/>
      <c r="DZ305" s="16338"/>
      <c r="EA305" s="16339"/>
      <c r="EB305" s="16340"/>
      <c r="EC305" s="16341"/>
      <c r="ED305" s="16342"/>
      <c r="EE305" s="16343"/>
      <c r="EF305" s="16344"/>
      <c r="EG305" s="16345"/>
      <c r="EH305" s="16346"/>
      <c r="EI305" s="16347"/>
      <c r="EJ305" s="16348"/>
      <c r="EK305" s="16349"/>
      <c r="EL305" s="16350"/>
      <c r="EM305" s="21659"/>
      <c r="EN305" s="21660"/>
      <c r="EO305" s="16351"/>
      <c r="EP305" s="16352"/>
      <c r="EQ305" s="21661"/>
      <c r="ER305" s="16353"/>
      <c r="ES305" s="16354"/>
      <c r="ET305" s="16355"/>
      <c r="EU305" s="16356"/>
      <c r="EV305" s="16357"/>
      <c r="EW305" s="16358"/>
      <c r="EX305" s="4474"/>
      <c r="EY305" s="4475"/>
      <c r="EZ305" s="16359"/>
      <c r="FA305" s="16360"/>
      <c r="FB305" s="4476"/>
      <c r="FC305" s="16361"/>
      <c r="FD305" s="16362"/>
      <c r="FE305" s="16363"/>
      <c r="FF305" s="16364"/>
      <c r="FG305" s="16365"/>
      <c r="FH305" s="5737"/>
      <c r="FI305" s="22896"/>
      <c r="FJ305" s="22897"/>
      <c r="FK305" s="23647"/>
      <c r="FL305" s="23648"/>
      <c r="FM305" s="22898"/>
      <c r="FN305" s="23649"/>
      <c r="FO305" s="23650"/>
      <c r="FP305" s="22899"/>
      <c r="FQ305" s="22900"/>
      <c r="FR305" s="22901"/>
      <c r="FS305" s="23651"/>
      <c r="FT305" s="4477"/>
      <c r="FU305" s="4478"/>
      <c r="FV305" s="1568"/>
      <c r="FW305" s="1550"/>
      <c r="FX305" s="1550" t="str">
        <f t="shared" si="5"/>
        <v>Добавить наименование признака дифференциации</v>
      </c>
      <c r="FY305" s="1550"/>
      <c r="FZ305" s="1550"/>
      <c r="GA305" s="1561">
        <v>0</v>
      </c>
    </row>
    <row r="306" spans="1:183" s="1747" customFormat="1" ht="23.25" customHeight="1">
      <c r="A306" s="1289"/>
      <c r="B306" s="1289"/>
      <c r="C306" s="1289" t="s">
        <v>428</v>
      </c>
      <c r="D306" s="1289"/>
      <c r="E306" s="24089"/>
      <c r="F306" s="24089"/>
      <c r="G306" s="24088" t="s">
        <v>95</v>
      </c>
      <c r="H306" s="1289"/>
      <c r="I306" s="1289"/>
      <c r="J306" s="1289"/>
      <c r="K306" s="1289"/>
      <c r="L306" s="1295"/>
      <c r="M306" s="1291"/>
      <c r="N306" s="1291"/>
      <c r="O306" s="1291"/>
      <c r="P306" s="290"/>
      <c r="Q306" s="288"/>
      <c r="R306" s="289"/>
      <c r="S306" s="1976" t="str">
        <f>INDEX(PT_DIFFERENTIATION_NUM_CS,MATCH(C306,PT_DIFFERENTIATION_CS_ID,0))</f>
        <v>1.12.2</v>
      </c>
      <c r="T306" s="245" t="s">
        <v>756</v>
      </c>
      <c r="U306" s="236"/>
      <c r="V306" s="24082"/>
      <c r="W306" s="24083"/>
      <c r="X306" s="24083"/>
      <c r="Y306" s="24083"/>
      <c r="Z306" s="24083"/>
      <c r="AA306" s="24083"/>
      <c r="AB306" s="24083"/>
      <c r="AC306" s="24083"/>
      <c r="AD306" s="24083"/>
      <c r="AE306" s="24083"/>
      <c r="AF306" s="24084"/>
      <c r="AG306" s="24082" t="str">
        <f>INDEX(PT_DIFFERENTIATION_CS,MATCH(C306,PT_DIFFERENTIATION_CS_ID,0))</f>
        <v>г. Сафоново (для потребителей, теплоснабжение которых осуществляется от котельной по ул. Первомайская)</v>
      </c>
      <c r="AH306" s="24083"/>
      <c r="AI306" s="24083"/>
      <c r="AJ306" s="24083"/>
      <c r="AK306" s="24083"/>
      <c r="AL306" s="24083"/>
      <c r="AM306" s="24083"/>
      <c r="AN306" s="24083"/>
      <c r="AO306" s="24083"/>
      <c r="AP306" s="24083"/>
      <c r="AQ306" s="24083"/>
      <c r="AR306" s="24173"/>
      <c r="AS306" s="24174"/>
      <c r="AT306" s="24174"/>
      <c r="AU306" s="24174"/>
      <c r="AV306" s="24174"/>
      <c r="AW306" s="24174"/>
      <c r="AX306" s="24174"/>
      <c r="AY306" s="24174"/>
      <c r="AZ306" s="24174"/>
      <c r="BA306" s="24174"/>
      <c r="BB306" s="24175"/>
      <c r="BC306" s="24173"/>
      <c r="BD306" s="24174"/>
      <c r="BE306" s="24174"/>
      <c r="BF306" s="24174"/>
      <c r="BG306" s="24174"/>
      <c r="BH306" s="24174"/>
      <c r="BI306" s="24174"/>
      <c r="BJ306" s="24174"/>
      <c r="BK306" s="24174"/>
      <c r="BL306" s="24174"/>
      <c r="BM306" s="24175"/>
      <c r="BN306" s="24082"/>
      <c r="BO306" s="24083"/>
      <c r="BP306" s="24174"/>
      <c r="BQ306" s="24174"/>
      <c r="BR306" s="24083"/>
      <c r="BS306" s="24174"/>
      <c r="BT306" s="24174"/>
      <c r="BU306" s="24174"/>
      <c r="BV306" s="24174"/>
      <c r="BW306" s="24174"/>
      <c r="BX306" s="24175"/>
      <c r="BY306" s="24173"/>
      <c r="BZ306" s="24174"/>
      <c r="CA306" s="24174"/>
      <c r="CB306" s="24174"/>
      <c r="CC306" s="24174"/>
      <c r="CD306" s="24174"/>
      <c r="CE306" s="24174"/>
      <c r="CF306" s="24174"/>
      <c r="CG306" s="24174"/>
      <c r="CH306" s="24174"/>
      <c r="CI306" s="24175"/>
      <c r="CJ306" s="24173"/>
      <c r="CK306" s="24174"/>
      <c r="CL306" s="24174"/>
      <c r="CM306" s="24174"/>
      <c r="CN306" s="24174"/>
      <c r="CO306" s="24174"/>
      <c r="CP306" s="24174"/>
      <c r="CQ306" s="24174"/>
      <c r="CR306" s="24174"/>
      <c r="CS306" s="24174"/>
      <c r="CT306" s="24175"/>
      <c r="CU306" s="24173"/>
      <c r="CV306" s="24174"/>
      <c r="CW306" s="24174"/>
      <c r="CX306" s="24174"/>
      <c r="CY306" s="24174"/>
      <c r="CZ306" s="24174"/>
      <c r="DA306" s="24174"/>
      <c r="DB306" s="24174"/>
      <c r="DC306" s="24174"/>
      <c r="DD306" s="24174"/>
      <c r="DE306" s="24175"/>
      <c r="DF306" s="24173"/>
      <c r="DG306" s="24174"/>
      <c r="DH306" s="24174"/>
      <c r="DI306" s="24174"/>
      <c r="DJ306" s="24174"/>
      <c r="DK306" s="24174"/>
      <c r="DL306" s="24174"/>
      <c r="DM306" s="24174"/>
      <c r="DN306" s="24174"/>
      <c r="DO306" s="24174"/>
      <c r="DP306" s="24175"/>
      <c r="DQ306" s="24173"/>
      <c r="DR306" s="24174"/>
      <c r="DS306" s="24174"/>
      <c r="DT306" s="24174"/>
      <c r="DU306" s="24174"/>
      <c r="DV306" s="24174"/>
      <c r="DW306" s="24174"/>
      <c r="DX306" s="24174"/>
      <c r="DY306" s="24174"/>
      <c r="DZ306" s="24174"/>
      <c r="EA306" s="24175"/>
      <c r="EB306" s="24173"/>
      <c r="EC306" s="24174"/>
      <c r="ED306" s="24174"/>
      <c r="EE306" s="24174"/>
      <c r="EF306" s="24174"/>
      <c r="EG306" s="24174"/>
      <c r="EH306" s="24174"/>
      <c r="EI306" s="24174"/>
      <c r="EJ306" s="24174"/>
      <c r="EK306" s="24174"/>
      <c r="EL306" s="24175"/>
      <c r="EM306" s="24173"/>
      <c r="EN306" s="24174"/>
      <c r="EO306" s="24174"/>
      <c r="EP306" s="24174"/>
      <c r="EQ306" s="24174"/>
      <c r="ER306" s="24174"/>
      <c r="ES306" s="24174"/>
      <c r="ET306" s="24174"/>
      <c r="EU306" s="24174"/>
      <c r="EV306" s="24174"/>
      <c r="EW306" s="24175"/>
      <c r="EX306" s="24082"/>
      <c r="EY306" s="24083"/>
      <c r="EZ306" s="24174"/>
      <c r="FA306" s="24174"/>
      <c r="FB306" s="24083"/>
      <c r="FC306" s="24174"/>
      <c r="FD306" s="24174"/>
      <c r="FE306" s="24174"/>
      <c r="FF306" s="24174"/>
      <c r="FG306" s="24174"/>
      <c r="FH306" s="24175"/>
      <c r="FI306" s="24082"/>
      <c r="FJ306" s="24083"/>
      <c r="FK306" s="24174"/>
      <c r="FL306" s="24174"/>
      <c r="FM306" s="24083"/>
      <c r="FN306" s="24174"/>
      <c r="FO306" s="24174"/>
      <c r="FP306" s="24083"/>
      <c r="FQ306" s="24083"/>
      <c r="FR306" s="24083"/>
      <c r="FS306" s="24175"/>
      <c r="FT306" s="24084"/>
      <c r="FU306" s="1184" t="s">
        <v>757</v>
      </c>
      <c r="FV306" s="1568"/>
      <c r="FW306" s="1550"/>
      <c r="FX306" s="1550" t="str">
        <f t="shared" si="5"/>
        <v>Наименование централизованной системы горячего водоснабжения</v>
      </c>
      <c r="FY306" s="1550"/>
      <c r="FZ306" s="1550"/>
      <c r="GA306" s="1561">
        <v>0</v>
      </c>
    </row>
    <row r="307" spans="1:183" s="1747" customFormat="1" ht="23.25" customHeight="1">
      <c r="A307" s="1289"/>
      <c r="B307" s="1289"/>
      <c r="C307" s="1289"/>
      <c r="D307" s="1289"/>
      <c r="E307" s="24089"/>
      <c r="F307" s="24089"/>
      <c r="G307" s="24089">
        <v>1</v>
      </c>
      <c r="H307" s="24089"/>
      <c r="I307" s="24090" t="str">
        <f>S306&amp;".1"</f>
        <v>1.12.2.1</v>
      </c>
      <c r="J307" s="1289"/>
      <c r="K307" s="1289"/>
      <c r="L307" s="1295"/>
      <c r="M307" s="1674"/>
      <c r="N307" s="1674"/>
      <c r="O307" s="1674"/>
      <c r="P307" s="24092">
        <v>1</v>
      </c>
      <c r="Q307" s="1978"/>
      <c r="R307" s="292"/>
      <c r="S307" s="1976" t="str">
        <f>$I307</f>
        <v>1.12.2.1</v>
      </c>
      <c r="T307" s="221" t="s">
        <v>709</v>
      </c>
      <c r="U307" s="236"/>
      <c r="V307" s="24156"/>
      <c r="W307" s="24157"/>
      <c r="X307" s="24157"/>
      <c r="Y307" s="24157"/>
      <c r="Z307" s="24157"/>
      <c r="AA307" s="24157"/>
      <c r="AB307" s="24157"/>
      <c r="AC307" s="24157"/>
      <c r="AD307" s="24157"/>
      <c r="AE307" s="24157"/>
      <c r="AF307" s="24158"/>
      <c r="AG307" s="24159"/>
      <c r="AH307" s="24160"/>
      <c r="AI307" s="24160"/>
      <c r="AJ307" s="24160"/>
      <c r="AK307" s="24160"/>
      <c r="AL307" s="24160"/>
      <c r="AM307" s="24160"/>
      <c r="AN307" s="24160"/>
      <c r="AO307" s="24160"/>
      <c r="AP307" s="24160"/>
      <c r="AQ307" s="24160"/>
      <c r="AR307" s="24176"/>
      <c r="AS307" s="24177"/>
      <c r="AT307" s="24177"/>
      <c r="AU307" s="24177"/>
      <c r="AV307" s="24177"/>
      <c r="AW307" s="24177"/>
      <c r="AX307" s="24177"/>
      <c r="AY307" s="24177"/>
      <c r="AZ307" s="24177"/>
      <c r="BA307" s="24177"/>
      <c r="BB307" s="24178"/>
      <c r="BC307" s="24176"/>
      <c r="BD307" s="24177"/>
      <c r="BE307" s="24177"/>
      <c r="BF307" s="24177"/>
      <c r="BG307" s="24177"/>
      <c r="BH307" s="24177"/>
      <c r="BI307" s="24177"/>
      <c r="BJ307" s="24177"/>
      <c r="BK307" s="24177"/>
      <c r="BL307" s="24177"/>
      <c r="BM307" s="24178"/>
      <c r="BN307" s="24156"/>
      <c r="BO307" s="24157"/>
      <c r="BP307" s="24177"/>
      <c r="BQ307" s="24177"/>
      <c r="BR307" s="24157"/>
      <c r="BS307" s="24177"/>
      <c r="BT307" s="24177"/>
      <c r="BU307" s="24177"/>
      <c r="BV307" s="24177"/>
      <c r="BW307" s="24177"/>
      <c r="BX307" s="24178"/>
      <c r="BY307" s="24176"/>
      <c r="BZ307" s="24177"/>
      <c r="CA307" s="24177"/>
      <c r="CB307" s="24177"/>
      <c r="CC307" s="24177"/>
      <c r="CD307" s="24177"/>
      <c r="CE307" s="24177"/>
      <c r="CF307" s="24177"/>
      <c r="CG307" s="24177"/>
      <c r="CH307" s="24177"/>
      <c r="CI307" s="24178"/>
      <c r="CJ307" s="24176"/>
      <c r="CK307" s="24177"/>
      <c r="CL307" s="24177"/>
      <c r="CM307" s="24177"/>
      <c r="CN307" s="24177"/>
      <c r="CO307" s="24177"/>
      <c r="CP307" s="24177"/>
      <c r="CQ307" s="24177"/>
      <c r="CR307" s="24177"/>
      <c r="CS307" s="24177"/>
      <c r="CT307" s="24178"/>
      <c r="CU307" s="24176"/>
      <c r="CV307" s="24177"/>
      <c r="CW307" s="24177"/>
      <c r="CX307" s="24177"/>
      <c r="CY307" s="24177"/>
      <c r="CZ307" s="24177"/>
      <c r="DA307" s="24177"/>
      <c r="DB307" s="24177"/>
      <c r="DC307" s="24177"/>
      <c r="DD307" s="24177"/>
      <c r="DE307" s="24178"/>
      <c r="DF307" s="24176"/>
      <c r="DG307" s="24177"/>
      <c r="DH307" s="24177"/>
      <c r="DI307" s="24177"/>
      <c r="DJ307" s="24177"/>
      <c r="DK307" s="24177"/>
      <c r="DL307" s="24177"/>
      <c r="DM307" s="24177"/>
      <c r="DN307" s="24177"/>
      <c r="DO307" s="24177"/>
      <c r="DP307" s="24178"/>
      <c r="DQ307" s="24176"/>
      <c r="DR307" s="24177"/>
      <c r="DS307" s="24177"/>
      <c r="DT307" s="24177"/>
      <c r="DU307" s="24177"/>
      <c r="DV307" s="24177"/>
      <c r="DW307" s="24177"/>
      <c r="DX307" s="24177"/>
      <c r="DY307" s="24177"/>
      <c r="DZ307" s="24177"/>
      <c r="EA307" s="24178"/>
      <c r="EB307" s="24176"/>
      <c r="EC307" s="24177"/>
      <c r="ED307" s="24177"/>
      <c r="EE307" s="24177"/>
      <c r="EF307" s="24177"/>
      <c r="EG307" s="24177"/>
      <c r="EH307" s="24177"/>
      <c r="EI307" s="24177"/>
      <c r="EJ307" s="24177"/>
      <c r="EK307" s="24177"/>
      <c r="EL307" s="24178"/>
      <c r="EM307" s="24176"/>
      <c r="EN307" s="24177"/>
      <c r="EO307" s="24177"/>
      <c r="EP307" s="24177"/>
      <c r="EQ307" s="24177"/>
      <c r="ER307" s="24177"/>
      <c r="ES307" s="24177"/>
      <c r="ET307" s="24177"/>
      <c r="EU307" s="24177"/>
      <c r="EV307" s="24177"/>
      <c r="EW307" s="24178"/>
      <c r="EX307" s="24156"/>
      <c r="EY307" s="24157"/>
      <c r="EZ307" s="24177"/>
      <c r="FA307" s="24177"/>
      <c r="FB307" s="24157"/>
      <c r="FC307" s="24177"/>
      <c r="FD307" s="24177"/>
      <c r="FE307" s="24177"/>
      <c r="FF307" s="24177"/>
      <c r="FG307" s="24177"/>
      <c r="FH307" s="24178"/>
      <c r="FI307" s="24156"/>
      <c r="FJ307" s="24157"/>
      <c r="FK307" s="24177"/>
      <c r="FL307" s="24177"/>
      <c r="FM307" s="24157"/>
      <c r="FN307" s="24177"/>
      <c r="FO307" s="24177"/>
      <c r="FP307" s="24157"/>
      <c r="FQ307" s="24157"/>
      <c r="FR307" s="24157"/>
      <c r="FS307" s="24178"/>
      <c r="FT307" s="24161"/>
      <c r="FU307" s="1184" t="s">
        <v>710</v>
      </c>
      <c r="FV307" s="1568"/>
      <c r="FW307" s="1550"/>
      <c r="FX307" s="1550" t="str">
        <f t="shared" si="5"/>
        <v>Наименование признака дифференциации</v>
      </c>
      <c r="FY307" s="1550"/>
      <c r="FZ307" s="1550"/>
      <c r="GA307" s="1561">
        <v>0</v>
      </c>
    </row>
    <row r="308" spans="1:183" s="1747" customFormat="1" ht="23.25" customHeight="1">
      <c r="A308" s="1289"/>
      <c r="B308" s="1289"/>
      <c r="C308" s="1289"/>
      <c r="D308" s="1289"/>
      <c r="E308" s="24089"/>
      <c r="F308" s="24089"/>
      <c r="G308" s="24089">
        <v>1</v>
      </c>
      <c r="H308" s="24089"/>
      <c r="I308" s="24091"/>
      <c r="J308" s="24090" t="str">
        <f>I307&amp;".1"</f>
        <v>1.12.2.1.1</v>
      </c>
      <c r="K308" s="1289"/>
      <c r="L308" s="1295" t="s">
        <v>635</v>
      </c>
      <c r="M308" s="1674"/>
      <c r="N308" s="1674"/>
      <c r="O308" s="1674"/>
      <c r="P308" s="24092"/>
      <c r="Q308" s="24092">
        <v>1</v>
      </c>
      <c r="R308" s="293"/>
      <c r="S308" s="1976" t="str">
        <f>$J308</f>
        <v>1.12.2.1.1</v>
      </c>
      <c r="T308" s="222" t="s">
        <v>636</v>
      </c>
      <c r="U308" s="236"/>
      <c r="V308" s="24076"/>
      <c r="W308" s="24077"/>
      <c r="X308" s="24077"/>
      <c r="Y308" s="24077"/>
      <c r="Z308" s="24077"/>
      <c r="AA308" s="24077"/>
      <c r="AB308" s="24077"/>
      <c r="AC308" s="24077"/>
      <c r="AD308" s="24077"/>
      <c r="AE308" s="24077"/>
      <c r="AF308" s="24078"/>
      <c r="AG308" s="24076" t="s">
        <v>769</v>
      </c>
      <c r="AH308" s="24077"/>
      <c r="AI308" s="24077"/>
      <c r="AJ308" s="24077"/>
      <c r="AK308" s="24077"/>
      <c r="AL308" s="24077"/>
      <c r="AM308" s="24077"/>
      <c r="AN308" s="24077"/>
      <c r="AO308" s="24077"/>
      <c r="AP308" s="24077"/>
      <c r="AQ308" s="24077"/>
      <c r="AR308" s="24179"/>
      <c r="AS308" s="24180"/>
      <c r="AT308" s="24180"/>
      <c r="AU308" s="24180"/>
      <c r="AV308" s="24180"/>
      <c r="AW308" s="24180"/>
      <c r="AX308" s="24180"/>
      <c r="AY308" s="24180"/>
      <c r="AZ308" s="24180"/>
      <c r="BA308" s="24180"/>
      <c r="BB308" s="24181"/>
      <c r="BC308" s="24179"/>
      <c r="BD308" s="24180"/>
      <c r="BE308" s="24180"/>
      <c r="BF308" s="24180"/>
      <c r="BG308" s="24180"/>
      <c r="BH308" s="24180"/>
      <c r="BI308" s="24180"/>
      <c r="BJ308" s="24180"/>
      <c r="BK308" s="24180"/>
      <c r="BL308" s="24180"/>
      <c r="BM308" s="24181"/>
      <c r="BN308" s="24076"/>
      <c r="BO308" s="24077"/>
      <c r="BP308" s="24180"/>
      <c r="BQ308" s="24180"/>
      <c r="BR308" s="24077"/>
      <c r="BS308" s="24180"/>
      <c r="BT308" s="24180"/>
      <c r="BU308" s="24180"/>
      <c r="BV308" s="24180"/>
      <c r="BW308" s="24180"/>
      <c r="BX308" s="24181"/>
      <c r="BY308" s="24179"/>
      <c r="BZ308" s="24180"/>
      <c r="CA308" s="24180"/>
      <c r="CB308" s="24180"/>
      <c r="CC308" s="24180"/>
      <c r="CD308" s="24180"/>
      <c r="CE308" s="24180"/>
      <c r="CF308" s="24180"/>
      <c r="CG308" s="24180"/>
      <c r="CH308" s="24180"/>
      <c r="CI308" s="24181"/>
      <c r="CJ308" s="24179"/>
      <c r="CK308" s="24180"/>
      <c r="CL308" s="24180"/>
      <c r="CM308" s="24180"/>
      <c r="CN308" s="24180"/>
      <c r="CO308" s="24180"/>
      <c r="CP308" s="24180"/>
      <c r="CQ308" s="24180"/>
      <c r="CR308" s="24180"/>
      <c r="CS308" s="24180"/>
      <c r="CT308" s="24181"/>
      <c r="CU308" s="24179"/>
      <c r="CV308" s="24180"/>
      <c r="CW308" s="24180"/>
      <c r="CX308" s="24180"/>
      <c r="CY308" s="24180"/>
      <c r="CZ308" s="24180"/>
      <c r="DA308" s="24180"/>
      <c r="DB308" s="24180"/>
      <c r="DC308" s="24180"/>
      <c r="DD308" s="24180"/>
      <c r="DE308" s="24181"/>
      <c r="DF308" s="24179"/>
      <c r="DG308" s="24180"/>
      <c r="DH308" s="24180"/>
      <c r="DI308" s="24180"/>
      <c r="DJ308" s="24180"/>
      <c r="DK308" s="24180"/>
      <c r="DL308" s="24180"/>
      <c r="DM308" s="24180"/>
      <c r="DN308" s="24180"/>
      <c r="DO308" s="24180"/>
      <c r="DP308" s="24181"/>
      <c r="DQ308" s="24179"/>
      <c r="DR308" s="24180"/>
      <c r="DS308" s="24180"/>
      <c r="DT308" s="24180"/>
      <c r="DU308" s="24180"/>
      <c r="DV308" s="24180"/>
      <c r="DW308" s="24180"/>
      <c r="DX308" s="24180"/>
      <c r="DY308" s="24180"/>
      <c r="DZ308" s="24180"/>
      <c r="EA308" s="24181"/>
      <c r="EB308" s="24179"/>
      <c r="EC308" s="24180"/>
      <c r="ED308" s="24180"/>
      <c r="EE308" s="24180"/>
      <c r="EF308" s="24180"/>
      <c r="EG308" s="24180"/>
      <c r="EH308" s="24180"/>
      <c r="EI308" s="24180"/>
      <c r="EJ308" s="24180"/>
      <c r="EK308" s="24180"/>
      <c r="EL308" s="24181"/>
      <c r="EM308" s="24179"/>
      <c r="EN308" s="24180"/>
      <c r="EO308" s="24180"/>
      <c r="EP308" s="24180"/>
      <c r="EQ308" s="24180"/>
      <c r="ER308" s="24180"/>
      <c r="ES308" s="24180"/>
      <c r="ET308" s="24180"/>
      <c r="EU308" s="24180"/>
      <c r="EV308" s="24180"/>
      <c r="EW308" s="24181"/>
      <c r="EX308" s="24076"/>
      <c r="EY308" s="24077"/>
      <c r="EZ308" s="24180"/>
      <c r="FA308" s="24180"/>
      <c r="FB308" s="24077"/>
      <c r="FC308" s="24180"/>
      <c r="FD308" s="24180"/>
      <c r="FE308" s="24180"/>
      <c r="FF308" s="24180"/>
      <c r="FG308" s="24180"/>
      <c r="FH308" s="24181"/>
      <c r="FI308" s="24076"/>
      <c r="FJ308" s="24077"/>
      <c r="FK308" s="24180"/>
      <c r="FL308" s="24180"/>
      <c r="FM308" s="24077"/>
      <c r="FN308" s="24180"/>
      <c r="FO308" s="24180"/>
      <c r="FP308" s="24077"/>
      <c r="FQ308" s="24077"/>
      <c r="FR308" s="24077"/>
      <c r="FS308" s="24181"/>
      <c r="FT308" s="24078"/>
      <c r="FU308" s="1233" t="s">
        <v>711</v>
      </c>
      <c r="FV308" s="1568"/>
      <c r="FW308" s="1550"/>
      <c r="FX308" s="1550" t="str">
        <f t="shared" si="5"/>
        <v>Группа потребителей</v>
      </c>
      <c r="FY308" s="1550"/>
      <c r="FZ308" s="1550"/>
      <c r="GA308" s="1561">
        <v>0</v>
      </c>
    </row>
    <row r="309" spans="1:183" s="1747" customFormat="1" ht="23.25" customHeight="1">
      <c r="A309" s="1289"/>
      <c r="B309" s="1289"/>
      <c r="C309" s="1289"/>
      <c r="D309" s="1289"/>
      <c r="E309" s="24089"/>
      <c r="F309" s="24089"/>
      <c r="G309" s="24089">
        <v>1</v>
      </c>
      <c r="H309" s="24089"/>
      <c r="I309" s="24091"/>
      <c r="J309" s="24091"/>
      <c r="K309" s="24090" t="str">
        <f>J308&amp;".1"</f>
        <v>1.12.2.1.1.1</v>
      </c>
      <c r="L309" s="1295"/>
      <c r="M309" s="1674"/>
      <c r="N309" s="1674"/>
      <c r="O309" s="1674"/>
      <c r="P309" s="24092"/>
      <c r="Q309" s="24092"/>
      <c r="R309" s="293">
        <v>1</v>
      </c>
      <c r="S309" s="1976" t="str">
        <f>$K309</f>
        <v>1.12.2.1.1.1</v>
      </c>
      <c r="T309" s="1363"/>
      <c r="U309" s="236"/>
      <c r="V309" s="1286"/>
      <c r="W309" s="1286"/>
      <c r="X309" s="1286"/>
      <c r="Y309" s="1286"/>
      <c r="Z309" s="1286"/>
      <c r="AA309" s="1286"/>
      <c r="AB309" s="1286"/>
      <c r="AC309" s="24086"/>
      <c r="AD309" s="24085" t="s">
        <v>59</v>
      </c>
      <c r="AE309" s="24086"/>
      <c r="AF309" s="24085" t="s">
        <v>59</v>
      </c>
      <c r="AG309" s="687">
        <v>203.24</v>
      </c>
      <c r="AH309" s="687">
        <v>29.55</v>
      </c>
      <c r="AI309" s="687"/>
      <c r="AJ309" s="687"/>
      <c r="AK309" s="687">
        <v>2646.86</v>
      </c>
      <c r="AL309" s="687"/>
      <c r="AM309" s="687"/>
      <c r="AN309" s="24093" t="s">
        <v>9</v>
      </c>
      <c r="AO309" s="23957" t="s">
        <v>59</v>
      </c>
      <c r="AP309" s="24095" t="s">
        <v>770</v>
      </c>
      <c r="AQ309" s="23957" t="s">
        <v>59</v>
      </c>
      <c r="AR309" s="687">
        <v>226.51</v>
      </c>
      <c r="AS309" s="687">
        <v>32.51</v>
      </c>
      <c r="AT309" s="687"/>
      <c r="AU309" s="687"/>
      <c r="AV309" s="687">
        <v>2956.43</v>
      </c>
      <c r="AW309" s="687"/>
      <c r="AX309" s="687"/>
      <c r="AY309" s="24093" t="s">
        <v>772</v>
      </c>
      <c r="AZ309" s="23957" t="s">
        <v>59</v>
      </c>
      <c r="BA309" s="24093" t="s">
        <v>773</v>
      </c>
      <c r="BB309" s="23957" t="s">
        <v>59</v>
      </c>
      <c r="BC309" s="687">
        <v>239.87</v>
      </c>
      <c r="BD309" s="687">
        <v>45.87</v>
      </c>
      <c r="BE309" s="687"/>
      <c r="BF309" s="687"/>
      <c r="BG309" s="687">
        <v>2956.43</v>
      </c>
      <c r="BH309" s="687"/>
      <c r="BI309" s="687"/>
      <c r="BJ309" s="24093" t="s">
        <v>774</v>
      </c>
      <c r="BK309" s="23957" t="s">
        <v>59</v>
      </c>
      <c r="BL309" s="24093" t="s">
        <v>775</v>
      </c>
      <c r="BM309" s="23957" t="s">
        <v>59</v>
      </c>
      <c r="BN309" s="687">
        <v>262.95</v>
      </c>
      <c r="BO309" s="687">
        <v>45.87</v>
      </c>
      <c r="BP309" s="687"/>
      <c r="BQ309" s="687"/>
      <c r="BR309" s="687">
        <v>3308.18</v>
      </c>
      <c r="BS309" s="687"/>
      <c r="BT309" s="687"/>
      <c r="BU309" s="24093" t="s">
        <v>776</v>
      </c>
      <c r="BV309" s="23957" t="s">
        <v>59</v>
      </c>
      <c r="BW309" s="24093" t="s">
        <v>777</v>
      </c>
      <c r="BX309" s="23957" t="s">
        <v>59</v>
      </c>
      <c r="BY309" s="687">
        <f>BN309</f>
        <v>262.95</v>
      </c>
      <c r="BZ309" s="687">
        <f>BO309</f>
        <v>45.87</v>
      </c>
      <c r="CA309" s="687"/>
      <c r="CB309" s="687"/>
      <c r="CC309" s="687">
        <v>3308.18</v>
      </c>
      <c r="CD309" s="687"/>
      <c r="CE309" s="687"/>
      <c r="CF309" s="24093" t="s">
        <v>778</v>
      </c>
      <c r="CG309" s="23957" t="s">
        <v>59</v>
      </c>
      <c r="CH309" s="24185">
        <v>46295</v>
      </c>
      <c r="CI309" s="23957" t="s">
        <v>59</v>
      </c>
      <c r="CJ309" s="687">
        <v>289.93</v>
      </c>
      <c r="CK309" s="687">
        <v>51.36</v>
      </c>
      <c r="CL309" s="687"/>
      <c r="CM309" s="687"/>
      <c r="CN309" s="687">
        <v>3635.67</v>
      </c>
      <c r="CO309" s="687"/>
      <c r="CP309" s="687"/>
      <c r="CQ309" s="24185">
        <v>46296</v>
      </c>
      <c r="CR309" s="23957" t="s">
        <v>59</v>
      </c>
      <c r="CS309" s="24093" t="s">
        <v>779</v>
      </c>
      <c r="CT309" s="23957" t="s">
        <v>59</v>
      </c>
      <c r="CU309" s="687">
        <f>CJ309</f>
        <v>289.93</v>
      </c>
      <c r="CV309" s="687">
        <f>CK309</f>
        <v>51.36</v>
      </c>
      <c r="CW309" s="687"/>
      <c r="CX309" s="687"/>
      <c r="CY309" s="687">
        <f>CN309</f>
        <v>3635.67</v>
      </c>
      <c r="CZ309" s="687"/>
      <c r="DA309" s="687"/>
      <c r="DB309" s="24093" t="s">
        <v>780</v>
      </c>
      <c r="DC309" s="23957" t="s">
        <v>59</v>
      </c>
      <c r="DD309" s="24093" t="s">
        <v>781</v>
      </c>
      <c r="DE309" s="23957" t="s">
        <v>59</v>
      </c>
      <c r="DF309" s="687">
        <v>311.06</v>
      </c>
      <c r="DG309" s="687">
        <v>51.73</v>
      </c>
      <c r="DH309" s="687"/>
      <c r="DI309" s="687"/>
      <c r="DJ309" s="687">
        <v>3951.97</v>
      </c>
      <c r="DK309" s="687"/>
      <c r="DL309" s="687"/>
      <c r="DM309" s="24093" t="s">
        <v>782</v>
      </c>
      <c r="DN309" s="23957" t="s">
        <v>59</v>
      </c>
      <c r="DO309" s="24093" t="s">
        <v>783</v>
      </c>
      <c r="DP309" s="23957" t="s">
        <v>59</v>
      </c>
      <c r="DQ309" s="687">
        <v>310.87</v>
      </c>
      <c r="DR309" s="687">
        <v>51.54</v>
      </c>
      <c r="DS309" s="687"/>
      <c r="DT309" s="687"/>
      <c r="DU309" s="687">
        <f>DJ309</f>
        <v>3951.97</v>
      </c>
      <c r="DV309" s="687"/>
      <c r="DW309" s="687"/>
      <c r="DX309" s="24093" t="s">
        <v>784</v>
      </c>
      <c r="DY309" s="23957" t="s">
        <v>59</v>
      </c>
      <c r="DZ309" s="24093" t="s">
        <v>785</v>
      </c>
      <c r="EA309" s="23957" t="s">
        <v>59</v>
      </c>
      <c r="EB309" s="687">
        <v>328.5</v>
      </c>
      <c r="EC309" s="687">
        <f>DR309</f>
        <v>51.54</v>
      </c>
      <c r="ED309" s="687"/>
      <c r="EE309" s="687"/>
      <c r="EF309" s="687">
        <v>4220.6400000000003</v>
      </c>
      <c r="EG309" s="687"/>
      <c r="EH309" s="687"/>
      <c r="EI309" s="24093" t="s">
        <v>786</v>
      </c>
      <c r="EJ309" s="23957" t="s">
        <v>59</v>
      </c>
      <c r="EK309" s="24093" t="s">
        <v>787</v>
      </c>
      <c r="EL309" s="23957" t="s">
        <v>6</v>
      </c>
      <c r="EM309" s="1286"/>
      <c r="EN309" s="1286"/>
      <c r="EO309" s="1286"/>
      <c r="EP309" s="1286"/>
      <c r="EQ309" s="1286"/>
      <c r="ER309" s="1286"/>
      <c r="ES309" s="1286"/>
      <c r="ET309" s="24086"/>
      <c r="EU309" s="24085" t="s">
        <v>59</v>
      </c>
      <c r="EV309" s="24086"/>
      <c r="EW309" s="24085" t="s">
        <v>59</v>
      </c>
      <c r="EX309" s="1286"/>
      <c r="EY309" s="1286"/>
      <c r="EZ309" s="1286"/>
      <c r="FA309" s="1286"/>
      <c r="FB309" s="1286"/>
      <c r="FC309" s="1286"/>
      <c r="FD309" s="1286"/>
      <c r="FE309" s="24086"/>
      <c r="FF309" s="24085" t="s">
        <v>59</v>
      </c>
      <c r="FG309" s="24086"/>
      <c r="FH309" s="24085" t="s">
        <v>59</v>
      </c>
      <c r="FI309" s="1286"/>
      <c r="FJ309" s="1286"/>
      <c r="FK309" s="1286"/>
      <c r="FL309" s="1286"/>
      <c r="FM309" s="1286"/>
      <c r="FN309" s="1286"/>
      <c r="FO309" s="1286"/>
      <c r="FP309" s="24086"/>
      <c r="FQ309" s="24085" t="s">
        <v>59</v>
      </c>
      <c r="FR309" s="24086"/>
      <c r="FS309" s="24085" t="s">
        <v>59</v>
      </c>
      <c r="FT309" s="1364"/>
      <c r="FU30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09" s="1568" t="e">
        <f ca="1">STRCHECKDATE(V310:FT310)</f>
        <v>#NAME?</v>
      </c>
      <c r="FW309" s="1550"/>
      <c r="FX309" s="1550" t="str">
        <f t="shared" si="5"/>
        <v/>
      </c>
      <c r="FY309" s="1550"/>
      <c r="FZ309" s="1550"/>
      <c r="GA309" s="1561">
        <v>0</v>
      </c>
    </row>
    <row r="310" spans="1:183" s="1747" customFormat="1" ht="14.25" customHeight="1">
      <c r="A310" s="1289"/>
      <c r="B310" s="1289"/>
      <c r="C310" s="1289"/>
      <c r="D310" s="1289"/>
      <c r="E310" s="24089"/>
      <c r="F310" s="24089"/>
      <c r="G310" s="24089">
        <v>1</v>
      </c>
      <c r="H310" s="24089"/>
      <c r="I310" s="24091"/>
      <c r="J310" s="24091"/>
      <c r="K310" s="24090"/>
      <c r="L310" s="1295"/>
      <c r="M310" s="1674"/>
      <c r="N310" s="1674"/>
      <c r="O310" s="1674"/>
      <c r="P310" s="24092"/>
      <c r="Q310" s="24092"/>
      <c r="R310" s="293"/>
      <c r="S310" s="1982"/>
      <c r="T310" s="236"/>
      <c r="U310" s="236"/>
      <c r="V310" s="1286"/>
      <c r="W310" s="1286"/>
      <c r="X310" s="1286"/>
      <c r="Y310" s="1286"/>
      <c r="Z310" s="1286"/>
      <c r="AA310" s="1286"/>
      <c r="AB310" s="1286"/>
      <c r="AC310" s="24085"/>
      <c r="AD310" s="24085"/>
      <c r="AE310" s="24085"/>
      <c r="AF310" s="24085"/>
      <c r="AG310" s="261"/>
      <c r="AH310" s="261"/>
      <c r="AI310" s="261"/>
      <c r="AJ310" s="261"/>
      <c r="AK310" s="261"/>
      <c r="AL310" s="261"/>
      <c r="AM310" s="261"/>
      <c r="AN310" s="24094"/>
      <c r="AO310" s="23957"/>
      <c r="AP310" s="24096"/>
      <c r="AQ310" s="23957"/>
      <c r="AR310" s="261"/>
      <c r="AS310" s="261"/>
      <c r="AT310" s="261"/>
      <c r="AU310" s="261"/>
      <c r="AV310" s="261"/>
      <c r="AW310" s="261"/>
      <c r="AX310" s="261"/>
      <c r="AY310" s="24094"/>
      <c r="AZ310" s="23957"/>
      <c r="BA310" s="24094"/>
      <c r="BB310" s="23957"/>
      <c r="BC310" s="261"/>
      <c r="BD310" s="261"/>
      <c r="BE310" s="261"/>
      <c r="BF310" s="261"/>
      <c r="BG310" s="261"/>
      <c r="BH310" s="261"/>
      <c r="BI310" s="261"/>
      <c r="BJ310" s="24094"/>
      <c r="BK310" s="23957"/>
      <c r="BL310" s="24094"/>
      <c r="BM310" s="23957"/>
      <c r="BN310" s="261"/>
      <c r="BO310" s="261"/>
      <c r="BP310" s="261"/>
      <c r="BQ310" s="261"/>
      <c r="BR310" s="261"/>
      <c r="BS310" s="261"/>
      <c r="BT310" s="261"/>
      <c r="BU310" s="24094"/>
      <c r="BV310" s="23957"/>
      <c r="BW310" s="24094"/>
      <c r="BX310" s="23957"/>
      <c r="BY310" s="261"/>
      <c r="BZ310" s="261"/>
      <c r="CA310" s="261"/>
      <c r="CB310" s="261"/>
      <c r="CC310" s="261"/>
      <c r="CD310" s="261"/>
      <c r="CE310" s="261"/>
      <c r="CF310" s="24094"/>
      <c r="CG310" s="23957"/>
      <c r="CH310" s="24094"/>
      <c r="CI310" s="23957"/>
      <c r="CJ310" s="261"/>
      <c r="CK310" s="261"/>
      <c r="CL310" s="261"/>
      <c r="CM310" s="261"/>
      <c r="CN310" s="261"/>
      <c r="CO310" s="261"/>
      <c r="CP310" s="261"/>
      <c r="CQ310" s="24094"/>
      <c r="CR310" s="23957"/>
      <c r="CS310" s="24094"/>
      <c r="CT310" s="23957"/>
      <c r="CU310" s="261"/>
      <c r="CV310" s="261"/>
      <c r="CW310" s="261"/>
      <c r="CX310" s="261"/>
      <c r="CY310" s="261"/>
      <c r="CZ310" s="261"/>
      <c r="DA310" s="261"/>
      <c r="DB310" s="24094"/>
      <c r="DC310" s="23957"/>
      <c r="DD310" s="24094"/>
      <c r="DE310" s="23957"/>
      <c r="DF310" s="261"/>
      <c r="DG310" s="261"/>
      <c r="DH310" s="261"/>
      <c r="DI310" s="261"/>
      <c r="DJ310" s="261"/>
      <c r="DK310" s="261"/>
      <c r="DL310" s="261"/>
      <c r="DM310" s="24094"/>
      <c r="DN310" s="23957"/>
      <c r="DO310" s="24094"/>
      <c r="DP310" s="23957"/>
      <c r="DQ310" s="261"/>
      <c r="DR310" s="261"/>
      <c r="DS310" s="261"/>
      <c r="DT310" s="261"/>
      <c r="DU310" s="261"/>
      <c r="DV310" s="261"/>
      <c r="DW310" s="261"/>
      <c r="DX310" s="24094"/>
      <c r="DY310" s="23957"/>
      <c r="DZ310" s="24094"/>
      <c r="EA310" s="23957"/>
      <c r="EB310" s="261"/>
      <c r="EC310" s="261"/>
      <c r="ED310" s="261"/>
      <c r="EE310" s="261"/>
      <c r="EF310" s="261"/>
      <c r="EG310" s="261"/>
      <c r="EH310" s="261"/>
      <c r="EI310" s="24094"/>
      <c r="EJ310" s="23957"/>
      <c r="EK310" s="24094"/>
      <c r="EL310" s="23957"/>
      <c r="EM310" s="1286"/>
      <c r="EN310" s="1286"/>
      <c r="EO310" s="1286"/>
      <c r="EP310" s="1286"/>
      <c r="EQ310" s="1286"/>
      <c r="ER310" s="1286"/>
      <c r="ES310" s="1286"/>
      <c r="ET310" s="24085"/>
      <c r="EU310" s="24085"/>
      <c r="EV310" s="24085"/>
      <c r="EW310" s="24085"/>
      <c r="EX310" s="1286"/>
      <c r="EY310" s="1286"/>
      <c r="EZ310" s="1286"/>
      <c r="FA310" s="1286"/>
      <c r="FB310" s="1286"/>
      <c r="FC310" s="1286"/>
      <c r="FD310" s="1286"/>
      <c r="FE310" s="24085"/>
      <c r="FF310" s="24085"/>
      <c r="FG310" s="24085"/>
      <c r="FH310" s="24085"/>
      <c r="FI310" s="1286"/>
      <c r="FJ310" s="1286"/>
      <c r="FK310" s="1286"/>
      <c r="FL310" s="1286"/>
      <c r="FM310" s="1286"/>
      <c r="FN310" s="1286"/>
      <c r="FO310" s="1286"/>
      <c r="FP310" s="24085"/>
      <c r="FQ310" s="24085"/>
      <c r="FR310" s="24085"/>
      <c r="FS310" s="24085"/>
      <c r="FT310" s="1365"/>
      <c r="FU310" s="24162"/>
      <c r="FV310" s="1568"/>
      <c r="FW310" s="1550"/>
      <c r="FX310" s="1550" t="str">
        <f t="shared" si="5"/>
        <v/>
      </c>
      <c r="FY310" s="1550"/>
      <c r="FZ310" s="1550"/>
      <c r="GA310" s="1561">
        <v>0</v>
      </c>
    </row>
    <row r="311" spans="1:183" s="1747" customFormat="1" ht="21" customHeight="1">
      <c r="A311" s="1289"/>
      <c r="B311" s="1289"/>
      <c r="C311" s="1289"/>
      <c r="D311" s="1289"/>
      <c r="E311" s="24089"/>
      <c r="F311" s="24089"/>
      <c r="G311" s="24089">
        <v>1</v>
      </c>
      <c r="H311" s="24089"/>
      <c r="I311" s="24091"/>
      <c r="J311" s="24090"/>
      <c r="K311" s="1289"/>
      <c r="L311" s="1295"/>
      <c r="M311" s="1674"/>
      <c r="N311" s="1674"/>
      <c r="O311" s="1674"/>
      <c r="P311" s="24092"/>
      <c r="Q311" s="24092"/>
      <c r="R311" s="292"/>
      <c r="S311" s="4479"/>
      <c r="T311" s="4480" t="s">
        <v>712</v>
      </c>
      <c r="U311" s="4481"/>
      <c r="V311" s="4482"/>
      <c r="W311" s="4483"/>
      <c r="X311" s="4484"/>
      <c r="Y311" s="4485"/>
      <c r="Z311" s="4486"/>
      <c r="AA311" s="4487"/>
      <c r="AB311" s="4488"/>
      <c r="AC311" s="4489"/>
      <c r="AD311" s="4490"/>
      <c r="AE311" s="4491"/>
      <c r="AF311" s="4492"/>
      <c r="AG311" s="4493"/>
      <c r="AH311" s="4494"/>
      <c r="AI311" s="4495"/>
      <c r="AJ311" s="4496"/>
      <c r="AK311" s="4497"/>
      <c r="AL311" s="4498"/>
      <c r="AM311" s="4499"/>
      <c r="AN311" s="4500"/>
      <c r="AO311" s="4501"/>
      <c r="AP311" s="4502"/>
      <c r="AQ311" s="4503"/>
      <c r="AR311" s="7542"/>
      <c r="AS311" s="7543"/>
      <c r="AT311" s="7544"/>
      <c r="AU311" s="7545"/>
      <c r="AV311" s="7546"/>
      <c r="AW311" s="7547"/>
      <c r="AX311" s="7548"/>
      <c r="AY311" s="7549"/>
      <c r="AZ311" s="7550"/>
      <c r="BA311" s="7551"/>
      <c r="BB311" s="7552"/>
      <c r="BC311" s="7553"/>
      <c r="BD311" s="7554"/>
      <c r="BE311" s="16366"/>
      <c r="BF311" s="16367"/>
      <c r="BG311" s="21902"/>
      <c r="BH311" s="16368"/>
      <c r="BI311" s="16369"/>
      <c r="BJ311" s="16370"/>
      <c r="BK311" s="16371"/>
      <c r="BL311" s="16372"/>
      <c r="BM311" s="16373"/>
      <c r="BN311" s="4504"/>
      <c r="BO311" s="4505"/>
      <c r="BP311" s="16374"/>
      <c r="BQ311" s="16375"/>
      <c r="BR311" s="4506"/>
      <c r="BS311" s="16376"/>
      <c r="BT311" s="16377"/>
      <c r="BU311" s="16378"/>
      <c r="BV311" s="16379"/>
      <c r="BW311" s="16380"/>
      <c r="BX311" s="16381"/>
      <c r="BY311" s="16382"/>
      <c r="BZ311" s="16383"/>
      <c r="CA311" s="16384"/>
      <c r="CB311" s="16385"/>
      <c r="CC311" s="16386"/>
      <c r="CD311" s="16387"/>
      <c r="CE311" s="16388"/>
      <c r="CF311" s="16389"/>
      <c r="CG311" s="16390"/>
      <c r="CH311" s="16391"/>
      <c r="CI311" s="16392"/>
      <c r="CJ311" s="16393"/>
      <c r="CK311" s="16394"/>
      <c r="CL311" s="16395"/>
      <c r="CM311" s="16396"/>
      <c r="CN311" s="16397"/>
      <c r="CO311" s="16398"/>
      <c r="CP311" s="16399"/>
      <c r="CQ311" s="16400"/>
      <c r="CR311" s="16401"/>
      <c r="CS311" s="16402"/>
      <c r="CT311" s="16403"/>
      <c r="CU311" s="16404"/>
      <c r="CV311" s="16405"/>
      <c r="CW311" s="16406"/>
      <c r="CX311" s="16407"/>
      <c r="CY311" s="16408"/>
      <c r="CZ311" s="16409"/>
      <c r="DA311" s="16410"/>
      <c r="DB311" s="16411"/>
      <c r="DC311" s="16412"/>
      <c r="DD311" s="16413"/>
      <c r="DE311" s="16414"/>
      <c r="DF311" s="16415"/>
      <c r="DG311" s="16416"/>
      <c r="DH311" s="16417"/>
      <c r="DI311" s="16418"/>
      <c r="DJ311" s="16419"/>
      <c r="DK311" s="16420"/>
      <c r="DL311" s="16421"/>
      <c r="DM311" s="16422"/>
      <c r="DN311" s="16423"/>
      <c r="DO311" s="16424"/>
      <c r="DP311" s="16425"/>
      <c r="DQ311" s="16426"/>
      <c r="DR311" s="16427"/>
      <c r="DS311" s="16428"/>
      <c r="DT311" s="16429"/>
      <c r="DU311" s="16430"/>
      <c r="DV311" s="16431"/>
      <c r="DW311" s="16432"/>
      <c r="DX311" s="16433"/>
      <c r="DY311" s="16434"/>
      <c r="DZ311" s="16435"/>
      <c r="EA311" s="16436"/>
      <c r="EB311" s="16437"/>
      <c r="EC311" s="16438"/>
      <c r="ED311" s="16439"/>
      <c r="EE311" s="16440"/>
      <c r="EF311" s="16441"/>
      <c r="EG311" s="16442"/>
      <c r="EH311" s="16443"/>
      <c r="EI311" s="16444"/>
      <c r="EJ311" s="16445"/>
      <c r="EK311" s="16446"/>
      <c r="EL311" s="16447"/>
      <c r="EM311" s="21662"/>
      <c r="EN311" s="21663"/>
      <c r="EO311" s="16448"/>
      <c r="EP311" s="16449"/>
      <c r="EQ311" s="21664"/>
      <c r="ER311" s="16450"/>
      <c r="ES311" s="16451"/>
      <c r="ET311" s="16452"/>
      <c r="EU311" s="16453"/>
      <c r="EV311" s="16454"/>
      <c r="EW311" s="16455"/>
      <c r="EX311" s="4507"/>
      <c r="EY311" s="4508"/>
      <c r="EZ311" s="16456"/>
      <c r="FA311" s="16457"/>
      <c r="FB311" s="4509"/>
      <c r="FC311" s="16458"/>
      <c r="FD311" s="16459"/>
      <c r="FE311" s="16460"/>
      <c r="FF311" s="16461"/>
      <c r="FG311" s="16462"/>
      <c r="FH311" s="5738"/>
      <c r="FI311" s="22902"/>
      <c r="FJ311" s="22903"/>
      <c r="FK311" s="23652"/>
      <c r="FL311" s="23653"/>
      <c r="FM311" s="22904"/>
      <c r="FN311" s="23654"/>
      <c r="FO311" s="23655"/>
      <c r="FP311" s="22905"/>
      <c r="FQ311" s="22906"/>
      <c r="FR311" s="22907"/>
      <c r="FS311" s="23656"/>
      <c r="FT311" s="4510"/>
      <c r="FU311" s="1184" t="s">
        <v>713</v>
      </c>
      <c r="FV311" s="1568"/>
      <c r="FW311" s="1550"/>
      <c r="FX311" s="1550" t="str">
        <f t="shared" si="5"/>
        <v>Добавить значение признака дифференциации</v>
      </c>
      <c r="FY311" s="1550"/>
      <c r="FZ311" s="1550"/>
      <c r="GA311" s="1561">
        <v>0</v>
      </c>
    </row>
    <row r="312" spans="1:183" s="1747" customFormat="1" ht="23.25" customHeight="1">
      <c r="A312" s="1289"/>
      <c r="B312" s="1289"/>
      <c r="C312" s="1289"/>
      <c r="D312" s="1289"/>
      <c r="E312" s="24089"/>
      <c r="F312" s="24089"/>
      <c r="G312" s="24089"/>
      <c r="H312" s="24089"/>
      <c r="I312" s="24091"/>
      <c r="J312" s="24090" t="str">
        <f>I307&amp;".2"</f>
        <v>1.12.2.1.2</v>
      </c>
      <c r="K312" s="1289"/>
      <c r="L312" s="1295" t="s">
        <v>635</v>
      </c>
      <c r="M312" s="1674"/>
      <c r="N312" s="1674"/>
      <c r="O312" s="1674"/>
      <c r="P312" s="24092"/>
      <c r="Q312" s="24206" t="s">
        <v>96</v>
      </c>
      <c r="R312" s="293"/>
      <c r="S312" s="1976" t="str">
        <f>$J312</f>
        <v>1.12.2.1.2</v>
      </c>
      <c r="T312" s="222" t="s">
        <v>636</v>
      </c>
      <c r="U312" s="236"/>
      <c r="V312" s="24076"/>
      <c r="W312" s="24077"/>
      <c r="X312" s="24077"/>
      <c r="Y312" s="24077"/>
      <c r="Z312" s="24077"/>
      <c r="AA312" s="24077"/>
      <c r="AB312" s="24077"/>
      <c r="AC312" s="24077"/>
      <c r="AD312" s="24077"/>
      <c r="AE312" s="24077"/>
      <c r="AF312" s="24078"/>
      <c r="AG312" s="24076" t="s">
        <v>771</v>
      </c>
      <c r="AH312" s="24077"/>
      <c r="AI312" s="24077"/>
      <c r="AJ312" s="24077"/>
      <c r="AK312" s="24077"/>
      <c r="AL312" s="24077"/>
      <c r="AM312" s="24077"/>
      <c r="AN312" s="24077"/>
      <c r="AO312" s="24077"/>
      <c r="AP312" s="24077"/>
      <c r="AQ312" s="24077"/>
      <c r="AR312" s="24179"/>
      <c r="AS312" s="24180"/>
      <c r="AT312" s="24180"/>
      <c r="AU312" s="24180"/>
      <c r="AV312" s="24180"/>
      <c r="AW312" s="24180"/>
      <c r="AX312" s="24180"/>
      <c r="AY312" s="24180"/>
      <c r="AZ312" s="24180"/>
      <c r="BA312" s="24180"/>
      <c r="BB312" s="24181"/>
      <c r="BC312" s="24179"/>
      <c r="BD312" s="24180"/>
      <c r="BE312" s="24180"/>
      <c r="BF312" s="24180"/>
      <c r="BG312" s="24180"/>
      <c r="BH312" s="24180"/>
      <c r="BI312" s="24180"/>
      <c r="BJ312" s="24180"/>
      <c r="BK312" s="24180"/>
      <c r="BL312" s="24180"/>
      <c r="BM312" s="24181"/>
      <c r="BN312" s="24076"/>
      <c r="BO312" s="24077"/>
      <c r="BP312" s="24180"/>
      <c r="BQ312" s="24180"/>
      <c r="BR312" s="24077"/>
      <c r="BS312" s="24180"/>
      <c r="BT312" s="24180"/>
      <c r="BU312" s="24180"/>
      <c r="BV312" s="24180"/>
      <c r="BW312" s="24180"/>
      <c r="BX312" s="24181"/>
      <c r="BY312" s="24179"/>
      <c r="BZ312" s="24180"/>
      <c r="CA312" s="24180"/>
      <c r="CB312" s="24180"/>
      <c r="CC312" s="24180"/>
      <c r="CD312" s="24180"/>
      <c r="CE312" s="24180"/>
      <c r="CF312" s="24180"/>
      <c r="CG312" s="24180"/>
      <c r="CH312" s="24180"/>
      <c r="CI312" s="24181"/>
      <c r="CJ312" s="24179"/>
      <c r="CK312" s="24180"/>
      <c r="CL312" s="24180"/>
      <c r="CM312" s="24180"/>
      <c r="CN312" s="24180"/>
      <c r="CO312" s="24180"/>
      <c r="CP312" s="24180"/>
      <c r="CQ312" s="24180"/>
      <c r="CR312" s="24180"/>
      <c r="CS312" s="24180"/>
      <c r="CT312" s="24181"/>
      <c r="CU312" s="24179"/>
      <c r="CV312" s="24180"/>
      <c r="CW312" s="24180"/>
      <c r="CX312" s="24180"/>
      <c r="CY312" s="24180"/>
      <c r="CZ312" s="24180"/>
      <c r="DA312" s="24180"/>
      <c r="DB312" s="24180"/>
      <c r="DC312" s="24180"/>
      <c r="DD312" s="24180"/>
      <c r="DE312" s="24181"/>
      <c r="DF312" s="24179"/>
      <c r="DG312" s="24180"/>
      <c r="DH312" s="24180"/>
      <c r="DI312" s="24180"/>
      <c r="DJ312" s="24180"/>
      <c r="DK312" s="24180"/>
      <c r="DL312" s="24180"/>
      <c r="DM312" s="24180"/>
      <c r="DN312" s="24180"/>
      <c r="DO312" s="24180"/>
      <c r="DP312" s="24181"/>
      <c r="DQ312" s="24179"/>
      <c r="DR312" s="24180"/>
      <c r="DS312" s="24180"/>
      <c r="DT312" s="24180"/>
      <c r="DU312" s="24180"/>
      <c r="DV312" s="24180"/>
      <c r="DW312" s="24180"/>
      <c r="DX312" s="24180"/>
      <c r="DY312" s="24180"/>
      <c r="DZ312" s="24180"/>
      <c r="EA312" s="24181"/>
      <c r="EB312" s="24179"/>
      <c r="EC312" s="24180"/>
      <c r="ED312" s="24180"/>
      <c r="EE312" s="24180"/>
      <c r="EF312" s="24180"/>
      <c r="EG312" s="24180"/>
      <c r="EH312" s="24180"/>
      <c r="EI312" s="24180"/>
      <c r="EJ312" s="24180"/>
      <c r="EK312" s="24180"/>
      <c r="EL312" s="24181"/>
      <c r="EM312" s="24179"/>
      <c r="EN312" s="24180"/>
      <c r="EO312" s="24180"/>
      <c r="EP312" s="24180"/>
      <c r="EQ312" s="24180"/>
      <c r="ER312" s="24180"/>
      <c r="ES312" s="24180"/>
      <c r="ET312" s="24180"/>
      <c r="EU312" s="24180"/>
      <c r="EV312" s="24180"/>
      <c r="EW312" s="24181"/>
      <c r="EX312" s="24076"/>
      <c r="EY312" s="24077"/>
      <c r="EZ312" s="24180"/>
      <c r="FA312" s="24180"/>
      <c r="FB312" s="24077"/>
      <c r="FC312" s="24180"/>
      <c r="FD312" s="24180"/>
      <c r="FE312" s="24180"/>
      <c r="FF312" s="24180"/>
      <c r="FG312" s="24180"/>
      <c r="FH312" s="24181"/>
      <c r="FI312" s="24076"/>
      <c r="FJ312" s="24077"/>
      <c r="FK312" s="24180"/>
      <c r="FL312" s="24180"/>
      <c r="FM312" s="24077"/>
      <c r="FN312" s="24180"/>
      <c r="FO312" s="24180"/>
      <c r="FP312" s="24077"/>
      <c r="FQ312" s="24077"/>
      <c r="FR312" s="24077"/>
      <c r="FS312" s="24181"/>
      <c r="FT312" s="24078"/>
      <c r="FU312" s="1233" t="s">
        <v>711</v>
      </c>
      <c r="FV312" s="1568"/>
      <c r="FW312" s="1550"/>
      <c r="FX312" s="1550" t="str">
        <f t="shared" si="5"/>
        <v>Группа потребителей</v>
      </c>
      <c r="FY312" s="1550"/>
      <c r="FZ312" s="1550"/>
      <c r="GA312" s="1561">
        <v>0</v>
      </c>
    </row>
    <row r="313" spans="1:183" s="1747" customFormat="1" ht="23.25" customHeight="1">
      <c r="A313" s="1289"/>
      <c r="B313" s="1289"/>
      <c r="C313" s="1289"/>
      <c r="D313" s="1289"/>
      <c r="E313" s="24089"/>
      <c r="F313" s="24089"/>
      <c r="G313" s="24089"/>
      <c r="H313" s="24089"/>
      <c r="I313" s="24091"/>
      <c r="J313" s="24091" t="str">
        <f>I307&amp;".1"</f>
        <v>1.12.2.1.1</v>
      </c>
      <c r="K313" s="24090" t="str">
        <f>J312&amp;".1"</f>
        <v>1.12.2.1.2.1</v>
      </c>
      <c r="L313" s="1295"/>
      <c r="M313" s="1674"/>
      <c r="N313" s="1674"/>
      <c r="O313" s="1674"/>
      <c r="P313" s="24092"/>
      <c r="Q313" s="24092"/>
      <c r="R313" s="293">
        <v>1</v>
      </c>
      <c r="S313" s="1976" t="str">
        <f>$K313</f>
        <v>1.12.2.1.2.1</v>
      </c>
      <c r="T313" s="1363"/>
      <c r="U313" s="236"/>
      <c r="V313" s="1286"/>
      <c r="W313" s="1286"/>
      <c r="X313" s="1286"/>
      <c r="Y313" s="1286"/>
      <c r="Z313" s="1286"/>
      <c r="AA313" s="1286"/>
      <c r="AB313" s="1286"/>
      <c r="AC313" s="24086"/>
      <c r="AD313" s="24085" t="s">
        <v>59</v>
      </c>
      <c r="AE313" s="24086"/>
      <c r="AF313" s="24085" t="s">
        <v>59</v>
      </c>
      <c r="AG313" s="687">
        <v>225.68</v>
      </c>
      <c r="AH313" s="687">
        <v>35.46</v>
      </c>
      <c r="AI313" s="687"/>
      <c r="AJ313" s="687"/>
      <c r="AK313" s="687">
        <v>2898.96</v>
      </c>
      <c r="AL313" s="687"/>
      <c r="AM313" s="687"/>
      <c r="AN313" s="24093" t="s">
        <v>9</v>
      </c>
      <c r="AO313" s="23957" t="s">
        <v>59</v>
      </c>
      <c r="AP313" s="24095" t="s">
        <v>770</v>
      </c>
      <c r="AQ313" s="23957" t="s">
        <v>59</v>
      </c>
      <c r="AR313" s="687">
        <v>248.27</v>
      </c>
      <c r="AS313" s="687">
        <v>39.01</v>
      </c>
      <c r="AT313" s="687"/>
      <c r="AU313" s="687"/>
      <c r="AV313" s="687">
        <v>3188.86</v>
      </c>
      <c r="AW313" s="687"/>
      <c r="AX313" s="687"/>
      <c r="AY313" s="24093" t="s">
        <v>772</v>
      </c>
      <c r="AZ313" s="23957" t="s">
        <v>59</v>
      </c>
      <c r="BA313" s="24093" t="s">
        <v>773</v>
      </c>
      <c r="BB313" s="23957" t="s">
        <v>59</v>
      </c>
      <c r="BC313" s="687">
        <v>248.27</v>
      </c>
      <c r="BD313" s="687">
        <v>39.01</v>
      </c>
      <c r="BE313" s="687"/>
      <c r="BF313" s="687"/>
      <c r="BG313" s="687">
        <v>3188.86</v>
      </c>
      <c r="BH313" s="687"/>
      <c r="BI313" s="687"/>
      <c r="BJ313" s="24093" t="s">
        <v>774</v>
      </c>
      <c r="BK313" s="23957" t="s">
        <v>59</v>
      </c>
      <c r="BL313" s="24093" t="s">
        <v>775</v>
      </c>
      <c r="BM313" s="23957" t="s">
        <v>59</v>
      </c>
      <c r="BN313" s="687">
        <v>274.19</v>
      </c>
      <c r="BO313" s="687">
        <v>46.81</v>
      </c>
      <c r="BP313" s="687"/>
      <c r="BQ313" s="687"/>
      <c r="BR313" s="687">
        <v>3465.01</v>
      </c>
      <c r="BS313" s="687"/>
      <c r="BT313" s="687"/>
      <c r="BU313" s="24093" t="s">
        <v>776</v>
      </c>
      <c r="BV313" s="23957" t="s">
        <v>59</v>
      </c>
      <c r="BW313" s="24093" t="s">
        <v>777</v>
      </c>
      <c r="BX313" s="23957" t="s">
        <v>59</v>
      </c>
      <c r="BY313" s="687">
        <v>278.83999999999997</v>
      </c>
      <c r="BZ313" s="687">
        <v>47.59</v>
      </c>
      <c r="CA313" s="687"/>
      <c r="CB313" s="687"/>
      <c r="CC313" s="687">
        <v>3524.09</v>
      </c>
      <c r="CD313" s="687"/>
      <c r="CE313" s="687"/>
      <c r="CF313" s="24093" t="s">
        <v>778</v>
      </c>
      <c r="CG313" s="23957" t="s">
        <v>59</v>
      </c>
      <c r="CH313" s="24185">
        <v>46295</v>
      </c>
      <c r="CI313" s="23957" t="s">
        <v>59</v>
      </c>
      <c r="CJ313" s="687">
        <v>312.31</v>
      </c>
      <c r="CK313" s="687">
        <v>53.3</v>
      </c>
      <c r="CL313" s="687"/>
      <c r="CM313" s="687"/>
      <c r="CN313" s="687">
        <v>3946.98</v>
      </c>
      <c r="CO313" s="687"/>
      <c r="CP313" s="687"/>
      <c r="CQ313" s="24185">
        <v>46296</v>
      </c>
      <c r="CR313" s="23957" t="s">
        <v>59</v>
      </c>
      <c r="CS313" s="24093" t="s">
        <v>779</v>
      </c>
      <c r="CT313" s="23957" t="s">
        <v>59</v>
      </c>
      <c r="CU313" s="687">
        <f>CJ313</f>
        <v>312.31</v>
      </c>
      <c r="CV313" s="687">
        <f>CK313</f>
        <v>53.3</v>
      </c>
      <c r="CW313" s="687"/>
      <c r="CX313" s="687"/>
      <c r="CY313" s="687">
        <f>CN313</f>
        <v>3946.98</v>
      </c>
      <c r="CZ313" s="687"/>
      <c r="DA313" s="687"/>
      <c r="DB313" s="24093" t="s">
        <v>780</v>
      </c>
      <c r="DC313" s="23957" t="s">
        <v>59</v>
      </c>
      <c r="DD313" s="24093" t="s">
        <v>781</v>
      </c>
      <c r="DE313" s="23957" t="s">
        <v>59</v>
      </c>
      <c r="DF313" s="687">
        <v>339.48</v>
      </c>
      <c r="DG313" s="687">
        <v>57.94</v>
      </c>
      <c r="DH313" s="687"/>
      <c r="DI313" s="687"/>
      <c r="DJ313" s="687">
        <v>4290.37</v>
      </c>
      <c r="DK313" s="687"/>
      <c r="DL313" s="687"/>
      <c r="DM313" s="24093" t="s">
        <v>782</v>
      </c>
      <c r="DN313" s="23957" t="s">
        <v>59</v>
      </c>
      <c r="DO313" s="24093" t="s">
        <v>783</v>
      </c>
      <c r="DP313" s="23957" t="s">
        <v>59</v>
      </c>
      <c r="DQ313" s="687">
        <f>DF313</f>
        <v>339.48</v>
      </c>
      <c r="DR313" s="687">
        <f>DG313</f>
        <v>57.94</v>
      </c>
      <c r="DS313" s="687"/>
      <c r="DT313" s="687"/>
      <c r="DU313" s="687">
        <f>DJ313</f>
        <v>4290.37</v>
      </c>
      <c r="DV313" s="687"/>
      <c r="DW313" s="687"/>
      <c r="DX313" s="24093" t="s">
        <v>784</v>
      </c>
      <c r="DY313" s="23957" t="s">
        <v>59</v>
      </c>
      <c r="DZ313" s="24093" t="s">
        <v>785</v>
      </c>
      <c r="EA313" s="23957" t="s">
        <v>59</v>
      </c>
      <c r="EB313" s="687">
        <v>363.57</v>
      </c>
      <c r="EC313" s="687">
        <v>62.05</v>
      </c>
      <c r="ED313" s="687"/>
      <c r="EE313" s="687"/>
      <c r="EF313" s="687">
        <v>4595</v>
      </c>
      <c r="EG313" s="687"/>
      <c r="EH313" s="687"/>
      <c r="EI313" s="24093" t="s">
        <v>786</v>
      </c>
      <c r="EJ313" s="23957" t="s">
        <v>59</v>
      </c>
      <c r="EK313" s="24093" t="s">
        <v>787</v>
      </c>
      <c r="EL313" s="23957" t="s">
        <v>6</v>
      </c>
      <c r="EM313" s="1286"/>
      <c r="EN313" s="1286"/>
      <c r="EO313" s="1286"/>
      <c r="EP313" s="1286"/>
      <c r="EQ313" s="1286"/>
      <c r="ER313" s="1286"/>
      <c r="ES313" s="1286"/>
      <c r="ET313" s="24086"/>
      <c r="EU313" s="24085" t="s">
        <v>59</v>
      </c>
      <c r="EV313" s="24086"/>
      <c r="EW313" s="24085" t="s">
        <v>59</v>
      </c>
      <c r="EX313" s="1286"/>
      <c r="EY313" s="1286"/>
      <c r="EZ313" s="1286"/>
      <c r="FA313" s="1286"/>
      <c r="FB313" s="1286"/>
      <c r="FC313" s="1286"/>
      <c r="FD313" s="1286"/>
      <c r="FE313" s="24086"/>
      <c r="FF313" s="24085" t="s">
        <v>59</v>
      </c>
      <c r="FG313" s="24086"/>
      <c r="FH313" s="24085" t="s">
        <v>59</v>
      </c>
      <c r="FI313" s="1286"/>
      <c r="FJ313" s="1286"/>
      <c r="FK313" s="1286"/>
      <c r="FL313" s="1286"/>
      <c r="FM313" s="1286"/>
      <c r="FN313" s="1286"/>
      <c r="FO313" s="1286"/>
      <c r="FP313" s="24086"/>
      <c r="FQ313" s="24085" t="s">
        <v>59</v>
      </c>
      <c r="FR313" s="24086"/>
      <c r="FS313" s="24085" t="s">
        <v>59</v>
      </c>
      <c r="FT313" s="1364"/>
      <c r="FU31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13" s="1568" t="e">
        <f ca="1">STRCHECKDATE(V314:FT314)</f>
        <v>#NAME?</v>
      </c>
      <c r="FW313" s="1550"/>
      <c r="FX313" s="1550" t="str">
        <f t="shared" si="5"/>
        <v/>
      </c>
      <c r="FY313" s="1550"/>
      <c r="FZ313" s="1550"/>
      <c r="GA313" s="1561">
        <v>0</v>
      </c>
    </row>
    <row r="314" spans="1:183" s="1747" customFormat="1" ht="14.25" customHeight="1">
      <c r="A314" s="1289"/>
      <c r="B314" s="1289"/>
      <c r="C314" s="1289"/>
      <c r="D314" s="1289"/>
      <c r="E314" s="24089"/>
      <c r="F314" s="24089"/>
      <c r="G314" s="24089"/>
      <c r="H314" s="24089"/>
      <c r="I314" s="24091"/>
      <c r="J314" s="24091" t="str">
        <f>I307&amp;".1"</f>
        <v>1.12.2.1.1</v>
      </c>
      <c r="K314" s="24090"/>
      <c r="L314" s="1295"/>
      <c r="M314" s="1674"/>
      <c r="N314" s="1674"/>
      <c r="O314" s="1674"/>
      <c r="P314" s="24092"/>
      <c r="Q314" s="24092"/>
      <c r="R314" s="293"/>
      <c r="S314" s="1982"/>
      <c r="T314" s="236"/>
      <c r="U314" s="236"/>
      <c r="V314" s="1286"/>
      <c r="W314" s="1286"/>
      <c r="X314" s="1286"/>
      <c r="Y314" s="1286"/>
      <c r="Z314" s="1286"/>
      <c r="AA314" s="1286"/>
      <c r="AB314" s="1286"/>
      <c r="AC314" s="24085"/>
      <c r="AD314" s="24085"/>
      <c r="AE314" s="24085"/>
      <c r="AF314" s="24085"/>
      <c r="AG314" s="261"/>
      <c r="AH314" s="261"/>
      <c r="AI314" s="261"/>
      <c r="AJ314" s="261"/>
      <c r="AK314" s="261"/>
      <c r="AL314" s="261"/>
      <c r="AM314" s="261"/>
      <c r="AN314" s="24094"/>
      <c r="AO314" s="23957"/>
      <c r="AP314" s="24096"/>
      <c r="AQ314" s="23957"/>
      <c r="AR314" s="261"/>
      <c r="AS314" s="261"/>
      <c r="AT314" s="261"/>
      <c r="AU314" s="261"/>
      <c r="AV314" s="261"/>
      <c r="AW314" s="261"/>
      <c r="AX314" s="261"/>
      <c r="AY314" s="24094"/>
      <c r="AZ314" s="23957"/>
      <c r="BA314" s="24094"/>
      <c r="BB314" s="23957"/>
      <c r="BC314" s="261"/>
      <c r="BD314" s="261"/>
      <c r="BE314" s="261"/>
      <c r="BF314" s="261"/>
      <c r="BG314" s="261"/>
      <c r="BH314" s="261"/>
      <c r="BI314" s="261"/>
      <c r="BJ314" s="24094"/>
      <c r="BK314" s="23957"/>
      <c r="BL314" s="24094"/>
      <c r="BM314" s="23957"/>
      <c r="BN314" s="261"/>
      <c r="BO314" s="261"/>
      <c r="BP314" s="261"/>
      <c r="BQ314" s="261"/>
      <c r="BR314" s="261"/>
      <c r="BS314" s="261"/>
      <c r="BT314" s="261"/>
      <c r="BU314" s="24094"/>
      <c r="BV314" s="23957"/>
      <c r="BW314" s="24094"/>
      <c r="BX314" s="23957"/>
      <c r="BY314" s="261"/>
      <c r="BZ314" s="261"/>
      <c r="CA314" s="261"/>
      <c r="CB314" s="261"/>
      <c r="CC314" s="261"/>
      <c r="CD314" s="261"/>
      <c r="CE314" s="261"/>
      <c r="CF314" s="24094"/>
      <c r="CG314" s="23957"/>
      <c r="CH314" s="24094"/>
      <c r="CI314" s="23957"/>
      <c r="CJ314" s="261"/>
      <c r="CK314" s="261"/>
      <c r="CL314" s="261"/>
      <c r="CM314" s="261"/>
      <c r="CN314" s="261"/>
      <c r="CO314" s="261"/>
      <c r="CP314" s="261"/>
      <c r="CQ314" s="24094"/>
      <c r="CR314" s="23957"/>
      <c r="CS314" s="24094"/>
      <c r="CT314" s="23957"/>
      <c r="CU314" s="261"/>
      <c r="CV314" s="261"/>
      <c r="CW314" s="261"/>
      <c r="CX314" s="261"/>
      <c r="CY314" s="261"/>
      <c r="CZ314" s="261"/>
      <c r="DA314" s="261"/>
      <c r="DB314" s="24094"/>
      <c r="DC314" s="23957"/>
      <c r="DD314" s="24094"/>
      <c r="DE314" s="23957"/>
      <c r="DF314" s="261"/>
      <c r="DG314" s="261"/>
      <c r="DH314" s="261"/>
      <c r="DI314" s="261"/>
      <c r="DJ314" s="261"/>
      <c r="DK314" s="261"/>
      <c r="DL314" s="261"/>
      <c r="DM314" s="24094"/>
      <c r="DN314" s="23957"/>
      <c r="DO314" s="24094"/>
      <c r="DP314" s="23957"/>
      <c r="DQ314" s="261"/>
      <c r="DR314" s="261"/>
      <c r="DS314" s="261"/>
      <c r="DT314" s="261"/>
      <c r="DU314" s="261"/>
      <c r="DV314" s="261"/>
      <c r="DW314" s="261"/>
      <c r="DX314" s="24094"/>
      <c r="DY314" s="23957"/>
      <c r="DZ314" s="24094"/>
      <c r="EA314" s="23957"/>
      <c r="EB314" s="261"/>
      <c r="EC314" s="261"/>
      <c r="ED314" s="261"/>
      <c r="EE314" s="261"/>
      <c r="EF314" s="261"/>
      <c r="EG314" s="261"/>
      <c r="EH314" s="261"/>
      <c r="EI314" s="24094"/>
      <c r="EJ314" s="23957"/>
      <c r="EK314" s="24094"/>
      <c r="EL314" s="23957"/>
      <c r="EM314" s="1286"/>
      <c r="EN314" s="1286"/>
      <c r="EO314" s="1286"/>
      <c r="EP314" s="1286"/>
      <c r="EQ314" s="1286"/>
      <c r="ER314" s="1286"/>
      <c r="ES314" s="1286"/>
      <c r="ET314" s="24085"/>
      <c r="EU314" s="24085"/>
      <c r="EV314" s="24085"/>
      <c r="EW314" s="24085"/>
      <c r="EX314" s="1286"/>
      <c r="EY314" s="1286"/>
      <c r="EZ314" s="1286"/>
      <c r="FA314" s="1286"/>
      <c r="FB314" s="1286"/>
      <c r="FC314" s="1286"/>
      <c r="FD314" s="1286"/>
      <c r="FE314" s="24085"/>
      <c r="FF314" s="24085"/>
      <c r="FG314" s="24085"/>
      <c r="FH314" s="24085"/>
      <c r="FI314" s="1286"/>
      <c r="FJ314" s="1286"/>
      <c r="FK314" s="1286"/>
      <c r="FL314" s="1286"/>
      <c r="FM314" s="1286"/>
      <c r="FN314" s="1286"/>
      <c r="FO314" s="1286"/>
      <c r="FP314" s="24085"/>
      <c r="FQ314" s="24085"/>
      <c r="FR314" s="24085"/>
      <c r="FS314" s="24085"/>
      <c r="FT314" s="1365"/>
      <c r="FU314" s="24162"/>
      <c r="FV314" s="1568"/>
      <c r="FW314" s="1550"/>
      <c r="FX314" s="1550" t="str">
        <f t="shared" si="5"/>
        <v/>
      </c>
      <c r="FY314" s="1550"/>
      <c r="FZ314" s="1550"/>
      <c r="GA314" s="1561">
        <v>0</v>
      </c>
    </row>
    <row r="315" spans="1:183" s="1747" customFormat="1" ht="21" customHeight="1">
      <c r="A315" s="1289"/>
      <c r="B315" s="1289"/>
      <c r="C315" s="1289"/>
      <c r="D315" s="1289"/>
      <c r="E315" s="24089"/>
      <c r="F315" s="24089"/>
      <c r="G315" s="24089"/>
      <c r="H315" s="24089"/>
      <c r="I315" s="24091"/>
      <c r="J315" s="24090" t="str">
        <f>I307&amp;".1"</f>
        <v>1.12.2.1.1</v>
      </c>
      <c r="K315" s="1289"/>
      <c r="L315" s="1295"/>
      <c r="M315" s="1674"/>
      <c r="N315" s="1674"/>
      <c r="O315" s="1674"/>
      <c r="P315" s="24092"/>
      <c r="Q315" s="24092"/>
      <c r="R315" s="292"/>
      <c r="S315" s="4511"/>
      <c r="T315" s="4512" t="s">
        <v>712</v>
      </c>
      <c r="U315" s="4513"/>
      <c r="V315" s="4514"/>
      <c r="W315" s="4515"/>
      <c r="X315" s="4516"/>
      <c r="Y315" s="4517"/>
      <c r="Z315" s="4518"/>
      <c r="AA315" s="4519"/>
      <c r="AB315" s="4520"/>
      <c r="AC315" s="4521"/>
      <c r="AD315" s="4522"/>
      <c r="AE315" s="4523"/>
      <c r="AF315" s="4524"/>
      <c r="AG315" s="4525"/>
      <c r="AH315" s="4526"/>
      <c r="AI315" s="4527"/>
      <c r="AJ315" s="4528"/>
      <c r="AK315" s="4529"/>
      <c r="AL315" s="4530"/>
      <c r="AM315" s="4531"/>
      <c r="AN315" s="4532"/>
      <c r="AO315" s="4533"/>
      <c r="AP315" s="4534"/>
      <c r="AQ315" s="4535"/>
      <c r="AR315" s="7555"/>
      <c r="AS315" s="7556"/>
      <c r="AT315" s="7557"/>
      <c r="AU315" s="7558"/>
      <c r="AV315" s="7559"/>
      <c r="AW315" s="7560"/>
      <c r="AX315" s="7561"/>
      <c r="AY315" s="7562"/>
      <c r="AZ315" s="7563"/>
      <c r="BA315" s="7564"/>
      <c r="BB315" s="7565"/>
      <c r="BC315" s="7566"/>
      <c r="BD315" s="7567"/>
      <c r="BE315" s="16463"/>
      <c r="BF315" s="16464"/>
      <c r="BG315" s="21903"/>
      <c r="BH315" s="16465"/>
      <c r="BI315" s="16466"/>
      <c r="BJ315" s="16467"/>
      <c r="BK315" s="16468"/>
      <c r="BL315" s="16469"/>
      <c r="BM315" s="16470"/>
      <c r="BN315" s="4536"/>
      <c r="BO315" s="4537"/>
      <c r="BP315" s="16471"/>
      <c r="BQ315" s="16472"/>
      <c r="BR315" s="4538"/>
      <c r="BS315" s="16473"/>
      <c r="BT315" s="16474"/>
      <c r="BU315" s="16475"/>
      <c r="BV315" s="16476"/>
      <c r="BW315" s="16477"/>
      <c r="BX315" s="16478"/>
      <c r="BY315" s="16479"/>
      <c r="BZ315" s="16480"/>
      <c r="CA315" s="16481"/>
      <c r="CB315" s="16482"/>
      <c r="CC315" s="16483"/>
      <c r="CD315" s="16484"/>
      <c r="CE315" s="16485"/>
      <c r="CF315" s="16486"/>
      <c r="CG315" s="16487"/>
      <c r="CH315" s="16488"/>
      <c r="CI315" s="16489"/>
      <c r="CJ315" s="16490"/>
      <c r="CK315" s="16491"/>
      <c r="CL315" s="16492"/>
      <c r="CM315" s="16493"/>
      <c r="CN315" s="16494"/>
      <c r="CO315" s="16495"/>
      <c r="CP315" s="16496"/>
      <c r="CQ315" s="16497"/>
      <c r="CR315" s="16498"/>
      <c r="CS315" s="16499"/>
      <c r="CT315" s="16500"/>
      <c r="CU315" s="16501"/>
      <c r="CV315" s="16502"/>
      <c r="CW315" s="16503"/>
      <c r="CX315" s="16504"/>
      <c r="CY315" s="16505"/>
      <c r="CZ315" s="16506"/>
      <c r="DA315" s="16507"/>
      <c r="DB315" s="16508"/>
      <c r="DC315" s="16509"/>
      <c r="DD315" s="16510"/>
      <c r="DE315" s="16511"/>
      <c r="DF315" s="16512"/>
      <c r="DG315" s="16513"/>
      <c r="DH315" s="16514"/>
      <c r="DI315" s="16515"/>
      <c r="DJ315" s="16516"/>
      <c r="DK315" s="16517"/>
      <c r="DL315" s="16518"/>
      <c r="DM315" s="16519"/>
      <c r="DN315" s="16520"/>
      <c r="DO315" s="16521"/>
      <c r="DP315" s="16522"/>
      <c r="DQ315" s="16523"/>
      <c r="DR315" s="16524"/>
      <c r="DS315" s="16525"/>
      <c r="DT315" s="16526"/>
      <c r="DU315" s="16527"/>
      <c r="DV315" s="16528"/>
      <c r="DW315" s="16529"/>
      <c r="DX315" s="16530"/>
      <c r="DY315" s="16531"/>
      <c r="DZ315" s="16532"/>
      <c r="EA315" s="16533"/>
      <c r="EB315" s="16534"/>
      <c r="EC315" s="16535"/>
      <c r="ED315" s="16536"/>
      <c r="EE315" s="16537"/>
      <c r="EF315" s="16538"/>
      <c r="EG315" s="16539"/>
      <c r="EH315" s="16540"/>
      <c r="EI315" s="16541"/>
      <c r="EJ315" s="16542"/>
      <c r="EK315" s="16543"/>
      <c r="EL315" s="16544"/>
      <c r="EM315" s="21665"/>
      <c r="EN315" s="21666"/>
      <c r="EO315" s="16545"/>
      <c r="EP315" s="16546"/>
      <c r="EQ315" s="21667"/>
      <c r="ER315" s="16547"/>
      <c r="ES315" s="16548"/>
      <c r="ET315" s="16549"/>
      <c r="EU315" s="16550"/>
      <c r="EV315" s="16551"/>
      <c r="EW315" s="16552"/>
      <c r="EX315" s="4539"/>
      <c r="EY315" s="4540"/>
      <c r="EZ315" s="16553"/>
      <c r="FA315" s="16554"/>
      <c r="FB315" s="4541"/>
      <c r="FC315" s="16555"/>
      <c r="FD315" s="16556"/>
      <c r="FE315" s="16557"/>
      <c r="FF315" s="16558"/>
      <c r="FG315" s="16559"/>
      <c r="FH315" s="5739"/>
      <c r="FI315" s="22908"/>
      <c r="FJ315" s="22909"/>
      <c r="FK315" s="23657"/>
      <c r="FL315" s="23658"/>
      <c r="FM315" s="22910"/>
      <c r="FN315" s="23659"/>
      <c r="FO315" s="23660"/>
      <c r="FP315" s="22911"/>
      <c r="FQ315" s="22912"/>
      <c r="FR315" s="22913"/>
      <c r="FS315" s="23661"/>
      <c r="FT315" s="4542"/>
      <c r="FU315" s="1184" t="s">
        <v>713</v>
      </c>
      <c r="FV315" s="1568"/>
      <c r="FW315" s="1550"/>
      <c r="FX315" s="1550" t="str">
        <f t="shared" si="5"/>
        <v>Добавить значение признака дифференциации</v>
      </c>
      <c r="FY315" s="1550"/>
      <c r="FZ315" s="1550"/>
      <c r="GA315" s="1561">
        <v>0</v>
      </c>
    </row>
    <row r="316" spans="1:183" s="1747" customFormat="1" ht="21" customHeight="1">
      <c r="A316" s="1289"/>
      <c r="B316" s="1289"/>
      <c r="C316" s="1289"/>
      <c r="D316" s="1289"/>
      <c r="E316" s="24089"/>
      <c r="F316" s="24089"/>
      <c r="G316" s="24089">
        <v>1</v>
      </c>
      <c r="H316" s="24089"/>
      <c r="I316" s="24090"/>
      <c r="J316" s="1289"/>
      <c r="K316" s="1289"/>
      <c r="L316" s="1295"/>
      <c r="M316" s="1674"/>
      <c r="N316" s="1674"/>
      <c r="O316" s="1674"/>
      <c r="P316" s="24092"/>
      <c r="Q316" s="1978"/>
      <c r="R316" s="292"/>
      <c r="S316" s="4543"/>
      <c r="T316" s="4544" t="s">
        <v>641</v>
      </c>
      <c r="U316" s="4545"/>
      <c r="V316" s="4546"/>
      <c r="W316" s="4547"/>
      <c r="X316" s="4548"/>
      <c r="Y316" s="4549"/>
      <c r="Z316" s="4550"/>
      <c r="AA316" s="4551"/>
      <c r="AB316" s="4552"/>
      <c r="AC316" s="4553"/>
      <c r="AD316" s="4554"/>
      <c r="AE316" s="4555"/>
      <c r="AF316" s="4556"/>
      <c r="AG316" s="4557"/>
      <c r="AH316" s="4558"/>
      <c r="AI316" s="4559"/>
      <c r="AJ316" s="4560"/>
      <c r="AK316" s="4561"/>
      <c r="AL316" s="4562"/>
      <c r="AM316" s="4563"/>
      <c r="AN316" s="4564"/>
      <c r="AO316" s="4565"/>
      <c r="AP316" s="4566"/>
      <c r="AQ316" s="4567"/>
      <c r="AR316" s="7568"/>
      <c r="AS316" s="7569"/>
      <c r="AT316" s="7570"/>
      <c r="AU316" s="7571"/>
      <c r="AV316" s="7572"/>
      <c r="AW316" s="7573"/>
      <c r="AX316" s="7574"/>
      <c r="AY316" s="7575"/>
      <c r="AZ316" s="7576"/>
      <c r="BA316" s="7577"/>
      <c r="BB316" s="7578"/>
      <c r="BC316" s="7579"/>
      <c r="BD316" s="7580"/>
      <c r="BE316" s="16560"/>
      <c r="BF316" s="16561"/>
      <c r="BG316" s="21904"/>
      <c r="BH316" s="16562"/>
      <c r="BI316" s="16563"/>
      <c r="BJ316" s="16564"/>
      <c r="BK316" s="16565"/>
      <c r="BL316" s="16566"/>
      <c r="BM316" s="16567"/>
      <c r="BN316" s="4568"/>
      <c r="BO316" s="4569"/>
      <c r="BP316" s="16568"/>
      <c r="BQ316" s="16569"/>
      <c r="BR316" s="4570"/>
      <c r="BS316" s="16570"/>
      <c r="BT316" s="16571"/>
      <c r="BU316" s="16572"/>
      <c r="BV316" s="16573"/>
      <c r="BW316" s="16574"/>
      <c r="BX316" s="16575"/>
      <c r="BY316" s="16576"/>
      <c r="BZ316" s="16577"/>
      <c r="CA316" s="16578"/>
      <c r="CB316" s="16579"/>
      <c r="CC316" s="16580"/>
      <c r="CD316" s="16581"/>
      <c r="CE316" s="16582"/>
      <c r="CF316" s="16583"/>
      <c r="CG316" s="16584"/>
      <c r="CH316" s="16585"/>
      <c r="CI316" s="16586"/>
      <c r="CJ316" s="16587"/>
      <c r="CK316" s="16588"/>
      <c r="CL316" s="16589"/>
      <c r="CM316" s="16590"/>
      <c r="CN316" s="16591"/>
      <c r="CO316" s="16592"/>
      <c r="CP316" s="16593"/>
      <c r="CQ316" s="16594"/>
      <c r="CR316" s="16595"/>
      <c r="CS316" s="16596"/>
      <c r="CT316" s="16597"/>
      <c r="CU316" s="16598"/>
      <c r="CV316" s="16599"/>
      <c r="CW316" s="16600"/>
      <c r="CX316" s="16601"/>
      <c r="CY316" s="16602"/>
      <c r="CZ316" s="16603"/>
      <c r="DA316" s="16604"/>
      <c r="DB316" s="16605"/>
      <c r="DC316" s="16606"/>
      <c r="DD316" s="16607"/>
      <c r="DE316" s="16608"/>
      <c r="DF316" s="16609"/>
      <c r="DG316" s="16610"/>
      <c r="DH316" s="16611"/>
      <c r="DI316" s="16612"/>
      <c r="DJ316" s="16613"/>
      <c r="DK316" s="16614"/>
      <c r="DL316" s="16615"/>
      <c r="DM316" s="16616"/>
      <c r="DN316" s="16617"/>
      <c r="DO316" s="16618"/>
      <c r="DP316" s="16619"/>
      <c r="DQ316" s="16620"/>
      <c r="DR316" s="16621"/>
      <c r="DS316" s="16622"/>
      <c r="DT316" s="16623"/>
      <c r="DU316" s="16624"/>
      <c r="DV316" s="16625"/>
      <c r="DW316" s="16626"/>
      <c r="DX316" s="16627"/>
      <c r="DY316" s="16628"/>
      <c r="DZ316" s="16629"/>
      <c r="EA316" s="16630"/>
      <c r="EB316" s="16631"/>
      <c r="EC316" s="16632"/>
      <c r="ED316" s="16633"/>
      <c r="EE316" s="16634"/>
      <c r="EF316" s="16635"/>
      <c r="EG316" s="16636"/>
      <c r="EH316" s="16637"/>
      <c r="EI316" s="16638"/>
      <c r="EJ316" s="16639"/>
      <c r="EK316" s="16640"/>
      <c r="EL316" s="16641"/>
      <c r="EM316" s="21668"/>
      <c r="EN316" s="21669"/>
      <c r="EO316" s="16642"/>
      <c r="EP316" s="16643"/>
      <c r="EQ316" s="21670"/>
      <c r="ER316" s="16644"/>
      <c r="ES316" s="16645"/>
      <c r="ET316" s="16646"/>
      <c r="EU316" s="16647"/>
      <c r="EV316" s="16648"/>
      <c r="EW316" s="16649"/>
      <c r="EX316" s="4571"/>
      <c r="EY316" s="4572"/>
      <c r="EZ316" s="16650"/>
      <c r="FA316" s="16651"/>
      <c r="FB316" s="4573"/>
      <c r="FC316" s="16652"/>
      <c r="FD316" s="16653"/>
      <c r="FE316" s="16654"/>
      <c r="FF316" s="16655"/>
      <c r="FG316" s="16656"/>
      <c r="FH316" s="5740"/>
      <c r="FI316" s="22914"/>
      <c r="FJ316" s="22915"/>
      <c r="FK316" s="23662"/>
      <c r="FL316" s="23663"/>
      <c r="FM316" s="22916"/>
      <c r="FN316" s="23664"/>
      <c r="FO316" s="23665"/>
      <c r="FP316" s="22917"/>
      <c r="FQ316" s="22918"/>
      <c r="FR316" s="22919"/>
      <c r="FS316" s="23666"/>
      <c r="FT316" s="4574"/>
      <c r="FU316" s="4575"/>
      <c r="FV316" s="1568"/>
      <c r="FW316" s="1550"/>
      <c r="FX316" s="1550" t="str">
        <f t="shared" si="5"/>
        <v>Добавить группу потребителей</v>
      </c>
      <c r="FY316" s="1550"/>
      <c r="FZ316" s="1550"/>
      <c r="GA316" s="1561">
        <v>0</v>
      </c>
    </row>
    <row r="317" spans="1:183" s="1747" customFormat="1" ht="21" customHeight="1">
      <c r="A317" s="1289"/>
      <c r="B317" s="1289"/>
      <c r="C317" s="1289"/>
      <c r="D317" s="1289"/>
      <c r="E317" s="24089"/>
      <c r="F317" s="24089"/>
      <c r="G317" s="24089">
        <v>1</v>
      </c>
      <c r="H317" s="24088"/>
      <c r="I317" s="1289"/>
      <c r="J317" s="1289"/>
      <c r="K317" s="1289"/>
      <c r="L317" s="1295"/>
      <c r="M317" s="1291"/>
      <c r="N317" s="1291"/>
      <c r="O317" s="1292"/>
      <c r="P317" s="1720"/>
      <c r="Q317" s="311"/>
      <c r="R317" s="291"/>
      <c r="S317" s="4576"/>
      <c r="T317" s="4577" t="s">
        <v>714</v>
      </c>
      <c r="U317" s="4578"/>
      <c r="V317" s="4579"/>
      <c r="W317" s="4580"/>
      <c r="X317" s="4581"/>
      <c r="Y317" s="4582"/>
      <c r="Z317" s="4583"/>
      <c r="AA317" s="4584"/>
      <c r="AB317" s="4585"/>
      <c r="AC317" s="4586"/>
      <c r="AD317" s="4587"/>
      <c r="AE317" s="4588"/>
      <c r="AF317" s="4589"/>
      <c r="AG317" s="4590"/>
      <c r="AH317" s="4591"/>
      <c r="AI317" s="4592"/>
      <c r="AJ317" s="4593"/>
      <c r="AK317" s="4594"/>
      <c r="AL317" s="4595"/>
      <c r="AM317" s="4596"/>
      <c r="AN317" s="4597"/>
      <c r="AO317" s="4598"/>
      <c r="AP317" s="4599"/>
      <c r="AQ317" s="4600"/>
      <c r="AR317" s="7581"/>
      <c r="AS317" s="7582"/>
      <c r="AT317" s="7583"/>
      <c r="AU317" s="7584"/>
      <c r="AV317" s="7585"/>
      <c r="AW317" s="7586"/>
      <c r="AX317" s="7587"/>
      <c r="AY317" s="7588"/>
      <c r="AZ317" s="7589"/>
      <c r="BA317" s="7590"/>
      <c r="BB317" s="7591"/>
      <c r="BC317" s="7592"/>
      <c r="BD317" s="7593"/>
      <c r="BE317" s="16657"/>
      <c r="BF317" s="16658"/>
      <c r="BG317" s="21905"/>
      <c r="BH317" s="16659"/>
      <c r="BI317" s="16660"/>
      <c r="BJ317" s="16661"/>
      <c r="BK317" s="16662"/>
      <c r="BL317" s="16663"/>
      <c r="BM317" s="16664"/>
      <c r="BN317" s="4601"/>
      <c r="BO317" s="4602"/>
      <c r="BP317" s="16665"/>
      <c r="BQ317" s="16666"/>
      <c r="BR317" s="4603"/>
      <c r="BS317" s="16667"/>
      <c r="BT317" s="16668"/>
      <c r="BU317" s="16669"/>
      <c r="BV317" s="16670"/>
      <c r="BW317" s="16671"/>
      <c r="BX317" s="16672"/>
      <c r="BY317" s="16673"/>
      <c r="BZ317" s="16674"/>
      <c r="CA317" s="16675"/>
      <c r="CB317" s="16676"/>
      <c r="CC317" s="16677"/>
      <c r="CD317" s="16678"/>
      <c r="CE317" s="16679"/>
      <c r="CF317" s="16680"/>
      <c r="CG317" s="16681"/>
      <c r="CH317" s="16682"/>
      <c r="CI317" s="16683"/>
      <c r="CJ317" s="16684"/>
      <c r="CK317" s="16685"/>
      <c r="CL317" s="16686"/>
      <c r="CM317" s="16687"/>
      <c r="CN317" s="16688"/>
      <c r="CO317" s="16689"/>
      <c r="CP317" s="16690"/>
      <c r="CQ317" s="16691"/>
      <c r="CR317" s="16692"/>
      <c r="CS317" s="16693"/>
      <c r="CT317" s="16694"/>
      <c r="CU317" s="16695"/>
      <c r="CV317" s="16696"/>
      <c r="CW317" s="16697"/>
      <c r="CX317" s="16698"/>
      <c r="CY317" s="16699"/>
      <c r="CZ317" s="16700"/>
      <c r="DA317" s="16701"/>
      <c r="DB317" s="16702"/>
      <c r="DC317" s="16703"/>
      <c r="DD317" s="16704"/>
      <c r="DE317" s="16705"/>
      <c r="DF317" s="16706"/>
      <c r="DG317" s="16707"/>
      <c r="DH317" s="16708"/>
      <c r="DI317" s="16709"/>
      <c r="DJ317" s="16710"/>
      <c r="DK317" s="16711"/>
      <c r="DL317" s="16712"/>
      <c r="DM317" s="16713"/>
      <c r="DN317" s="16714"/>
      <c r="DO317" s="16715"/>
      <c r="DP317" s="16716"/>
      <c r="DQ317" s="16717"/>
      <c r="DR317" s="16718"/>
      <c r="DS317" s="16719"/>
      <c r="DT317" s="16720"/>
      <c r="DU317" s="16721"/>
      <c r="DV317" s="16722"/>
      <c r="DW317" s="16723"/>
      <c r="DX317" s="16724"/>
      <c r="DY317" s="16725"/>
      <c r="DZ317" s="16726"/>
      <c r="EA317" s="16727"/>
      <c r="EB317" s="16728"/>
      <c r="EC317" s="16729"/>
      <c r="ED317" s="16730"/>
      <c r="EE317" s="16731"/>
      <c r="EF317" s="16732"/>
      <c r="EG317" s="16733"/>
      <c r="EH317" s="16734"/>
      <c r="EI317" s="16735"/>
      <c r="EJ317" s="16736"/>
      <c r="EK317" s="16737"/>
      <c r="EL317" s="16738"/>
      <c r="EM317" s="21671"/>
      <c r="EN317" s="21672"/>
      <c r="EO317" s="16739"/>
      <c r="EP317" s="16740"/>
      <c r="EQ317" s="21673"/>
      <c r="ER317" s="16741"/>
      <c r="ES317" s="16742"/>
      <c r="ET317" s="16743"/>
      <c r="EU317" s="16744"/>
      <c r="EV317" s="16745"/>
      <c r="EW317" s="16746"/>
      <c r="EX317" s="4604"/>
      <c r="EY317" s="4605"/>
      <c r="EZ317" s="16747"/>
      <c r="FA317" s="16748"/>
      <c r="FB317" s="4606"/>
      <c r="FC317" s="16749"/>
      <c r="FD317" s="16750"/>
      <c r="FE317" s="16751"/>
      <c r="FF317" s="16752"/>
      <c r="FG317" s="16753"/>
      <c r="FH317" s="5741"/>
      <c r="FI317" s="22920"/>
      <c r="FJ317" s="22921"/>
      <c r="FK317" s="23667"/>
      <c r="FL317" s="23668"/>
      <c r="FM317" s="22922"/>
      <c r="FN317" s="23669"/>
      <c r="FO317" s="23670"/>
      <c r="FP317" s="22923"/>
      <c r="FQ317" s="22924"/>
      <c r="FR317" s="22925"/>
      <c r="FS317" s="23671"/>
      <c r="FT317" s="4607"/>
      <c r="FU317" s="4608"/>
      <c r="FV317" s="1568"/>
      <c r="FW317" s="1550"/>
      <c r="FX317" s="1550" t="str">
        <f t="shared" si="5"/>
        <v>Добавить наименование признака дифференциации</v>
      </c>
      <c r="FY317" s="1550"/>
      <c r="FZ317" s="1550"/>
      <c r="GA317" s="1561">
        <v>0</v>
      </c>
    </row>
    <row r="318" spans="1:183" s="558" customFormat="1" ht="14.25" customHeight="1">
      <c r="A318" s="1269"/>
      <c r="B318" s="1269"/>
      <c r="C318" s="1269"/>
      <c r="D318" s="1269"/>
      <c r="E318" s="24089"/>
      <c r="F318" s="24088" t="s">
        <v>138</v>
      </c>
      <c r="G318" s="1269"/>
      <c r="H318" s="1269"/>
      <c r="I318" s="1269"/>
      <c r="J318" s="1269"/>
      <c r="K318" s="1269"/>
      <c r="L318" s="1471"/>
      <c r="M318" s="1247"/>
      <c r="N318" s="1247"/>
      <c r="O318" s="1568"/>
      <c r="P318" s="1242"/>
      <c r="Q318" s="1270"/>
      <c r="R318" s="1242"/>
      <c r="S318" s="1248"/>
      <c r="T318" s="1251" t="s">
        <v>370</v>
      </c>
      <c r="U318" s="1250"/>
      <c r="V318" s="1250"/>
      <c r="W318" s="1250"/>
      <c r="X318" s="1250"/>
      <c r="Y318" s="1250"/>
      <c r="Z318" s="1250"/>
      <c r="AA318" s="1250"/>
      <c r="AB318" s="1250"/>
      <c r="AC318" s="1250"/>
      <c r="AD318" s="1250"/>
      <c r="AE318" s="1250"/>
      <c r="AF318" s="1250"/>
      <c r="AG318" s="1250"/>
      <c r="AH318" s="1250"/>
      <c r="AI318" s="1250"/>
      <c r="AJ318" s="1250"/>
      <c r="AK318" s="1250"/>
      <c r="AL318" s="1250"/>
      <c r="AM318" s="1250"/>
      <c r="AN318" s="1250"/>
      <c r="AO318" s="1250"/>
      <c r="AP318" s="1250"/>
      <c r="AQ318" s="1250"/>
      <c r="AR318" s="1250"/>
      <c r="AS318" s="1250"/>
      <c r="AT318" s="1250"/>
      <c r="AU318" s="1250"/>
      <c r="AV318" s="1250"/>
      <c r="AW318" s="1250"/>
      <c r="AX318" s="1250"/>
      <c r="AY318" s="1250"/>
      <c r="AZ318" s="1250"/>
      <c r="BA318" s="1250"/>
      <c r="BB318" s="1250"/>
      <c r="BC318" s="1250"/>
      <c r="BD318" s="1250"/>
      <c r="BE318" s="1250"/>
      <c r="BF318" s="1250"/>
      <c r="BG318" s="1250"/>
      <c r="BH318" s="1250"/>
      <c r="BI318" s="1250"/>
      <c r="BJ318" s="1250"/>
      <c r="BK318" s="1250"/>
      <c r="BL318" s="1250"/>
      <c r="BM318" s="1250"/>
      <c r="BN318" s="1250"/>
      <c r="BO318" s="1250"/>
      <c r="BP318" s="1250"/>
      <c r="BQ318" s="1250"/>
      <c r="BR318" s="1250"/>
      <c r="BS318" s="1250"/>
      <c r="BT318" s="1250"/>
      <c r="BU318" s="1250"/>
      <c r="BV318" s="1250"/>
      <c r="BW318" s="1250"/>
      <c r="BX318" s="1250"/>
      <c r="BY318" s="1250"/>
      <c r="BZ318" s="1250"/>
      <c r="CA318" s="1250"/>
      <c r="CB318" s="1250"/>
      <c r="CC318" s="1250"/>
      <c r="CD318" s="1250"/>
      <c r="CE318" s="1250"/>
      <c r="CF318" s="1250"/>
      <c r="CG318" s="1250"/>
      <c r="CH318" s="1250"/>
      <c r="CI318" s="1250"/>
      <c r="CJ318" s="1250"/>
      <c r="CK318" s="1250"/>
      <c r="CL318" s="1250"/>
      <c r="CM318" s="1250"/>
      <c r="CN318" s="1250"/>
      <c r="CO318" s="1250"/>
      <c r="CP318" s="1250"/>
      <c r="CQ318" s="1250"/>
      <c r="CR318" s="1250"/>
      <c r="CS318" s="1250"/>
      <c r="CT318" s="1250"/>
      <c r="CU318" s="1250"/>
      <c r="CV318" s="1250"/>
      <c r="CW318" s="1250"/>
      <c r="CX318" s="1250"/>
      <c r="CY318" s="1250"/>
      <c r="CZ318" s="1250"/>
      <c r="DA318" s="1250"/>
      <c r="DB318" s="1250"/>
      <c r="DC318" s="1250"/>
      <c r="DD318" s="1250"/>
      <c r="DE318" s="1250"/>
      <c r="DF318" s="1250"/>
      <c r="DG318" s="1250"/>
      <c r="DH318" s="1250"/>
      <c r="DI318" s="1250"/>
      <c r="DJ318" s="1250"/>
      <c r="DK318" s="1250"/>
      <c r="DL318" s="1250"/>
      <c r="DM318" s="1250"/>
      <c r="DN318" s="1250"/>
      <c r="DO318" s="1250"/>
      <c r="DP318" s="1250"/>
      <c r="DQ318" s="1250"/>
      <c r="DR318" s="1250"/>
      <c r="DS318" s="1250"/>
      <c r="DT318" s="1250"/>
      <c r="DU318" s="1250"/>
      <c r="DV318" s="1250"/>
      <c r="DW318" s="1250"/>
      <c r="DX318" s="1250"/>
      <c r="DY318" s="1250"/>
      <c r="DZ318" s="1250"/>
      <c r="EA318" s="1250"/>
      <c r="EB318" s="1250"/>
      <c r="EC318" s="1250"/>
      <c r="ED318" s="1250"/>
      <c r="EE318" s="1250"/>
      <c r="EF318" s="1250"/>
      <c r="EG318" s="1250"/>
      <c r="EH318" s="1250"/>
      <c r="EI318" s="1250"/>
      <c r="EJ318" s="1250"/>
      <c r="EK318" s="1250"/>
      <c r="EL318" s="1250"/>
      <c r="EM318" s="1250"/>
      <c r="EN318" s="1250"/>
      <c r="EO318" s="1250"/>
      <c r="EP318" s="1250"/>
      <c r="EQ318" s="1250"/>
      <c r="ER318" s="1250"/>
      <c r="ES318" s="1250"/>
      <c r="ET318" s="1250"/>
      <c r="EU318" s="1250"/>
      <c r="EV318" s="1250"/>
      <c r="EW318" s="1250"/>
      <c r="EX318" s="1250"/>
      <c r="EY318" s="1250"/>
      <c r="EZ318" s="1250"/>
      <c r="FA318" s="1250"/>
      <c r="FB318" s="1250"/>
      <c r="FC318" s="1250"/>
      <c r="FD318" s="1250"/>
      <c r="FE318" s="1250"/>
      <c r="FF318" s="1250"/>
      <c r="FG318" s="1250"/>
      <c r="FH318" s="1250"/>
      <c r="FI318" s="1250"/>
      <c r="FJ318" s="1250"/>
      <c r="FK318" s="1250"/>
      <c r="FL318" s="1250"/>
      <c r="FM318" s="1250"/>
      <c r="FN318" s="1250"/>
      <c r="FO318" s="1250"/>
      <c r="FP318" s="1250"/>
      <c r="FQ318" s="1250"/>
      <c r="FR318" s="1250"/>
      <c r="FS318" s="1250"/>
      <c r="FT318" s="1250"/>
      <c r="FU318" s="1250"/>
      <c r="FV318" s="1568"/>
      <c r="FW318" s="1550"/>
      <c r="FX318" s="1550" t="str">
        <f t="shared" si="5"/>
        <v>Добавить централизованную систему для дифференциации</v>
      </c>
      <c r="FY318" s="1550"/>
      <c r="FZ318" s="1550"/>
      <c r="GA318" s="1568">
        <v>0</v>
      </c>
    </row>
    <row r="319" spans="1:183" s="1747" customFormat="1" ht="23.25" customHeight="1">
      <c r="A319" s="1289"/>
      <c r="B319" s="1289" t="s">
        <v>431</v>
      </c>
      <c r="C319" s="1289"/>
      <c r="D319" s="1289"/>
      <c r="E319" s="24089"/>
      <c r="F319" s="24088" t="s">
        <v>101</v>
      </c>
      <c r="G319" s="1289"/>
      <c r="H319" s="1289"/>
      <c r="I319" s="1289"/>
      <c r="J319" s="1289"/>
      <c r="K319" s="1289"/>
      <c r="L319" s="1295"/>
      <c r="M319" s="1291"/>
      <c r="N319" s="1291"/>
      <c r="O319" s="1291"/>
      <c r="P319" s="1971"/>
      <c r="Q319" s="288"/>
      <c r="R319" s="289"/>
      <c r="S319" s="1976" t="str">
        <f>INDEX(PT_DIFFERENTIATION_NUM_TER,MATCH(B319,PT_DIFFERENTIATION_TER_ID,0))</f>
        <v>1.13</v>
      </c>
      <c r="T319" s="1448" t="s">
        <v>626</v>
      </c>
      <c r="U319" s="236"/>
      <c r="V319" s="24082"/>
      <c r="W319" s="24083"/>
      <c r="X319" s="24083"/>
      <c r="Y319" s="24083"/>
      <c r="Z319" s="24083"/>
      <c r="AA319" s="24083"/>
      <c r="AB319" s="24083"/>
      <c r="AC319" s="24083"/>
      <c r="AD319" s="24083"/>
      <c r="AE319" s="24083"/>
      <c r="AF319" s="24084"/>
      <c r="AG319" s="24082" t="str">
        <f>INDEX(PT_DIFFERENTIATION_TER,MATCH(B319,PT_DIFFERENTIATION_TER_ID,0))</f>
        <v>Территория 13</v>
      </c>
      <c r="AH319" s="24083"/>
      <c r="AI319" s="24083"/>
      <c r="AJ319" s="24083"/>
      <c r="AK319" s="24083"/>
      <c r="AL319" s="24083"/>
      <c r="AM319" s="24083"/>
      <c r="AN319" s="24083"/>
      <c r="AO319" s="24083"/>
      <c r="AP319" s="24083"/>
      <c r="AQ319" s="24083"/>
      <c r="AR319" s="24173"/>
      <c r="AS319" s="24174"/>
      <c r="AT319" s="24174"/>
      <c r="AU319" s="24174"/>
      <c r="AV319" s="24174"/>
      <c r="AW319" s="24174"/>
      <c r="AX319" s="24174"/>
      <c r="AY319" s="24174"/>
      <c r="AZ319" s="24174"/>
      <c r="BA319" s="24174"/>
      <c r="BB319" s="24175"/>
      <c r="BC319" s="24173"/>
      <c r="BD319" s="24174"/>
      <c r="BE319" s="24174"/>
      <c r="BF319" s="24174"/>
      <c r="BG319" s="24174"/>
      <c r="BH319" s="24174"/>
      <c r="BI319" s="24174"/>
      <c r="BJ319" s="24174"/>
      <c r="BK319" s="24174"/>
      <c r="BL319" s="24174"/>
      <c r="BM319" s="24175"/>
      <c r="BN319" s="24082"/>
      <c r="BO319" s="24083"/>
      <c r="BP319" s="24174"/>
      <c r="BQ319" s="24174"/>
      <c r="BR319" s="24083"/>
      <c r="BS319" s="24174"/>
      <c r="BT319" s="24174"/>
      <c r="BU319" s="24174"/>
      <c r="BV319" s="24174"/>
      <c r="BW319" s="24174"/>
      <c r="BX319" s="24175"/>
      <c r="BY319" s="24173"/>
      <c r="BZ319" s="24174"/>
      <c r="CA319" s="24174"/>
      <c r="CB319" s="24174"/>
      <c r="CC319" s="24174"/>
      <c r="CD319" s="24174"/>
      <c r="CE319" s="24174"/>
      <c r="CF319" s="24174"/>
      <c r="CG319" s="24174"/>
      <c r="CH319" s="24174"/>
      <c r="CI319" s="24175"/>
      <c r="CJ319" s="24173"/>
      <c r="CK319" s="24174"/>
      <c r="CL319" s="24174"/>
      <c r="CM319" s="24174"/>
      <c r="CN319" s="24174"/>
      <c r="CO319" s="24174"/>
      <c r="CP319" s="24174"/>
      <c r="CQ319" s="24174"/>
      <c r="CR319" s="24174"/>
      <c r="CS319" s="24174"/>
      <c r="CT319" s="24175"/>
      <c r="CU319" s="24173"/>
      <c r="CV319" s="24174"/>
      <c r="CW319" s="24174"/>
      <c r="CX319" s="24174"/>
      <c r="CY319" s="24174"/>
      <c r="CZ319" s="24174"/>
      <c r="DA319" s="24174"/>
      <c r="DB319" s="24174"/>
      <c r="DC319" s="24174"/>
      <c r="DD319" s="24174"/>
      <c r="DE319" s="24175"/>
      <c r="DF319" s="24173"/>
      <c r="DG319" s="24174"/>
      <c r="DH319" s="24174"/>
      <c r="DI319" s="24174"/>
      <c r="DJ319" s="24174"/>
      <c r="DK319" s="24174"/>
      <c r="DL319" s="24174"/>
      <c r="DM319" s="24174"/>
      <c r="DN319" s="24174"/>
      <c r="DO319" s="24174"/>
      <c r="DP319" s="24175"/>
      <c r="DQ319" s="24173"/>
      <c r="DR319" s="24174"/>
      <c r="DS319" s="24174"/>
      <c r="DT319" s="24174"/>
      <c r="DU319" s="24174"/>
      <c r="DV319" s="24174"/>
      <c r="DW319" s="24174"/>
      <c r="DX319" s="24174"/>
      <c r="DY319" s="24174"/>
      <c r="DZ319" s="24174"/>
      <c r="EA319" s="24175"/>
      <c r="EB319" s="24173"/>
      <c r="EC319" s="24174"/>
      <c r="ED319" s="24174"/>
      <c r="EE319" s="24174"/>
      <c r="EF319" s="24174"/>
      <c r="EG319" s="24174"/>
      <c r="EH319" s="24174"/>
      <c r="EI319" s="24174"/>
      <c r="EJ319" s="24174"/>
      <c r="EK319" s="24174"/>
      <c r="EL319" s="24175"/>
      <c r="EM319" s="24173"/>
      <c r="EN319" s="24174"/>
      <c r="EO319" s="24174"/>
      <c r="EP319" s="24174"/>
      <c r="EQ319" s="24174"/>
      <c r="ER319" s="24174"/>
      <c r="ES319" s="24174"/>
      <c r="ET319" s="24174"/>
      <c r="EU319" s="24174"/>
      <c r="EV319" s="24174"/>
      <c r="EW319" s="24175"/>
      <c r="EX319" s="24082"/>
      <c r="EY319" s="24083"/>
      <c r="EZ319" s="24174"/>
      <c r="FA319" s="24174"/>
      <c r="FB319" s="24083"/>
      <c r="FC319" s="24174"/>
      <c r="FD319" s="24174"/>
      <c r="FE319" s="24174"/>
      <c r="FF319" s="24174"/>
      <c r="FG319" s="24174"/>
      <c r="FH319" s="24175"/>
      <c r="FI319" s="24082"/>
      <c r="FJ319" s="24083"/>
      <c r="FK319" s="24174"/>
      <c r="FL319" s="24174"/>
      <c r="FM319" s="24083"/>
      <c r="FN319" s="24174"/>
      <c r="FO319" s="24174"/>
      <c r="FP319" s="24083"/>
      <c r="FQ319" s="24083"/>
      <c r="FR319" s="24083"/>
      <c r="FS319" s="24175"/>
      <c r="FT319" s="24084"/>
      <c r="FU319" s="1184" t="s">
        <v>627</v>
      </c>
      <c r="FV319" s="1568"/>
      <c r="FW319" s="1550"/>
      <c r="FX319" s="1550" t="str">
        <f t="shared" si="5"/>
        <v>Территория действия тарифа</v>
      </c>
      <c r="FY319" s="1550"/>
      <c r="FZ319" s="1550"/>
      <c r="GA319" s="1561">
        <v>0</v>
      </c>
    </row>
    <row r="320" spans="1:183" s="1747" customFormat="1" ht="23.25" customHeight="1">
      <c r="A320" s="1289"/>
      <c r="B320" s="1289"/>
      <c r="C320" s="1289" t="s">
        <v>432</v>
      </c>
      <c r="D320" s="1289"/>
      <c r="E320" s="24089"/>
      <c r="F320" s="24089" t="s">
        <v>147</v>
      </c>
      <c r="G320" s="24088">
        <v>1</v>
      </c>
      <c r="H320" s="1289"/>
      <c r="I320" s="1289"/>
      <c r="J320" s="1289"/>
      <c r="K320" s="1289"/>
      <c r="L320" s="1295"/>
      <c r="M320" s="1291"/>
      <c r="N320" s="1291"/>
      <c r="O320" s="1291"/>
      <c r="P320" s="290"/>
      <c r="Q320" s="288"/>
      <c r="R320" s="289"/>
      <c r="S320" s="1976" t="str">
        <f>INDEX(PT_DIFFERENTIATION_NUM_CS,MATCH(C320,PT_DIFFERENTIATION_CS_ID,0))</f>
        <v>1.13.1</v>
      </c>
      <c r="T320" s="245" t="s">
        <v>756</v>
      </c>
      <c r="U320" s="236"/>
      <c r="V320" s="24082"/>
      <c r="W320" s="24083"/>
      <c r="X320" s="24083"/>
      <c r="Y320" s="24083"/>
      <c r="Z320" s="24083"/>
      <c r="AA320" s="24083"/>
      <c r="AB320" s="24083"/>
      <c r="AC320" s="24083"/>
      <c r="AD320" s="24083"/>
      <c r="AE320" s="24083"/>
      <c r="AF320" s="24084"/>
      <c r="AG320" s="24082" t="str">
        <f>INDEX(PT_DIFFERENTIATION_CS,MATCH(C320,PT_DIFFERENTIATION_CS_ID,0))</f>
        <v xml:space="preserve">г. Ельня Ельнинского муниципального округа Смоленской области </v>
      </c>
      <c r="AH320" s="24083"/>
      <c r="AI320" s="24083"/>
      <c r="AJ320" s="24083"/>
      <c r="AK320" s="24083"/>
      <c r="AL320" s="24083"/>
      <c r="AM320" s="24083"/>
      <c r="AN320" s="24083"/>
      <c r="AO320" s="24083"/>
      <c r="AP320" s="24083"/>
      <c r="AQ320" s="24083"/>
      <c r="AR320" s="24173"/>
      <c r="AS320" s="24174"/>
      <c r="AT320" s="24174"/>
      <c r="AU320" s="24174"/>
      <c r="AV320" s="24174"/>
      <c r="AW320" s="24174"/>
      <c r="AX320" s="24174"/>
      <c r="AY320" s="24174"/>
      <c r="AZ320" s="24174"/>
      <c r="BA320" s="24174"/>
      <c r="BB320" s="24175"/>
      <c r="BC320" s="24173"/>
      <c r="BD320" s="24174"/>
      <c r="BE320" s="24174"/>
      <c r="BF320" s="24174"/>
      <c r="BG320" s="24174"/>
      <c r="BH320" s="24174"/>
      <c r="BI320" s="24174"/>
      <c r="BJ320" s="24174"/>
      <c r="BK320" s="24174"/>
      <c r="BL320" s="24174"/>
      <c r="BM320" s="24175"/>
      <c r="BN320" s="24082"/>
      <c r="BO320" s="24083"/>
      <c r="BP320" s="24174"/>
      <c r="BQ320" s="24174"/>
      <c r="BR320" s="24083"/>
      <c r="BS320" s="24174"/>
      <c r="BT320" s="24174"/>
      <c r="BU320" s="24174"/>
      <c r="BV320" s="24174"/>
      <c r="BW320" s="24174"/>
      <c r="BX320" s="24175"/>
      <c r="BY320" s="24173"/>
      <c r="BZ320" s="24174"/>
      <c r="CA320" s="24174"/>
      <c r="CB320" s="24174"/>
      <c r="CC320" s="24174"/>
      <c r="CD320" s="24174"/>
      <c r="CE320" s="24174"/>
      <c r="CF320" s="24174"/>
      <c r="CG320" s="24174"/>
      <c r="CH320" s="24174"/>
      <c r="CI320" s="24175"/>
      <c r="CJ320" s="24173"/>
      <c r="CK320" s="24174"/>
      <c r="CL320" s="24174"/>
      <c r="CM320" s="24174"/>
      <c r="CN320" s="24174"/>
      <c r="CO320" s="24174"/>
      <c r="CP320" s="24174"/>
      <c r="CQ320" s="24174"/>
      <c r="CR320" s="24174"/>
      <c r="CS320" s="24174"/>
      <c r="CT320" s="24175"/>
      <c r="CU320" s="24173"/>
      <c r="CV320" s="24174"/>
      <c r="CW320" s="24174"/>
      <c r="CX320" s="24174"/>
      <c r="CY320" s="24174"/>
      <c r="CZ320" s="24174"/>
      <c r="DA320" s="24174"/>
      <c r="DB320" s="24174"/>
      <c r="DC320" s="24174"/>
      <c r="DD320" s="24174"/>
      <c r="DE320" s="24175"/>
      <c r="DF320" s="24173"/>
      <c r="DG320" s="24174"/>
      <c r="DH320" s="24174"/>
      <c r="DI320" s="24174"/>
      <c r="DJ320" s="24174"/>
      <c r="DK320" s="24174"/>
      <c r="DL320" s="24174"/>
      <c r="DM320" s="24174"/>
      <c r="DN320" s="24174"/>
      <c r="DO320" s="24174"/>
      <c r="DP320" s="24175"/>
      <c r="DQ320" s="24173"/>
      <c r="DR320" s="24174"/>
      <c r="DS320" s="24174"/>
      <c r="DT320" s="24174"/>
      <c r="DU320" s="24174"/>
      <c r="DV320" s="24174"/>
      <c r="DW320" s="24174"/>
      <c r="DX320" s="24174"/>
      <c r="DY320" s="24174"/>
      <c r="DZ320" s="24174"/>
      <c r="EA320" s="24175"/>
      <c r="EB320" s="24173"/>
      <c r="EC320" s="24174"/>
      <c r="ED320" s="24174"/>
      <c r="EE320" s="24174"/>
      <c r="EF320" s="24174"/>
      <c r="EG320" s="24174"/>
      <c r="EH320" s="24174"/>
      <c r="EI320" s="24174"/>
      <c r="EJ320" s="24174"/>
      <c r="EK320" s="24174"/>
      <c r="EL320" s="24175"/>
      <c r="EM320" s="24173"/>
      <c r="EN320" s="24174"/>
      <c r="EO320" s="24174"/>
      <c r="EP320" s="24174"/>
      <c r="EQ320" s="24174"/>
      <c r="ER320" s="24174"/>
      <c r="ES320" s="24174"/>
      <c r="ET320" s="24174"/>
      <c r="EU320" s="24174"/>
      <c r="EV320" s="24174"/>
      <c r="EW320" s="24175"/>
      <c r="EX320" s="24082"/>
      <c r="EY320" s="24083"/>
      <c r="EZ320" s="24174"/>
      <c r="FA320" s="24174"/>
      <c r="FB320" s="24083"/>
      <c r="FC320" s="24174"/>
      <c r="FD320" s="24174"/>
      <c r="FE320" s="24174"/>
      <c r="FF320" s="24174"/>
      <c r="FG320" s="24174"/>
      <c r="FH320" s="24175"/>
      <c r="FI320" s="24082"/>
      <c r="FJ320" s="24083"/>
      <c r="FK320" s="24174"/>
      <c r="FL320" s="24174"/>
      <c r="FM320" s="24083"/>
      <c r="FN320" s="24174"/>
      <c r="FO320" s="24174"/>
      <c r="FP320" s="24083"/>
      <c r="FQ320" s="24083"/>
      <c r="FR320" s="24083"/>
      <c r="FS320" s="24175"/>
      <c r="FT320" s="24084"/>
      <c r="FU320" s="1184" t="s">
        <v>757</v>
      </c>
      <c r="FV320" s="1568"/>
      <c r="FW320" s="1550"/>
      <c r="FX320" s="1550" t="str">
        <f t="shared" si="5"/>
        <v>Наименование централизованной системы горячего водоснабжения</v>
      </c>
      <c r="FY320" s="1550"/>
      <c r="FZ320" s="1550"/>
      <c r="GA320" s="1561">
        <v>0</v>
      </c>
    </row>
    <row r="321" spans="1:183" s="1747" customFormat="1" ht="23.25" customHeight="1">
      <c r="A321" s="1289"/>
      <c r="B321" s="1289"/>
      <c r="C321" s="1289"/>
      <c r="D321" s="1289"/>
      <c r="E321" s="24089"/>
      <c r="F321" s="24089" t="s">
        <v>147</v>
      </c>
      <c r="G321" s="24089"/>
      <c r="H321" s="24089"/>
      <c r="I321" s="24090" t="str">
        <f>S320&amp;".1"</f>
        <v>1.13.1.1</v>
      </c>
      <c r="J321" s="1289"/>
      <c r="K321" s="1289"/>
      <c r="L321" s="1295"/>
      <c r="M321" s="1674"/>
      <c r="N321" s="1674"/>
      <c r="O321" s="1674"/>
      <c r="P321" s="24092">
        <v>1</v>
      </c>
      <c r="Q321" s="1978"/>
      <c r="R321" s="292"/>
      <c r="S321" s="1976" t="str">
        <f>$I321</f>
        <v>1.13.1.1</v>
      </c>
      <c r="T321" s="221" t="s">
        <v>709</v>
      </c>
      <c r="U321" s="236"/>
      <c r="V321" s="24156"/>
      <c r="W321" s="24157"/>
      <c r="X321" s="24157"/>
      <c r="Y321" s="24157"/>
      <c r="Z321" s="24157"/>
      <c r="AA321" s="24157"/>
      <c r="AB321" s="24157"/>
      <c r="AC321" s="24157"/>
      <c r="AD321" s="24157"/>
      <c r="AE321" s="24157"/>
      <c r="AF321" s="24158"/>
      <c r="AG321" s="24159"/>
      <c r="AH321" s="24160"/>
      <c r="AI321" s="24160"/>
      <c r="AJ321" s="24160"/>
      <c r="AK321" s="24160"/>
      <c r="AL321" s="24160"/>
      <c r="AM321" s="24160"/>
      <c r="AN321" s="24160"/>
      <c r="AO321" s="24160"/>
      <c r="AP321" s="24160"/>
      <c r="AQ321" s="24160"/>
      <c r="AR321" s="24176"/>
      <c r="AS321" s="24177"/>
      <c r="AT321" s="24177"/>
      <c r="AU321" s="24177"/>
      <c r="AV321" s="24177"/>
      <c r="AW321" s="24177"/>
      <c r="AX321" s="24177"/>
      <c r="AY321" s="24177"/>
      <c r="AZ321" s="24177"/>
      <c r="BA321" s="24177"/>
      <c r="BB321" s="24178"/>
      <c r="BC321" s="24176"/>
      <c r="BD321" s="24177"/>
      <c r="BE321" s="24177"/>
      <c r="BF321" s="24177"/>
      <c r="BG321" s="24177"/>
      <c r="BH321" s="24177"/>
      <c r="BI321" s="24177"/>
      <c r="BJ321" s="24177"/>
      <c r="BK321" s="24177"/>
      <c r="BL321" s="24177"/>
      <c r="BM321" s="24178"/>
      <c r="BN321" s="24156"/>
      <c r="BO321" s="24157"/>
      <c r="BP321" s="24177"/>
      <c r="BQ321" s="24177"/>
      <c r="BR321" s="24157"/>
      <c r="BS321" s="24177"/>
      <c r="BT321" s="24177"/>
      <c r="BU321" s="24177"/>
      <c r="BV321" s="24177"/>
      <c r="BW321" s="24177"/>
      <c r="BX321" s="24178"/>
      <c r="BY321" s="24176"/>
      <c r="BZ321" s="24177"/>
      <c r="CA321" s="24177"/>
      <c r="CB321" s="24177"/>
      <c r="CC321" s="24177"/>
      <c r="CD321" s="24177"/>
      <c r="CE321" s="24177"/>
      <c r="CF321" s="24177"/>
      <c r="CG321" s="24177"/>
      <c r="CH321" s="24177"/>
      <c r="CI321" s="24178"/>
      <c r="CJ321" s="24176"/>
      <c r="CK321" s="24177"/>
      <c r="CL321" s="24177"/>
      <c r="CM321" s="24177"/>
      <c r="CN321" s="24177"/>
      <c r="CO321" s="24177"/>
      <c r="CP321" s="24177"/>
      <c r="CQ321" s="24177"/>
      <c r="CR321" s="24177"/>
      <c r="CS321" s="24177"/>
      <c r="CT321" s="24178"/>
      <c r="CU321" s="24176"/>
      <c r="CV321" s="24177"/>
      <c r="CW321" s="24177"/>
      <c r="CX321" s="24177"/>
      <c r="CY321" s="24177"/>
      <c r="CZ321" s="24177"/>
      <c r="DA321" s="24177"/>
      <c r="DB321" s="24177"/>
      <c r="DC321" s="24177"/>
      <c r="DD321" s="24177"/>
      <c r="DE321" s="24178"/>
      <c r="DF321" s="24176"/>
      <c r="DG321" s="24177"/>
      <c r="DH321" s="24177"/>
      <c r="DI321" s="24177"/>
      <c r="DJ321" s="24177"/>
      <c r="DK321" s="24177"/>
      <c r="DL321" s="24177"/>
      <c r="DM321" s="24177"/>
      <c r="DN321" s="24177"/>
      <c r="DO321" s="24177"/>
      <c r="DP321" s="24178"/>
      <c r="DQ321" s="24176"/>
      <c r="DR321" s="24177"/>
      <c r="DS321" s="24177"/>
      <c r="DT321" s="24177"/>
      <c r="DU321" s="24177"/>
      <c r="DV321" s="24177"/>
      <c r="DW321" s="24177"/>
      <c r="DX321" s="24177"/>
      <c r="DY321" s="24177"/>
      <c r="DZ321" s="24177"/>
      <c r="EA321" s="24178"/>
      <c r="EB321" s="24176"/>
      <c r="EC321" s="24177"/>
      <c r="ED321" s="24177"/>
      <c r="EE321" s="24177"/>
      <c r="EF321" s="24177"/>
      <c r="EG321" s="24177"/>
      <c r="EH321" s="24177"/>
      <c r="EI321" s="24177"/>
      <c r="EJ321" s="24177"/>
      <c r="EK321" s="24177"/>
      <c r="EL321" s="24178"/>
      <c r="EM321" s="24176"/>
      <c r="EN321" s="24177"/>
      <c r="EO321" s="24177"/>
      <c r="EP321" s="24177"/>
      <c r="EQ321" s="24177"/>
      <c r="ER321" s="24177"/>
      <c r="ES321" s="24177"/>
      <c r="ET321" s="24177"/>
      <c r="EU321" s="24177"/>
      <c r="EV321" s="24177"/>
      <c r="EW321" s="24178"/>
      <c r="EX321" s="24156"/>
      <c r="EY321" s="24157"/>
      <c r="EZ321" s="24177"/>
      <c r="FA321" s="24177"/>
      <c r="FB321" s="24157"/>
      <c r="FC321" s="24177"/>
      <c r="FD321" s="24177"/>
      <c r="FE321" s="24177"/>
      <c r="FF321" s="24177"/>
      <c r="FG321" s="24177"/>
      <c r="FH321" s="24178"/>
      <c r="FI321" s="24156"/>
      <c r="FJ321" s="24157"/>
      <c r="FK321" s="24177"/>
      <c r="FL321" s="24177"/>
      <c r="FM321" s="24157"/>
      <c r="FN321" s="24177"/>
      <c r="FO321" s="24177"/>
      <c r="FP321" s="24157"/>
      <c r="FQ321" s="24157"/>
      <c r="FR321" s="24157"/>
      <c r="FS321" s="24178"/>
      <c r="FT321" s="24161"/>
      <c r="FU321" s="1184" t="s">
        <v>710</v>
      </c>
      <c r="FV321" s="1568"/>
      <c r="FW321" s="1550"/>
      <c r="FX321" s="1550" t="str">
        <f t="shared" si="5"/>
        <v>Наименование признака дифференциации</v>
      </c>
      <c r="FY321" s="1550"/>
      <c r="FZ321" s="1550"/>
      <c r="GA321" s="1561">
        <v>0</v>
      </c>
    </row>
    <row r="322" spans="1:183" s="1747" customFormat="1" ht="23.25" customHeight="1">
      <c r="A322" s="1289"/>
      <c r="B322" s="1289"/>
      <c r="C322" s="1289"/>
      <c r="D322" s="1289"/>
      <c r="E322" s="24089"/>
      <c r="F322" s="24089" t="s">
        <v>147</v>
      </c>
      <c r="G322" s="24089"/>
      <c r="H322" s="24089"/>
      <c r="I322" s="24091"/>
      <c r="J322" s="24090" t="str">
        <f>I321&amp;".1"</f>
        <v>1.13.1.1.1</v>
      </c>
      <c r="K322" s="1289"/>
      <c r="L322" s="1295" t="s">
        <v>635</v>
      </c>
      <c r="M322" s="1674"/>
      <c r="N322" s="1674"/>
      <c r="O322" s="1674"/>
      <c r="P322" s="24092"/>
      <c r="Q322" s="24092">
        <v>1</v>
      </c>
      <c r="R322" s="293"/>
      <c r="S322" s="1976" t="str">
        <f>$J322</f>
        <v>1.13.1.1.1</v>
      </c>
      <c r="T322" s="222" t="s">
        <v>636</v>
      </c>
      <c r="U322" s="236"/>
      <c r="V322" s="24076"/>
      <c r="W322" s="24077"/>
      <c r="X322" s="24077"/>
      <c r="Y322" s="24077"/>
      <c r="Z322" s="24077"/>
      <c r="AA322" s="24077"/>
      <c r="AB322" s="24077"/>
      <c r="AC322" s="24077"/>
      <c r="AD322" s="24077"/>
      <c r="AE322" s="24077"/>
      <c r="AF322" s="24078"/>
      <c r="AG322" s="24076" t="s">
        <v>769</v>
      </c>
      <c r="AH322" s="24077"/>
      <c r="AI322" s="24077"/>
      <c r="AJ322" s="24077"/>
      <c r="AK322" s="24077"/>
      <c r="AL322" s="24077"/>
      <c r="AM322" s="24077"/>
      <c r="AN322" s="24077"/>
      <c r="AO322" s="24077"/>
      <c r="AP322" s="24077"/>
      <c r="AQ322" s="24077"/>
      <c r="AR322" s="24179"/>
      <c r="AS322" s="24180"/>
      <c r="AT322" s="24180"/>
      <c r="AU322" s="24180"/>
      <c r="AV322" s="24180"/>
      <c r="AW322" s="24180"/>
      <c r="AX322" s="24180"/>
      <c r="AY322" s="24180"/>
      <c r="AZ322" s="24180"/>
      <c r="BA322" s="24180"/>
      <c r="BB322" s="24181"/>
      <c r="BC322" s="24179"/>
      <c r="BD322" s="24180"/>
      <c r="BE322" s="24180"/>
      <c r="BF322" s="24180"/>
      <c r="BG322" s="24180"/>
      <c r="BH322" s="24180"/>
      <c r="BI322" s="24180"/>
      <c r="BJ322" s="24180"/>
      <c r="BK322" s="24180"/>
      <c r="BL322" s="24180"/>
      <c r="BM322" s="24181"/>
      <c r="BN322" s="24076"/>
      <c r="BO322" s="24077"/>
      <c r="BP322" s="24180"/>
      <c r="BQ322" s="24180"/>
      <c r="BR322" s="24077"/>
      <c r="BS322" s="24180"/>
      <c r="BT322" s="24180"/>
      <c r="BU322" s="24180"/>
      <c r="BV322" s="24180"/>
      <c r="BW322" s="24180"/>
      <c r="BX322" s="24181"/>
      <c r="BY322" s="24179"/>
      <c r="BZ322" s="24180"/>
      <c r="CA322" s="24180"/>
      <c r="CB322" s="24180"/>
      <c r="CC322" s="24180"/>
      <c r="CD322" s="24180"/>
      <c r="CE322" s="24180"/>
      <c r="CF322" s="24180"/>
      <c r="CG322" s="24180"/>
      <c r="CH322" s="24180"/>
      <c r="CI322" s="24181"/>
      <c r="CJ322" s="24179"/>
      <c r="CK322" s="24180"/>
      <c r="CL322" s="24180"/>
      <c r="CM322" s="24180"/>
      <c r="CN322" s="24180"/>
      <c r="CO322" s="24180"/>
      <c r="CP322" s="24180"/>
      <c r="CQ322" s="24180"/>
      <c r="CR322" s="24180"/>
      <c r="CS322" s="24180"/>
      <c r="CT322" s="24181"/>
      <c r="CU322" s="24179"/>
      <c r="CV322" s="24180"/>
      <c r="CW322" s="24180"/>
      <c r="CX322" s="24180"/>
      <c r="CY322" s="24180"/>
      <c r="CZ322" s="24180"/>
      <c r="DA322" s="24180"/>
      <c r="DB322" s="24180"/>
      <c r="DC322" s="24180"/>
      <c r="DD322" s="24180"/>
      <c r="DE322" s="24181"/>
      <c r="DF322" s="24179"/>
      <c r="DG322" s="24180"/>
      <c r="DH322" s="24180"/>
      <c r="DI322" s="24180"/>
      <c r="DJ322" s="24180"/>
      <c r="DK322" s="24180"/>
      <c r="DL322" s="24180"/>
      <c r="DM322" s="24180"/>
      <c r="DN322" s="24180"/>
      <c r="DO322" s="24180"/>
      <c r="DP322" s="24181"/>
      <c r="DQ322" s="24179"/>
      <c r="DR322" s="24180"/>
      <c r="DS322" s="24180"/>
      <c r="DT322" s="24180"/>
      <c r="DU322" s="24180"/>
      <c r="DV322" s="24180"/>
      <c r="DW322" s="24180"/>
      <c r="DX322" s="24180"/>
      <c r="DY322" s="24180"/>
      <c r="DZ322" s="24180"/>
      <c r="EA322" s="24181"/>
      <c r="EB322" s="24179"/>
      <c r="EC322" s="24180"/>
      <c r="ED322" s="24180"/>
      <c r="EE322" s="24180"/>
      <c r="EF322" s="24180"/>
      <c r="EG322" s="24180"/>
      <c r="EH322" s="24180"/>
      <c r="EI322" s="24180"/>
      <c r="EJ322" s="24180"/>
      <c r="EK322" s="24180"/>
      <c r="EL322" s="24181"/>
      <c r="EM322" s="24179"/>
      <c r="EN322" s="24180"/>
      <c r="EO322" s="24180"/>
      <c r="EP322" s="24180"/>
      <c r="EQ322" s="24180"/>
      <c r="ER322" s="24180"/>
      <c r="ES322" s="24180"/>
      <c r="ET322" s="24180"/>
      <c r="EU322" s="24180"/>
      <c r="EV322" s="24180"/>
      <c r="EW322" s="24181"/>
      <c r="EX322" s="24076"/>
      <c r="EY322" s="24077"/>
      <c r="EZ322" s="24180"/>
      <c r="FA322" s="24180"/>
      <c r="FB322" s="24077"/>
      <c r="FC322" s="24180"/>
      <c r="FD322" s="24180"/>
      <c r="FE322" s="24180"/>
      <c r="FF322" s="24180"/>
      <c r="FG322" s="24180"/>
      <c r="FH322" s="24181"/>
      <c r="FI322" s="24076"/>
      <c r="FJ322" s="24077"/>
      <c r="FK322" s="24180"/>
      <c r="FL322" s="24180"/>
      <c r="FM322" s="24077"/>
      <c r="FN322" s="24180"/>
      <c r="FO322" s="24180"/>
      <c r="FP322" s="24077"/>
      <c r="FQ322" s="24077"/>
      <c r="FR322" s="24077"/>
      <c r="FS322" s="24181"/>
      <c r="FT322" s="24078"/>
      <c r="FU322" s="1233" t="s">
        <v>711</v>
      </c>
      <c r="FV322" s="1568"/>
      <c r="FW322" s="1550"/>
      <c r="FX322" s="1550" t="str">
        <f t="shared" si="5"/>
        <v>Группа потребителей</v>
      </c>
      <c r="FY322" s="1550"/>
      <c r="FZ322" s="1550"/>
      <c r="GA322" s="1561">
        <v>0</v>
      </c>
    </row>
    <row r="323" spans="1:183" s="1747" customFormat="1" ht="23.25" customHeight="1">
      <c r="A323" s="1289"/>
      <c r="B323" s="1289"/>
      <c r="C323" s="1289"/>
      <c r="D323" s="1289"/>
      <c r="E323" s="24089"/>
      <c r="F323" s="24089" t="s">
        <v>147</v>
      </c>
      <c r="G323" s="24089"/>
      <c r="H323" s="24089"/>
      <c r="I323" s="24091"/>
      <c r="J323" s="24091"/>
      <c r="K323" s="24090" t="str">
        <f>J322&amp;".1"</f>
        <v>1.13.1.1.1.1</v>
      </c>
      <c r="L323" s="1295"/>
      <c r="M323" s="1674"/>
      <c r="N323" s="1674"/>
      <c r="O323" s="1674"/>
      <c r="P323" s="24092"/>
      <c r="Q323" s="24092"/>
      <c r="R323" s="293">
        <v>1</v>
      </c>
      <c r="S323" s="1976" t="str">
        <f>$K323</f>
        <v>1.13.1.1.1.1</v>
      </c>
      <c r="T323" s="1363"/>
      <c r="U323" s="236"/>
      <c r="V323" s="1286"/>
      <c r="W323" s="1286"/>
      <c r="X323" s="1286"/>
      <c r="Y323" s="1286"/>
      <c r="Z323" s="1286"/>
      <c r="AA323" s="1286"/>
      <c r="AB323" s="1286"/>
      <c r="AC323" s="24086"/>
      <c r="AD323" s="24085" t="s">
        <v>59</v>
      </c>
      <c r="AE323" s="24086"/>
      <c r="AF323" s="24085" t="s">
        <v>59</v>
      </c>
      <c r="AG323" s="687">
        <v>270.83999999999997</v>
      </c>
      <c r="AH323" s="687">
        <v>71.2</v>
      </c>
      <c r="AI323" s="687"/>
      <c r="AJ323" s="687"/>
      <c r="AK323" s="687">
        <v>3185.03</v>
      </c>
      <c r="AL323" s="687"/>
      <c r="AM323" s="687"/>
      <c r="AN323" s="24093" t="s">
        <v>9</v>
      </c>
      <c r="AO323" s="23957" t="s">
        <v>59</v>
      </c>
      <c r="AP323" s="24095" t="s">
        <v>770</v>
      </c>
      <c r="AQ323" s="23957" t="s">
        <v>59</v>
      </c>
      <c r="AR323" s="687">
        <v>301.66000000000003</v>
      </c>
      <c r="AS323" s="687">
        <v>78.66</v>
      </c>
      <c r="AT323" s="687"/>
      <c r="AU323" s="687"/>
      <c r="AV323" s="687">
        <v>3557.68</v>
      </c>
      <c r="AW323" s="687"/>
      <c r="AX323" s="687"/>
      <c r="AY323" s="24093" t="s">
        <v>772</v>
      </c>
      <c r="AZ323" s="23957" t="s">
        <v>59</v>
      </c>
      <c r="BA323" s="24093" t="s">
        <v>773</v>
      </c>
      <c r="BB323" s="23957" t="s">
        <v>59</v>
      </c>
      <c r="BC323" s="687">
        <v>314.66000000000003</v>
      </c>
      <c r="BD323" s="687">
        <v>91.66</v>
      </c>
      <c r="BE323" s="687"/>
      <c r="BF323" s="687"/>
      <c r="BG323" s="687">
        <v>3557.68</v>
      </c>
      <c r="BH323" s="687"/>
      <c r="BI323" s="687"/>
      <c r="BJ323" s="24093" t="s">
        <v>774</v>
      </c>
      <c r="BK323" s="23957" t="s">
        <v>59</v>
      </c>
      <c r="BL323" s="24093" t="s">
        <v>775</v>
      </c>
      <c r="BM323" s="23957" t="s">
        <v>59</v>
      </c>
      <c r="BN323" s="687">
        <v>341.19</v>
      </c>
      <c r="BO323" s="687">
        <v>91.66</v>
      </c>
      <c r="BP323" s="687"/>
      <c r="BQ323" s="687"/>
      <c r="BR323" s="687">
        <v>3981.05</v>
      </c>
      <c r="BS323" s="687"/>
      <c r="BT323" s="687"/>
      <c r="BU323" s="24093" t="s">
        <v>776</v>
      </c>
      <c r="BV323" s="23957" t="s">
        <v>59</v>
      </c>
      <c r="BW323" s="24093" t="s">
        <v>777</v>
      </c>
      <c r="BX323" s="23957" t="s">
        <v>59</v>
      </c>
      <c r="BY323" s="687">
        <v>338.31</v>
      </c>
      <c r="BZ323" s="687">
        <v>88.78</v>
      </c>
      <c r="CA323" s="687"/>
      <c r="CB323" s="687"/>
      <c r="CC323" s="687">
        <v>3981.05</v>
      </c>
      <c r="CD323" s="687"/>
      <c r="CE323" s="687"/>
      <c r="CF323" s="24093" t="s">
        <v>778</v>
      </c>
      <c r="CG323" s="23957" t="s">
        <v>59</v>
      </c>
      <c r="CH323" s="24185">
        <v>46295</v>
      </c>
      <c r="CI323" s="23957" t="s">
        <v>59</v>
      </c>
      <c r="CJ323" s="687">
        <v>373.68</v>
      </c>
      <c r="CK323" s="687">
        <v>99.44</v>
      </c>
      <c r="CL323" s="687"/>
      <c r="CM323" s="687"/>
      <c r="CN323" s="687">
        <v>4375.17</v>
      </c>
      <c r="CO323" s="687"/>
      <c r="CP323" s="687"/>
      <c r="CQ323" s="24185">
        <v>46296</v>
      </c>
      <c r="CR323" s="23957" t="s">
        <v>59</v>
      </c>
      <c r="CS323" s="24093" t="s">
        <v>779</v>
      </c>
      <c r="CT323" s="23957" t="s">
        <v>59</v>
      </c>
      <c r="CU323" s="687">
        <f>CJ323</f>
        <v>373.68</v>
      </c>
      <c r="CV323" s="687">
        <f>CK323</f>
        <v>99.44</v>
      </c>
      <c r="CW323" s="687"/>
      <c r="CX323" s="687"/>
      <c r="CY323" s="687">
        <f>CN323</f>
        <v>4375.17</v>
      </c>
      <c r="CZ323" s="687"/>
      <c r="DA323" s="687"/>
      <c r="DB323" s="24093" t="s">
        <v>780</v>
      </c>
      <c r="DC323" s="23957" t="s">
        <v>59</v>
      </c>
      <c r="DD323" s="24093" t="s">
        <v>781</v>
      </c>
      <c r="DE323" s="23957" t="s">
        <v>59</v>
      </c>
      <c r="DF323" s="687">
        <v>408.28</v>
      </c>
      <c r="DG323" s="687">
        <v>110.19</v>
      </c>
      <c r="DH323" s="687"/>
      <c r="DI323" s="687"/>
      <c r="DJ323" s="687">
        <v>4755.8</v>
      </c>
      <c r="DK323" s="687"/>
      <c r="DL323" s="687"/>
      <c r="DM323" s="24093" t="s">
        <v>782</v>
      </c>
      <c r="DN323" s="23957" t="s">
        <v>59</v>
      </c>
      <c r="DO323" s="24093" t="s">
        <v>783</v>
      </c>
      <c r="DP323" s="23957" t="s">
        <v>59</v>
      </c>
      <c r="DQ323" s="687">
        <v>406.9</v>
      </c>
      <c r="DR323" s="687">
        <v>108.81</v>
      </c>
      <c r="DS323" s="687"/>
      <c r="DT323" s="687"/>
      <c r="DU323" s="687">
        <f>DJ323</f>
        <v>4755.8</v>
      </c>
      <c r="DV323" s="687"/>
      <c r="DW323" s="687"/>
      <c r="DX323" s="24093" t="s">
        <v>784</v>
      </c>
      <c r="DY323" s="23957" t="s">
        <v>59</v>
      </c>
      <c r="DZ323" s="24093" t="s">
        <v>785</v>
      </c>
      <c r="EA323" s="23957" t="s">
        <v>59</v>
      </c>
      <c r="EB323" s="687">
        <v>426.96</v>
      </c>
      <c r="EC323" s="687">
        <f>DR323</f>
        <v>108.81</v>
      </c>
      <c r="ED323" s="687"/>
      <c r="EE323" s="687"/>
      <c r="EF323" s="687">
        <v>5075.75</v>
      </c>
      <c r="EG323" s="687"/>
      <c r="EH323" s="687"/>
      <c r="EI323" s="24093" t="s">
        <v>786</v>
      </c>
      <c r="EJ323" s="23957" t="s">
        <v>59</v>
      </c>
      <c r="EK323" s="24093" t="s">
        <v>787</v>
      </c>
      <c r="EL323" s="23957" t="s">
        <v>6</v>
      </c>
      <c r="EM323" s="1286"/>
      <c r="EN323" s="1286"/>
      <c r="EO323" s="1286"/>
      <c r="EP323" s="1286"/>
      <c r="EQ323" s="1286"/>
      <c r="ER323" s="1286"/>
      <c r="ES323" s="1286"/>
      <c r="ET323" s="24086"/>
      <c r="EU323" s="24085" t="s">
        <v>59</v>
      </c>
      <c r="EV323" s="24086"/>
      <c r="EW323" s="24085" t="s">
        <v>59</v>
      </c>
      <c r="EX323" s="1286"/>
      <c r="EY323" s="1286"/>
      <c r="EZ323" s="1286"/>
      <c r="FA323" s="1286"/>
      <c r="FB323" s="1286"/>
      <c r="FC323" s="1286"/>
      <c r="FD323" s="1286"/>
      <c r="FE323" s="24086"/>
      <c r="FF323" s="24085" t="s">
        <v>59</v>
      </c>
      <c r="FG323" s="24086"/>
      <c r="FH323" s="24085" t="s">
        <v>59</v>
      </c>
      <c r="FI323" s="1286"/>
      <c r="FJ323" s="1286"/>
      <c r="FK323" s="1286"/>
      <c r="FL323" s="1286"/>
      <c r="FM323" s="1286"/>
      <c r="FN323" s="1286"/>
      <c r="FO323" s="1286"/>
      <c r="FP323" s="24086"/>
      <c r="FQ323" s="24085" t="s">
        <v>59</v>
      </c>
      <c r="FR323" s="24086"/>
      <c r="FS323" s="24085" t="s">
        <v>59</v>
      </c>
      <c r="FT323" s="1364"/>
      <c r="FU32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23" s="1568" t="e">
        <f ca="1">STRCHECKDATE(V324:FT324)</f>
        <v>#NAME?</v>
      </c>
      <c r="FW323" s="1550"/>
      <c r="FX323" s="1550" t="str">
        <f t="shared" si="5"/>
        <v/>
      </c>
      <c r="FY323" s="1550"/>
      <c r="FZ323" s="1550"/>
      <c r="GA323" s="1561">
        <v>0</v>
      </c>
    </row>
    <row r="324" spans="1:183" s="1747" customFormat="1" ht="14.25" customHeight="1">
      <c r="A324" s="1289"/>
      <c r="B324" s="1289"/>
      <c r="C324" s="1289"/>
      <c r="D324" s="1289"/>
      <c r="E324" s="24089"/>
      <c r="F324" s="24089" t="s">
        <v>147</v>
      </c>
      <c r="G324" s="24089"/>
      <c r="H324" s="24089"/>
      <c r="I324" s="24091"/>
      <c r="J324" s="24091"/>
      <c r="K324" s="24090"/>
      <c r="L324" s="1295"/>
      <c r="M324" s="1674"/>
      <c r="N324" s="1674"/>
      <c r="O324" s="1674"/>
      <c r="P324" s="24092"/>
      <c r="Q324" s="24092"/>
      <c r="R324" s="293"/>
      <c r="S324" s="1982"/>
      <c r="T324" s="236"/>
      <c r="U324" s="236"/>
      <c r="V324" s="1286"/>
      <c r="W324" s="1286"/>
      <c r="X324" s="1286"/>
      <c r="Y324" s="1286"/>
      <c r="Z324" s="1286"/>
      <c r="AA324" s="1286"/>
      <c r="AB324" s="1286"/>
      <c r="AC324" s="24085"/>
      <c r="AD324" s="24085"/>
      <c r="AE324" s="24085"/>
      <c r="AF324" s="24085"/>
      <c r="AG324" s="261"/>
      <c r="AH324" s="261"/>
      <c r="AI324" s="261"/>
      <c r="AJ324" s="261"/>
      <c r="AK324" s="261"/>
      <c r="AL324" s="261"/>
      <c r="AM324" s="261"/>
      <c r="AN324" s="24094"/>
      <c r="AO324" s="23957"/>
      <c r="AP324" s="24096"/>
      <c r="AQ324" s="23957"/>
      <c r="AR324" s="261"/>
      <c r="AS324" s="261"/>
      <c r="AT324" s="261"/>
      <c r="AU324" s="261"/>
      <c r="AV324" s="261"/>
      <c r="AW324" s="261"/>
      <c r="AX324" s="261"/>
      <c r="AY324" s="24094"/>
      <c r="AZ324" s="23957"/>
      <c r="BA324" s="24094"/>
      <c r="BB324" s="23957"/>
      <c r="BC324" s="261"/>
      <c r="BD324" s="261"/>
      <c r="BE324" s="261"/>
      <c r="BF324" s="261"/>
      <c r="BG324" s="261"/>
      <c r="BH324" s="261"/>
      <c r="BI324" s="261"/>
      <c r="BJ324" s="24094"/>
      <c r="BK324" s="23957"/>
      <c r="BL324" s="24094"/>
      <c r="BM324" s="23957"/>
      <c r="BN324" s="261"/>
      <c r="BO324" s="261"/>
      <c r="BP324" s="261"/>
      <c r="BQ324" s="261"/>
      <c r="BR324" s="261"/>
      <c r="BS324" s="261"/>
      <c r="BT324" s="261"/>
      <c r="BU324" s="24094"/>
      <c r="BV324" s="23957"/>
      <c r="BW324" s="24094"/>
      <c r="BX324" s="23957"/>
      <c r="BY324" s="261"/>
      <c r="BZ324" s="261"/>
      <c r="CA324" s="261"/>
      <c r="CB324" s="261"/>
      <c r="CC324" s="261"/>
      <c r="CD324" s="261"/>
      <c r="CE324" s="261"/>
      <c r="CF324" s="24094"/>
      <c r="CG324" s="23957"/>
      <c r="CH324" s="24094"/>
      <c r="CI324" s="23957"/>
      <c r="CJ324" s="261"/>
      <c r="CK324" s="261"/>
      <c r="CL324" s="261"/>
      <c r="CM324" s="261"/>
      <c r="CN324" s="261"/>
      <c r="CO324" s="261"/>
      <c r="CP324" s="261"/>
      <c r="CQ324" s="24094"/>
      <c r="CR324" s="23957"/>
      <c r="CS324" s="24094"/>
      <c r="CT324" s="23957"/>
      <c r="CU324" s="261"/>
      <c r="CV324" s="261"/>
      <c r="CW324" s="261"/>
      <c r="CX324" s="261"/>
      <c r="CY324" s="261"/>
      <c r="CZ324" s="261"/>
      <c r="DA324" s="261"/>
      <c r="DB324" s="24094"/>
      <c r="DC324" s="23957"/>
      <c r="DD324" s="24094"/>
      <c r="DE324" s="23957"/>
      <c r="DF324" s="261"/>
      <c r="DG324" s="261"/>
      <c r="DH324" s="261"/>
      <c r="DI324" s="261"/>
      <c r="DJ324" s="261"/>
      <c r="DK324" s="261"/>
      <c r="DL324" s="261"/>
      <c r="DM324" s="24094"/>
      <c r="DN324" s="23957"/>
      <c r="DO324" s="24094"/>
      <c r="DP324" s="23957"/>
      <c r="DQ324" s="261"/>
      <c r="DR324" s="261"/>
      <c r="DS324" s="261"/>
      <c r="DT324" s="261"/>
      <c r="DU324" s="261"/>
      <c r="DV324" s="261"/>
      <c r="DW324" s="261"/>
      <c r="DX324" s="24094"/>
      <c r="DY324" s="23957"/>
      <c r="DZ324" s="24094"/>
      <c r="EA324" s="23957"/>
      <c r="EB324" s="261"/>
      <c r="EC324" s="261"/>
      <c r="ED324" s="261"/>
      <c r="EE324" s="261"/>
      <c r="EF324" s="261"/>
      <c r="EG324" s="261"/>
      <c r="EH324" s="261"/>
      <c r="EI324" s="24094"/>
      <c r="EJ324" s="23957"/>
      <c r="EK324" s="24094"/>
      <c r="EL324" s="23957"/>
      <c r="EM324" s="1286"/>
      <c r="EN324" s="1286"/>
      <c r="EO324" s="1286"/>
      <c r="EP324" s="1286"/>
      <c r="EQ324" s="1286"/>
      <c r="ER324" s="1286"/>
      <c r="ES324" s="1286"/>
      <c r="ET324" s="24085"/>
      <c r="EU324" s="24085"/>
      <c r="EV324" s="24085"/>
      <c r="EW324" s="24085"/>
      <c r="EX324" s="1286"/>
      <c r="EY324" s="1286"/>
      <c r="EZ324" s="1286"/>
      <c r="FA324" s="1286"/>
      <c r="FB324" s="1286"/>
      <c r="FC324" s="1286"/>
      <c r="FD324" s="1286"/>
      <c r="FE324" s="24085"/>
      <c r="FF324" s="24085"/>
      <c r="FG324" s="24085"/>
      <c r="FH324" s="24085"/>
      <c r="FI324" s="1286"/>
      <c r="FJ324" s="1286"/>
      <c r="FK324" s="1286"/>
      <c r="FL324" s="1286"/>
      <c r="FM324" s="1286"/>
      <c r="FN324" s="1286"/>
      <c r="FO324" s="1286"/>
      <c r="FP324" s="24085"/>
      <c r="FQ324" s="24085"/>
      <c r="FR324" s="24085"/>
      <c r="FS324" s="24085"/>
      <c r="FT324" s="1365"/>
      <c r="FU324" s="24162"/>
      <c r="FV324" s="1568"/>
      <c r="FW324" s="1550"/>
      <c r="FX324" s="1550" t="str">
        <f t="shared" si="5"/>
        <v/>
      </c>
      <c r="FY324" s="1550"/>
      <c r="FZ324" s="1550"/>
      <c r="GA324" s="1561">
        <v>0</v>
      </c>
    </row>
    <row r="325" spans="1:183" s="1747" customFormat="1" ht="21" customHeight="1">
      <c r="A325" s="1289"/>
      <c r="B325" s="1289"/>
      <c r="C325" s="1289"/>
      <c r="D325" s="1289"/>
      <c r="E325" s="24089"/>
      <c r="F325" s="24089" t="s">
        <v>147</v>
      </c>
      <c r="G325" s="24089"/>
      <c r="H325" s="24089"/>
      <c r="I325" s="24091"/>
      <c r="J325" s="24090"/>
      <c r="K325" s="1289"/>
      <c r="L325" s="1295"/>
      <c r="M325" s="1674"/>
      <c r="N325" s="1674"/>
      <c r="O325" s="1674"/>
      <c r="P325" s="24092"/>
      <c r="Q325" s="24092"/>
      <c r="R325" s="292"/>
      <c r="S325" s="4609"/>
      <c r="T325" s="4610" t="s">
        <v>712</v>
      </c>
      <c r="U325" s="4611"/>
      <c r="V325" s="4612"/>
      <c r="W325" s="4613"/>
      <c r="X325" s="4614"/>
      <c r="Y325" s="4615"/>
      <c r="Z325" s="4616"/>
      <c r="AA325" s="4617"/>
      <c r="AB325" s="4618"/>
      <c r="AC325" s="4619"/>
      <c r="AD325" s="4620"/>
      <c r="AE325" s="4621"/>
      <c r="AF325" s="4622"/>
      <c r="AG325" s="4623"/>
      <c r="AH325" s="4624"/>
      <c r="AI325" s="4625"/>
      <c r="AJ325" s="4626"/>
      <c r="AK325" s="4627"/>
      <c r="AL325" s="4628"/>
      <c r="AM325" s="4629"/>
      <c r="AN325" s="4630"/>
      <c r="AO325" s="4631"/>
      <c r="AP325" s="4632"/>
      <c r="AQ325" s="4633"/>
      <c r="AR325" s="7594"/>
      <c r="AS325" s="7595"/>
      <c r="AT325" s="7596"/>
      <c r="AU325" s="7597"/>
      <c r="AV325" s="7598"/>
      <c r="AW325" s="7599"/>
      <c r="AX325" s="7600"/>
      <c r="AY325" s="7601"/>
      <c r="AZ325" s="7602"/>
      <c r="BA325" s="7603"/>
      <c r="BB325" s="7604"/>
      <c r="BC325" s="7605"/>
      <c r="BD325" s="7606"/>
      <c r="BE325" s="16754"/>
      <c r="BF325" s="16755"/>
      <c r="BG325" s="21906"/>
      <c r="BH325" s="16756"/>
      <c r="BI325" s="16757"/>
      <c r="BJ325" s="16758"/>
      <c r="BK325" s="16759"/>
      <c r="BL325" s="16760"/>
      <c r="BM325" s="16761"/>
      <c r="BN325" s="4634"/>
      <c r="BO325" s="4635"/>
      <c r="BP325" s="16762"/>
      <c r="BQ325" s="16763"/>
      <c r="BR325" s="4636"/>
      <c r="BS325" s="16764"/>
      <c r="BT325" s="16765"/>
      <c r="BU325" s="16766"/>
      <c r="BV325" s="16767"/>
      <c r="BW325" s="16768"/>
      <c r="BX325" s="16769"/>
      <c r="BY325" s="16770"/>
      <c r="BZ325" s="16771"/>
      <c r="CA325" s="16772"/>
      <c r="CB325" s="16773"/>
      <c r="CC325" s="16774"/>
      <c r="CD325" s="16775"/>
      <c r="CE325" s="16776"/>
      <c r="CF325" s="16777"/>
      <c r="CG325" s="16778"/>
      <c r="CH325" s="16779"/>
      <c r="CI325" s="16780"/>
      <c r="CJ325" s="16781"/>
      <c r="CK325" s="16782"/>
      <c r="CL325" s="16783"/>
      <c r="CM325" s="16784"/>
      <c r="CN325" s="16785"/>
      <c r="CO325" s="16786"/>
      <c r="CP325" s="16787"/>
      <c r="CQ325" s="16788"/>
      <c r="CR325" s="16789"/>
      <c r="CS325" s="16790"/>
      <c r="CT325" s="16791"/>
      <c r="CU325" s="16792"/>
      <c r="CV325" s="16793"/>
      <c r="CW325" s="16794"/>
      <c r="CX325" s="16795"/>
      <c r="CY325" s="16796"/>
      <c r="CZ325" s="16797"/>
      <c r="DA325" s="16798"/>
      <c r="DB325" s="16799"/>
      <c r="DC325" s="16800"/>
      <c r="DD325" s="16801"/>
      <c r="DE325" s="16802"/>
      <c r="DF325" s="16803"/>
      <c r="DG325" s="16804"/>
      <c r="DH325" s="16805"/>
      <c r="DI325" s="16806"/>
      <c r="DJ325" s="16807"/>
      <c r="DK325" s="16808"/>
      <c r="DL325" s="16809"/>
      <c r="DM325" s="16810"/>
      <c r="DN325" s="16811"/>
      <c r="DO325" s="16812"/>
      <c r="DP325" s="16813"/>
      <c r="DQ325" s="16814"/>
      <c r="DR325" s="16815"/>
      <c r="DS325" s="16816"/>
      <c r="DT325" s="16817"/>
      <c r="DU325" s="16818"/>
      <c r="DV325" s="16819"/>
      <c r="DW325" s="16820"/>
      <c r="DX325" s="16821"/>
      <c r="DY325" s="16822"/>
      <c r="DZ325" s="16823"/>
      <c r="EA325" s="16824"/>
      <c r="EB325" s="16825"/>
      <c r="EC325" s="16826"/>
      <c r="ED325" s="16827"/>
      <c r="EE325" s="16828"/>
      <c r="EF325" s="16829"/>
      <c r="EG325" s="16830"/>
      <c r="EH325" s="16831"/>
      <c r="EI325" s="16832"/>
      <c r="EJ325" s="16833"/>
      <c r="EK325" s="16834"/>
      <c r="EL325" s="16835"/>
      <c r="EM325" s="21674"/>
      <c r="EN325" s="21675"/>
      <c r="EO325" s="16836"/>
      <c r="EP325" s="16837"/>
      <c r="EQ325" s="21676"/>
      <c r="ER325" s="16838"/>
      <c r="ES325" s="16839"/>
      <c r="ET325" s="16840"/>
      <c r="EU325" s="16841"/>
      <c r="EV325" s="16842"/>
      <c r="EW325" s="16843"/>
      <c r="EX325" s="4637"/>
      <c r="EY325" s="4638"/>
      <c r="EZ325" s="16844"/>
      <c r="FA325" s="16845"/>
      <c r="FB325" s="4639"/>
      <c r="FC325" s="16846"/>
      <c r="FD325" s="16847"/>
      <c r="FE325" s="16848"/>
      <c r="FF325" s="16849"/>
      <c r="FG325" s="16850"/>
      <c r="FH325" s="5742"/>
      <c r="FI325" s="22926"/>
      <c r="FJ325" s="22927"/>
      <c r="FK325" s="23672"/>
      <c r="FL325" s="23673"/>
      <c r="FM325" s="22928"/>
      <c r="FN325" s="23674"/>
      <c r="FO325" s="23675"/>
      <c r="FP325" s="22929"/>
      <c r="FQ325" s="22930"/>
      <c r="FR325" s="22931"/>
      <c r="FS325" s="23676"/>
      <c r="FT325" s="4640"/>
      <c r="FU325" s="1184" t="s">
        <v>713</v>
      </c>
      <c r="FV325" s="1568"/>
      <c r="FW325" s="1550"/>
      <c r="FX325" s="1550" t="str">
        <f t="shared" si="5"/>
        <v>Добавить значение признака дифференциации</v>
      </c>
      <c r="FY325" s="1550"/>
      <c r="FZ325" s="1550"/>
      <c r="GA325" s="1561">
        <v>0</v>
      </c>
    </row>
    <row r="326" spans="1:183" s="1747" customFormat="1" ht="23.25" customHeight="1">
      <c r="A326" s="1289"/>
      <c r="B326" s="1289"/>
      <c r="C326" s="1289"/>
      <c r="D326" s="1289"/>
      <c r="E326" s="24089"/>
      <c r="F326" s="24089"/>
      <c r="G326" s="24089"/>
      <c r="H326" s="24089"/>
      <c r="I326" s="24091"/>
      <c r="J326" s="24090" t="str">
        <f>I321&amp;".2"</f>
        <v>1.13.1.1.2</v>
      </c>
      <c r="K326" s="1289"/>
      <c r="L326" s="1295" t="s">
        <v>635</v>
      </c>
      <c r="M326" s="1674"/>
      <c r="N326" s="1674"/>
      <c r="O326" s="1674"/>
      <c r="P326" s="24092"/>
      <c r="Q326" s="24206" t="s">
        <v>96</v>
      </c>
      <c r="R326" s="293"/>
      <c r="S326" s="1976" t="str">
        <f>$J326</f>
        <v>1.13.1.1.2</v>
      </c>
      <c r="T326" s="222" t="s">
        <v>636</v>
      </c>
      <c r="U326" s="236"/>
      <c r="V326" s="24076"/>
      <c r="W326" s="24077"/>
      <c r="X326" s="24077"/>
      <c r="Y326" s="24077"/>
      <c r="Z326" s="24077"/>
      <c r="AA326" s="24077"/>
      <c r="AB326" s="24077"/>
      <c r="AC326" s="24077"/>
      <c r="AD326" s="24077"/>
      <c r="AE326" s="24077"/>
      <c r="AF326" s="24078"/>
      <c r="AG326" s="24076" t="s">
        <v>771</v>
      </c>
      <c r="AH326" s="24077"/>
      <c r="AI326" s="24077"/>
      <c r="AJ326" s="24077"/>
      <c r="AK326" s="24077"/>
      <c r="AL326" s="24077"/>
      <c r="AM326" s="24077"/>
      <c r="AN326" s="24077"/>
      <c r="AO326" s="24077"/>
      <c r="AP326" s="24077"/>
      <c r="AQ326" s="24077"/>
      <c r="AR326" s="24179"/>
      <c r="AS326" s="24180"/>
      <c r="AT326" s="24180"/>
      <c r="AU326" s="24180"/>
      <c r="AV326" s="24180"/>
      <c r="AW326" s="24180"/>
      <c r="AX326" s="24180"/>
      <c r="AY326" s="24180"/>
      <c r="AZ326" s="24180"/>
      <c r="BA326" s="24180"/>
      <c r="BB326" s="24181"/>
      <c r="BC326" s="24179"/>
      <c r="BD326" s="24180"/>
      <c r="BE326" s="24180"/>
      <c r="BF326" s="24180"/>
      <c r="BG326" s="24180"/>
      <c r="BH326" s="24180"/>
      <c r="BI326" s="24180"/>
      <c r="BJ326" s="24180"/>
      <c r="BK326" s="24180"/>
      <c r="BL326" s="24180"/>
      <c r="BM326" s="24181"/>
      <c r="BN326" s="24076"/>
      <c r="BO326" s="24077"/>
      <c r="BP326" s="24180"/>
      <c r="BQ326" s="24180"/>
      <c r="BR326" s="24077"/>
      <c r="BS326" s="24180"/>
      <c r="BT326" s="24180"/>
      <c r="BU326" s="24180"/>
      <c r="BV326" s="24180"/>
      <c r="BW326" s="24180"/>
      <c r="BX326" s="24181"/>
      <c r="BY326" s="24179"/>
      <c r="BZ326" s="24180"/>
      <c r="CA326" s="24180"/>
      <c r="CB326" s="24180"/>
      <c r="CC326" s="24180"/>
      <c r="CD326" s="24180"/>
      <c r="CE326" s="24180"/>
      <c r="CF326" s="24180"/>
      <c r="CG326" s="24180"/>
      <c r="CH326" s="24180"/>
      <c r="CI326" s="24181"/>
      <c r="CJ326" s="24179"/>
      <c r="CK326" s="24180"/>
      <c r="CL326" s="24180"/>
      <c r="CM326" s="24180"/>
      <c r="CN326" s="24180"/>
      <c r="CO326" s="24180"/>
      <c r="CP326" s="24180"/>
      <c r="CQ326" s="24180"/>
      <c r="CR326" s="24180"/>
      <c r="CS326" s="24180"/>
      <c r="CT326" s="24181"/>
      <c r="CU326" s="24179"/>
      <c r="CV326" s="24180"/>
      <c r="CW326" s="24180"/>
      <c r="CX326" s="24180"/>
      <c r="CY326" s="24180"/>
      <c r="CZ326" s="24180"/>
      <c r="DA326" s="24180"/>
      <c r="DB326" s="24180"/>
      <c r="DC326" s="24180"/>
      <c r="DD326" s="24180"/>
      <c r="DE326" s="24181"/>
      <c r="DF326" s="24179"/>
      <c r="DG326" s="24180"/>
      <c r="DH326" s="24180"/>
      <c r="DI326" s="24180"/>
      <c r="DJ326" s="24180"/>
      <c r="DK326" s="24180"/>
      <c r="DL326" s="24180"/>
      <c r="DM326" s="24180"/>
      <c r="DN326" s="24180"/>
      <c r="DO326" s="24180"/>
      <c r="DP326" s="24181"/>
      <c r="DQ326" s="24179"/>
      <c r="DR326" s="24180"/>
      <c r="DS326" s="24180"/>
      <c r="DT326" s="24180"/>
      <c r="DU326" s="24180"/>
      <c r="DV326" s="24180"/>
      <c r="DW326" s="24180"/>
      <c r="DX326" s="24180"/>
      <c r="DY326" s="24180"/>
      <c r="DZ326" s="24180"/>
      <c r="EA326" s="24181"/>
      <c r="EB326" s="24179"/>
      <c r="EC326" s="24180"/>
      <c r="ED326" s="24180"/>
      <c r="EE326" s="24180"/>
      <c r="EF326" s="24180"/>
      <c r="EG326" s="24180"/>
      <c r="EH326" s="24180"/>
      <c r="EI326" s="24180"/>
      <c r="EJ326" s="24180"/>
      <c r="EK326" s="24180"/>
      <c r="EL326" s="24181"/>
      <c r="EM326" s="24179"/>
      <c r="EN326" s="24180"/>
      <c r="EO326" s="24180"/>
      <c r="EP326" s="24180"/>
      <c r="EQ326" s="24180"/>
      <c r="ER326" s="24180"/>
      <c r="ES326" s="24180"/>
      <c r="ET326" s="24180"/>
      <c r="EU326" s="24180"/>
      <c r="EV326" s="24180"/>
      <c r="EW326" s="24181"/>
      <c r="EX326" s="24076"/>
      <c r="EY326" s="24077"/>
      <c r="EZ326" s="24180"/>
      <c r="FA326" s="24180"/>
      <c r="FB326" s="24077"/>
      <c r="FC326" s="24180"/>
      <c r="FD326" s="24180"/>
      <c r="FE326" s="24180"/>
      <c r="FF326" s="24180"/>
      <c r="FG326" s="24180"/>
      <c r="FH326" s="24181"/>
      <c r="FI326" s="24076"/>
      <c r="FJ326" s="24077"/>
      <c r="FK326" s="24180"/>
      <c r="FL326" s="24180"/>
      <c r="FM326" s="24077"/>
      <c r="FN326" s="24180"/>
      <c r="FO326" s="24180"/>
      <c r="FP326" s="24077"/>
      <c r="FQ326" s="24077"/>
      <c r="FR326" s="24077"/>
      <c r="FS326" s="24181"/>
      <c r="FT326" s="24078"/>
      <c r="FU326" s="1233" t="s">
        <v>711</v>
      </c>
      <c r="FV326" s="1568"/>
      <c r="FW326" s="1550"/>
      <c r="FX326" s="1550" t="str">
        <f t="shared" si="5"/>
        <v>Группа потребителей</v>
      </c>
      <c r="FY326" s="1550"/>
      <c r="FZ326" s="1550"/>
      <c r="GA326" s="1561">
        <v>0</v>
      </c>
    </row>
    <row r="327" spans="1:183" s="1747" customFormat="1" ht="23.25" customHeight="1">
      <c r="A327" s="1289"/>
      <c r="B327" s="1289"/>
      <c r="C327" s="1289"/>
      <c r="D327" s="1289"/>
      <c r="E327" s="24089"/>
      <c r="F327" s="24089"/>
      <c r="G327" s="24089"/>
      <c r="H327" s="24089"/>
      <c r="I327" s="24091"/>
      <c r="J327" s="24091" t="str">
        <f>I321&amp;".1"</f>
        <v>1.13.1.1.1</v>
      </c>
      <c r="K327" s="24090" t="str">
        <f>J326&amp;".1"</f>
        <v>1.13.1.1.2.1</v>
      </c>
      <c r="L327" s="1295"/>
      <c r="M327" s="1674"/>
      <c r="N327" s="1674"/>
      <c r="O327" s="1674"/>
      <c r="P327" s="24092"/>
      <c r="Q327" s="24092"/>
      <c r="R327" s="293">
        <v>1</v>
      </c>
      <c r="S327" s="1976" t="str">
        <f>$K327</f>
        <v>1.13.1.1.2.1</v>
      </c>
      <c r="T327" s="1363"/>
      <c r="U327" s="236"/>
      <c r="V327" s="1286"/>
      <c r="W327" s="1286"/>
      <c r="X327" s="1286"/>
      <c r="Y327" s="1286"/>
      <c r="Z327" s="1286"/>
      <c r="AA327" s="1286"/>
      <c r="AB327" s="1286"/>
      <c r="AC327" s="24086"/>
      <c r="AD327" s="24085" t="s">
        <v>59</v>
      </c>
      <c r="AE327" s="24086"/>
      <c r="AF327" s="24085" t="s">
        <v>59</v>
      </c>
      <c r="AG327" s="687">
        <v>223.91</v>
      </c>
      <c r="AH327" s="687">
        <v>50.67</v>
      </c>
      <c r="AI327" s="687"/>
      <c r="AJ327" s="687"/>
      <c r="AK327" s="687">
        <v>2602.21</v>
      </c>
      <c r="AL327" s="687"/>
      <c r="AM327" s="687"/>
      <c r="AN327" s="24093" t="s">
        <v>9</v>
      </c>
      <c r="AO327" s="23957" t="s">
        <v>59</v>
      </c>
      <c r="AP327" s="24095" t="s">
        <v>770</v>
      </c>
      <c r="AQ327" s="23957" t="s">
        <v>59</v>
      </c>
      <c r="AR327" s="687">
        <v>246.3</v>
      </c>
      <c r="AS327" s="687">
        <v>55.74</v>
      </c>
      <c r="AT327" s="687"/>
      <c r="AU327" s="687"/>
      <c r="AV327" s="687">
        <v>2862.43</v>
      </c>
      <c r="AW327" s="687"/>
      <c r="AX327" s="687"/>
      <c r="AY327" s="24093" t="s">
        <v>772</v>
      </c>
      <c r="AZ327" s="23957" t="s">
        <v>59</v>
      </c>
      <c r="BA327" s="24093" t="s">
        <v>773</v>
      </c>
      <c r="BB327" s="23957" t="s">
        <v>59</v>
      </c>
      <c r="BC327" s="687">
        <v>246.3</v>
      </c>
      <c r="BD327" s="687">
        <v>55.74</v>
      </c>
      <c r="BE327" s="687"/>
      <c r="BF327" s="687"/>
      <c r="BG327" s="687">
        <v>2862.43</v>
      </c>
      <c r="BH327" s="687"/>
      <c r="BI327" s="687"/>
      <c r="BJ327" s="24093" t="s">
        <v>774</v>
      </c>
      <c r="BK327" s="23957" t="s">
        <v>59</v>
      </c>
      <c r="BL327" s="24093" t="s">
        <v>775</v>
      </c>
      <c r="BM327" s="23957" t="s">
        <v>59</v>
      </c>
      <c r="BN327" s="687">
        <v>275.62</v>
      </c>
      <c r="BO327" s="687">
        <v>62.37</v>
      </c>
      <c r="BP327" s="687"/>
      <c r="BQ327" s="687"/>
      <c r="BR327" s="687">
        <v>3203.06</v>
      </c>
      <c r="BS327" s="687"/>
      <c r="BT327" s="687"/>
      <c r="BU327" s="24093" t="s">
        <v>776</v>
      </c>
      <c r="BV327" s="23957" t="s">
        <v>59</v>
      </c>
      <c r="BW327" s="24093" t="s">
        <v>777</v>
      </c>
      <c r="BX327" s="23957" t="s">
        <v>59</v>
      </c>
      <c r="BY327" s="687">
        <v>280.27999999999997</v>
      </c>
      <c r="BZ327" s="687">
        <v>63.43</v>
      </c>
      <c r="CA327" s="687"/>
      <c r="CB327" s="687"/>
      <c r="CC327" s="687">
        <v>3295.83</v>
      </c>
      <c r="CD327" s="687"/>
      <c r="CE327" s="687"/>
      <c r="CF327" s="24093" t="s">
        <v>778</v>
      </c>
      <c r="CG327" s="23957" t="s">
        <v>59</v>
      </c>
      <c r="CH327" s="24185">
        <v>46295</v>
      </c>
      <c r="CI327" s="23957" t="s">
        <v>59</v>
      </c>
      <c r="CJ327" s="687">
        <v>313.92</v>
      </c>
      <c r="CK327" s="687">
        <v>71.040000000000006</v>
      </c>
      <c r="CL327" s="687"/>
      <c r="CM327" s="687"/>
      <c r="CN327" s="687">
        <v>3691.33</v>
      </c>
      <c r="CO327" s="687"/>
      <c r="CP327" s="687"/>
      <c r="CQ327" s="24185">
        <v>46296</v>
      </c>
      <c r="CR327" s="23957" t="s">
        <v>59</v>
      </c>
      <c r="CS327" s="24093" t="s">
        <v>779</v>
      </c>
      <c r="CT327" s="23957" t="s">
        <v>59</v>
      </c>
      <c r="CU327" s="687">
        <f>CJ327</f>
        <v>313.92</v>
      </c>
      <c r="CV327" s="687">
        <f>CK327</f>
        <v>71.040000000000006</v>
      </c>
      <c r="CW327" s="687"/>
      <c r="CX327" s="687"/>
      <c r="CY327" s="687">
        <f>CN327</f>
        <v>3691.33</v>
      </c>
      <c r="CZ327" s="687"/>
      <c r="DA327" s="687"/>
      <c r="DB327" s="24093" t="s">
        <v>780</v>
      </c>
      <c r="DC327" s="23957" t="s">
        <v>59</v>
      </c>
      <c r="DD327" s="24093" t="s">
        <v>781</v>
      </c>
      <c r="DE327" s="23957" t="s">
        <v>59</v>
      </c>
      <c r="DF327" s="687">
        <v>341.23</v>
      </c>
      <c r="DG327" s="687">
        <v>77.23</v>
      </c>
      <c r="DH327" s="687"/>
      <c r="DI327" s="687"/>
      <c r="DJ327" s="687">
        <v>4012.47</v>
      </c>
      <c r="DK327" s="687"/>
      <c r="DL327" s="687"/>
      <c r="DM327" s="24093" t="s">
        <v>782</v>
      </c>
      <c r="DN327" s="23957" t="s">
        <v>59</v>
      </c>
      <c r="DO327" s="24093" t="s">
        <v>783</v>
      </c>
      <c r="DP327" s="23957" t="s">
        <v>59</v>
      </c>
      <c r="DQ327" s="687">
        <f>DF327</f>
        <v>341.23</v>
      </c>
      <c r="DR327" s="687">
        <f>DG327</f>
        <v>77.23</v>
      </c>
      <c r="DS327" s="687"/>
      <c r="DT327" s="687"/>
      <c r="DU327" s="687">
        <f>DJ327</f>
        <v>4012.47</v>
      </c>
      <c r="DV327" s="687"/>
      <c r="DW327" s="687"/>
      <c r="DX327" s="24093" t="s">
        <v>784</v>
      </c>
      <c r="DY327" s="23957" t="s">
        <v>59</v>
      </c>
      <c r="DZ327" s="24093" t="s">
        <v>785</v>
      </c>
      <c r="EA327" s="23957" t="s">
        <v>59</v>
      </c>
      <c r="EB327" s="687">
        <v>365.46</v>
      </c>
      <c r="EC327" s="687">
        <v>82.71</v>
      </c>
      <c r="ED327" s="687"/>
      <c r="EE327" s="687"/>
      <c r="EF327" s="687">
        <v>4297.3500000000004</v>
      </c>
      <c r="EG327" s="687"/>
      <c r="EH327" s="687"/>
      <c r="EI327" s="24093" t="s">
        <v>786</v>
      </c>
      <c r="EJ327" s="23957" t="s">
        <v>59</v>
      </c>
      <c r="EK327" s="24093" t="s">
        <v>787</v>
      </c>
      <c r="EL327" s="23957" t="s">
        <v>6</v>
      </c>
      <c r="EM327" s="1286"/>
      <c r="EN327" s="1286"/>
      <c r="EO327" s="1286"/>
      <c r="EP327" s="1286"/>
      <c r="EQ327" s="1286"/>
      <c r="ER327" s="1286"/>
      <c r="ES327" s="1286"/>
      <c r="ET327" s="24086"/>
      <c r="EU327" s="24085" t="s">
        <v>59</v>
      </c>
      <c r="EV327" s="24086"/>
      <c r="EW327" s="24085" t="s">
        <v>59</v>
      </c>
      <c r="EX327" s="1286"/>
      <c r="EY327" s="1286"/>
      <c r="EZ327" s="1286"/>
      <c r="FA327" s="1286"/>
      <c r="FB327" s="1286"/>
      <c r="FC327" s="1286"/>
      <c r="FD327" s="1286"/>
      <c r="FE327" s="24086"/>
      <c r="FF327" s="24085" t="s">
        <v>59</v>
      </c>
      <c r="FG327" s="24086"/>
      <c r="FH327" s="24085" t="s">
        <v>59</v>
      </c>
      <c r="FI327" s="1286"/>
      <c r="FJ327" s="1286"/>
      <c r="FK327" s="1286"/>
      <c r="FL327" s="1286"/>
      <c r="FM327" s="1286"/>
      <c r="FN327" s="1286"/>
      <c r="FO327" s="1286"/>
      <c r="FP327" s="24086"/>
      <c r="FQ327" s="24085" t="s">
        <v>59</v>
      </c>
      <c r="FR327" s="24086"/>
      <c r="FS327" s="24085" t="s">
        <v>59</v>
      </c>
      <c r="FT327" s="1364"/>
      <c r="FU32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27" s="1568" t="e">
        <f ca="1">STRCHECKDATE(V328:FT328)</f>
        <v>#NAME?</v>
      </c>
      <c r="FW327" s="1550"/>
      <c r="FX327" s="1550" t="str">
        <f t="shared" si="5"/>
        <v/>
      </c>
      <c r="FY327" s="1550"/>
      <c r="FZ327" s="1550"/>
      <c r="GA327" s="1561">
        <v>0</v>
      </c>
    </row>
    <row r="328" spans="1:183" s="1747" customFormat="1" ht="14.25" customHeight="1">
      <c r="A328" s="1289"/>
      <c r="B328" s="1289"/>
      <c r="C328" s="1289"/>
      <c r="D328" s="1289"/>
      <c r="E328" s="24089"/>
      <c r="F328" s="24089"/>
      <c r="G328" s="24089"/>
      <c r="H328" s="24089"/>
      <c r="I328" s="24091"/>
      <c r="J328" s="24091" t="str">
        <f>I321&amp;".1"</f>
        <v>1.13.1.1.1</v>
      </c>
      <c r="K328" s="24090"/>
      <c r="L328" s="1295"/>
      <c r="M328" s="1674"/>
      <c r="N328" s="1674"/>
      <c r="O328" s="1674"/>
      <c r="P328" s="24092"/>
      <c r="Q328" s="24092"/>
      <c r="R328" s="293"/>
      <c r="S328" s="1982"/>
      <c r="T328" s="236"/>
      <c r="U328" s="236"/>
      <c r="V328" s="1286"/>
      <c r="W328" s="1286"/>
      <c r="X328" s="1286"/>
      <c r="Y328" s="1286"/>
      <c r="Z328" s="1286"/>
      <c r="AA328" s="1286"/>
      <c r="AB328" s="1286"/>
      <c r="AC328" s="24085"/>
      <c r="AD328" s="24085"/>
      <c r="AE328" s="24085"/>
      <c r="AF328" s="24085"/>
      <c r="AG328" s="261"/>
      <c r="AH328" s="261"/>
      <c r="AI328" s="261"/>
      <c r="AJ328" s="261"/>
      <c r="AK328" s="261"/>
      <c r="AL328" s="261"/>
      <c r="AM328" s="261"/>
      <c r="AN328" s="24094"/>
      <c r="AO328" s="23957"/>
      <c r="AP328" s="24096"/>
      <c r="AQ328" s="23957"/>
      <c r="AR328" s="261"/>
      <c r="AS328" s="261"/>
      <c r="AT328" s="261"/>
      <c r="AU328" s="261"/>
      <c r="AV328" s="261"/>
      <c r="AW328" s="261"/>
      <c r="AX328" s="261"/>
      <c r="AY328" s="24094"/>
      <c r="AZ328" s="23957"/>
      <c r="BA328" s="24094"/>
      <c r="BB328" s="23957"/>
      <c r="BC328" s="261"/>
      <c r="BD328" s="261"/>
      <c r="BE328" s="261"/>
      <c r="BF328" s="261"/>
      <c r="BG328" s="261"/>
      <c r="BH328" s="261"/>
      <c r="BI328" s="261"/>
      <c r="BJ328" s="24094"/>
      <c r="BK328" s="23957"/>
      <c r="BL328" s="24094"/>
      <c r="BM328" s="23957"/>
      <c r="BN328" s="261"/>
      <c r="BO328" s="261"/>
      <c r="BP328" s="261"/>
      <c r="BQ328" s="261"/>
      <c r="BR328" s="261"/>
      <c r="BS328" s="261"/>
      <c r="BT328" s="261"/>
      <c r="BU328" s="24094"/>
      <c r="BV328" s="23957"/>
      <c r="BW328" s="24094"/>
      <c r="BX328" s="23957"/>
      <c r="BY328" s="261"/>
      <c r="BZ328" s="261"/>
      <c r="CA328" s="261"/>
      <c r="CB328" s="261"/>
      <c r="CC328" s="261"/>
      <c r="CD328" s="261"/>
      <c r="CE328" s="261"/>
      <c r="CF328" s="24094"/>
      <c r="CG328" s="23957"/>
      <c r="CH328" s="24094"/>
      <c r="CI328" s="23957"/>
      <c r="CJ328" s="261"/>
      <c r="CK328" s="261"/>
      <c r="CL328" s="261"/>
      <c r="CM328" s="261"/>
      <c r="CN328" s="261"/>
      <c r="CO328" s="261"/>
      <c r="CP328" s="261"/>
      <c r="CQ328" s="24094"/>
      <c r="CR328" s="23957"/>
      <c r="CS328" s="24094"/>
      <c r="CT328" s="23957"/>
      <c r="CU328" s="261"/>
      <c r="CV328" s="261"/>
      <c r="CW328" s="261"/>
      <c r="CX328" s="261"/>
      <c r="CY328" s="261"/>
      <c r="CZ328" s="261"/>
      <c r="DA328" s="261"/>
      <c r="DB328" s="24094"/>
      <c r="DC328" s="23957"/>
      <c r="DD328" s="24094"/>
      <c r="DE328" s="23957"/>
      <c r="DF328" s="261"/>
      <c r="DG328" s="261"/>
      <c r="DH328" s="261"/>
      <c r="DI328" s="261"/>
      <c r="DJ328" s="261"/>
      <c r="DK328" s="261"/>
      <c r="DL328" s="261"/>
      <c r="DM328" s="24094"/>
      <c r="DN328" s="23957"/>
      <c r="DO328" s="24094"/>
      <c r="DP328" s="23957"/>
      <c r="DQ328" s="261"/>
      <c r="DR328" s="261"/>
      <c r="DS328" s="261"/>
      <c r="DT328" s="261"/>
      <c r="DU328" s="261"/>
      <c r="DV328" s="261"/>
      <c r="DW328" s="261"/>
      <c r="DX328" s="24094"/>
      <c r="DY328" s="23957"/>
      <c r="DZ328" s="24094"/>
      <c r="EA328" s="23957"/>
      <c r="EB328" s="261"/>
      <c r="EC328" s="261"/>
      <c r="ED328" s="261"/>
      <c r="EE328" s="261"/>
      <c r="EF328" s="261"/>
      <c r="EG328" s="261"/>
      <c r="EH328" s="261"/>
      <c r="EI328" s="24094"/>
      <c r="EJ328" s="23957"/>
      <c r="EK328" s="24094"/>
      <c r="EL328" s="23957"/>
      <c r="EM328" s="1286"/>
      <c r="EN328" s="1286"/>
      <c r="EO328" s="1286"/>
      <c r="EP328" s="1286"/>
      <c r="EQ328" s="1286"/>
      <c r="ER328" s="1286"/>
      <c r="ES328" s="1286"/>
      <c r="ET328" s="24085"/>
      <c r="EU328" s="24085"/>
      <c r="EV328" s="24085"/>
      <c r="EW328" s="24085"/>
      <c r="EX328" s="1286"/>
      <c r="EY328" s="1286"/>
      <c r="EZ328" s="1286"/>
      <c r="FA328" s="1286"/>
      <c r="FB328" s="1286"/>
      <c r="FC328" s="1286"/>
      <c r="FD328" s="1286"/>
      <c r="FE328" s="24085"/>
      <c r="FF328" s="24085"/>
      <c r="FG328" s="24085"/>
      <c r="FH328" s="24085"/>
      <c r="FI328" s="1286"/>
      <c r="FJ328" s="1286"/>
      <c r="FK328" s="1286"/>
      <c r="FL328" s="1286"/>
      <c r="FM328" s="1286"/>
      <c r="FN328" s="1286"/>
      <c r="FO328" s="1286"/>
      <c r="FP328" s="24085"/>
      <c r="FQ328" s="24085"/>
      <c r="FR328" s="24085"/>
      <c r="FS328" s="24085"/>
      <c r="FT328" s="1365"/>
      <c r="FU328" s="24162"/>
      <c r="FV328" s="1568"/>
      <c r="FW328" s="1550"/>
      <c r="FX328" s="1550" t="str">
        <f t="shared" si="5"/>
        <v/>
      </c>
      <c r="FY328" s="1550"/>
      <c r="FZ328" s="1550"/>
      <c r="GA328" s="1561">
        <v>0</v>
      </c>
    </row>
    <row r="329" spans="1:183" s="1747" customFormat="1" ht="21" customHeight="1">
      <c r="A329" s="1289"/>
      <c r="B329" s="1289"/>
      <c r="C329" s="1289"/>
      <c r="D329" s="1289"/>
      <c r="E329" s="24089"/>
      <c r="F329" s="24089"/>
      <c r="G329" s="24089"/>
      <c r="H329" s="24089"/>
      <c r="I329" s="24091"/>
      <c r="J329" s="24090" t="str">
        <f>I321&amp;".1"</f>
        <v>1.13.1.1.1</v>
      </c>
      <c r="K329" s="1289"/>
      <c r="L329" s="1295"/>
      <c r="M329" s="1674"/>
      <c r="N329" s="1674"/>
      <c r="O329" s="1674"/>
      <c r="P329" s="24092"/>
      <c r="Q329" s="24092"/>
      <c r="R329" s="292"/>
      <c r="S329" s="4641"/>
      <c r="T329" s="4642" t="s">
        <v>712</v>
      </c>
      <c r="U329" s="4643"/>
      <c r="V329" s="4644"/>
      <c r="W329" s="4645"/>
      <c r="X329" s="4646"/>
      <c r="Y329" s="4647"/>
      <c r="Z329" s="4648"/>
      <c r="AA329" s="4649"/>
      <c r="AB329" s="4650"/>
      <c r="AC329" s="4651"/>
      <c r="AD329" s="4652"/>
      <c r="AE329" s="4653"/>
      <c r="AF329" s="4654"/>
      <c r="AG329" s="4655"/>
      <c r="AH329" s="4656"/>
      <c r="AI329" s="4657"/>
      <c r="AJ329" s="4658"/>
      <c r="AK329" s="4659"/>
      <c r="AL329" s="4660"/>
      <c r="AM329" s="4661"/>
      <c r="AN329" s="4662"/>
      <c r="AO329" s="4663"/>
      <c r="AP329" s="4664"/>
      <c r="AQ329" s="4665"/>
      <c r="AR329" s="7607"/>
      <c r="AS329" s="7608"/>
      <c r="AT329" s="7609"/>
      <c r="AU329" s="7610"/>
      <c r="AV329" s="7611"/>
      <c r="AW329" s="7612"/>
      <c r="AX329" s="7613"/>
      <c r="AY329" s="7614"/>
      <c r="AZ329" s="7615"/>
      <c r="BA329" s="7616"/>
      <c r="BB329" s="7617"/>
      <c r="BC329" s="7618"/>
      <c r="BD329" s="7619"/>
      <c r="BE329" s="16851"/>
      <c r="BF329" s="16852"/>
      <c r="BG329" s="21907"/>
      <c r="BH329" s="16853"/>
      <c r="BI329" s="16854"/>
      <c r="BJ329" s="16855"/>
      <c r="BK329" s="16856"/>
      <c r="BL329" s="16857"/>
      <c r="BM329" s="16858"/>
      <c r="BN329" s="4666"/>
      <c r="BO329" s="4667"/>
      <c r="BP329" s="16859"/>
      <c r="BQ329" s="16860"/>
      <c r="BR329" s="4668"/>
      <c r="BS329" s="16861"/>
      <c r="BT329" s="16862"/>
      <c r="BU329" s="16863"/>
      <c r="BV329" s="16864"/>
      <c r="BW329" s="16865"/>
      <c r="BX329" s="16866"/>
      <c r="BY329" s="16867"/>
      <c r="BZ329" s="16868"/>
      <c r="CA329" s="16869"/>
      <c r="CB329" s="16870"/>
      <c r="CC329" s="16871"/>
      <c r="CD329" s="16872"/>
      <c r="CE329" s="16873"/>
      <c r="CF329" s="16874"/>
      <c r="CG329" s="16875"/>
      <c r="CH329" s="16876"/>
      <c r="CI329" s="16877"/>
      <c r="CJ329" s="16878"/>
      <c r="CK329" s="16879"/>
      <c r="CL329" s="16880"/>
      <c r="CM329" s="16881"/>
      <c r="CN329" s="16882"/>
      <c r="CO329" s="16883"/>
      <c r="CP329" s="16884"/>
      <c r="CQ329" s="16885"/>
      <c r="CR329" s="16886"/>
      <c r="CS329" s="16887"/>
      <c r="CT329" s="16888"/>
      <c r="CU329" s="16889"/>
      <c r="CV329" s="16890"/>
      <c r="CW329" s="16891"/>
      <c r="CX329" s="16892"/>
      <c r="CY329" s="16893"/>
      <c r="CZ329" s="16894"/>
      <c r="DA329" s="16895"/>
      <c r="DB329" s="16896"/>
      <c r="DC329" s="16897"/>
      <c r="DD329" s="16898"/>
      <c r="DE329" s="16899"/>
      <c r="DF329" s="16900"/>
      <c r="DG329" s="16901"/>
      <c r="DH329" s="16902"/>
      <c r="DI329" s="16903"/>
      <c r="DJ329" s="16904"/>
      <c r="DK329" s="16905"/>
      <c r="DL329" s="16906"/>
      <c r="DM329" s="16907"/>
      <c r="DN329" s="16908"/>
      <c r="DO329" s="16909"/>
      <c r="DP329" s="16910"/>
      <c r="DQ329" s="16911"/>
      <c r="DR329" s="16912"/>
      <c r="DS329" s="16913"/>
      <c r="DT329" s="16914"/>
      <c r="DU329" s="16915"/>
      <c r="DV329" s="16916"/>
      <c r="DW329" s="16917"/>
      <c r="DX329" s="16918"/>
      <c r="DY329" s="16919"/>
      <c r="DZ329" s="16920"/>
      <c r="EA329" s="16921"/>
      <c r="EB329" s="16922"/>
      <c r="EC329" s="16923"/>
      <c r="ED329" s="16924"/>
      <c r="EE329" s="16925"/>
      <c r="EF329" s="16926"/>
      <c r="EG329" s="16927"/>
      <c r="EH329" s="16928"/>
      <c r="EI329" s="16929"/>
      <c r="EJ329" s="16930"/>
      <c r="EK329" s="16931"/>
      <c r="EL329" s="16932"/>
      <c r="EM329" s="21677"/>
      <c r="EN329" s="21678"/>
      <c r="EO329" s="16933"/>
      <c r="EP329" s="16934"/>
      <c r="EQ329" s="21679"/>
      <c r="ER329" s="16935"/>
      <c r="ES329" s="16936"/>
      <c r="ET329" s="16937"/>
      <c r="EU329" s="16938"/>
      <c r="EV329" s="16939"/>
      <c r="EW329" s="16940"/>
      <c r="EX329" s="4669"/>
      <c r="EY329" s="4670"/>
      <c r="EZ329" s="16941"/>
      <c r="FA329" s="16942"/>
      <c r="FB329" s="4671"/>
      <c r="FC329" s="16943"/>
      <c r="FD329" s="16944"/>
      <c r="FE329" s="16945"/>
      <c r="FF329" s="16946"/>
      <c r="FG329" s="16947"/>
      <c r="FH329" s="5743"/>
      <c r="FI329" s="22932"/>
      <c r="FJ329" s="22933"/>
      <c r="FK329" s="23677"/>
      <c r="FL329" s="23678"/>
      <c r="FM329" s="22934"/>
      <c r="FN329" s="23679"/>
      <c r="FO329" s="23680"/>
      <c r="FP329" s="22935"/>
      <c r="FQ329" s="22936"/>
      <c r="FR329" s="22937"/>
      <c r="FS329" s="23681"/>
      <c r="FT329" s="4672"/>
      <c r="FU329" s="1184" t="s">
        <v>713</v>
      </c>
      <c r="FV329" s="1568"/>
      <c r="FW329" s="1550"/>
      <c r="FX329" s="1550" t="str">
        <f t="shared" si="5"/>
        <v>Добавить значение признака дифференциации</v>
      </c>
      <c r="FY329" s="1550"/>
      <c r="FZ329" s="1550"/>
      <c r="GA329" s="1561">
        <v>0</v>
      </c>
    </row>
    <row r="330" spans="1:183" s="1747" customFormat="1" ht="21" customHeight="1">
      <c r="A330" s="1289"/>
      <c r="B330" s="1289"/>
      <c r="C330" s="1289"/>
      <c r="D330" s="1289"/>
      <c r="E330" s="24089"/>
      <c r="F330" s="24089" t="s">
        <v>147</v>
      </c>
      <c r="G330" s="24089"/>
      <c r="H330" s="24089"/>
      <c r="I330" s="24090"/>
      <c r="J330" s="1289"/>
      <c r="K330" s="1289"/>
      <c r="L330" s="1295"/>
      <c r="M330" s="1674"/>
      <c r="N330" s="1674"/>
      <c r="O330" s="1674"/>
      <c r="P330" s="24092"/>
      <c r="Q330" s="1978"/>
      <c r="R330" s="292"/>
      <c r="S330" s="4673"/>
      <c r="T330" s="4674" t="s">
        <v>641</v>
      </c>
      <c r="U330" s="4675"/>
      <c r="V330" s="4676"/>
      <c r="W330" s="4677"/>
      <c r="X330" s="4678"/>
      <c r="Y330" s="4679"/>
      <c r="Z330" s="4680"/>
      <c r="AA330" s="4681"/>
      <c r="AB330" s="4682"/>
      <c r="AC330" s="4683"/>
      <c r="AD330" s="4684"/>
      <c r="AE330" s="4685"/>
      <c r="AF330" s="4686"/>
      <c r="AG330" s="4687"/>
      <c r="AH330" s="4688"/>
      <c r="AI330" s="4689"/>
      <c r="AJ330" s="4690"/>
      <c r="AK330" s="4691"/>
      <c r="AL330" s="4692"/>
      <c r="AM330" s="4693"/>
      <c r="AN330" s="4694"/>
      <c r="AO330" s="4695"/>
      <c r="AP330" s="4696"/>
      <c r="AQ330" s="4697"/>
      <c r="AR330" s="7620"/>
      <c r="AS330" s="7621"/>
      <c r="AT330" s="7622"/>
      <c r="AU330" s="7623"/>
      <c r="AV330" s="7624"/>
      <c r="AW330" s="7625"/>
      <c r="AX330" s="7626"/>
      <c r="AY330" s="7627"/>
      <c r="AZ330" s="7628"/>
      <c r="BA330" s="7629"/>
      <c r="BB330" s="7630"/>
      <c r="BC330" s="7631"/>
      <c r="BD330" s="7632"/>
      <c r="BE330" s="16948"/>
      <c r="BF330" s="16949"/>
      <c r="BG330" s="21908"/>
      <c r="BH330" s="16950"/>
      <c r="BI330" s="16951"/>
      <c r="BJ330" s="16952"/>
      <c r="BK330" s="16953"/>
      <c r="BL330" s="16954"/>
      <c r="BM330" s="16955"/>
      <c r="BN330" s="4698"/>
      <c r="BO330" s="4699"/>
      <c r="BP330" s="16956"/>
      <c r="BQ330" s="16957"/>
      <c r="BR330" s="4700"/>
      <c r="BS330" s="16958"/>
      <c r="BT330" s="16959"/>
      <c r="BU330" s="16960"/>
      <c r="BV330" s="16961"/>
      <c r="BW330" s="16962"/>
      <c r="BX330" s="16963"/>
      <c r="BY330" s="16964"/>
      <c r="BZ330" s="16965"/>
      <c r="CA330" s="16966"/>
      <c r="CB330" s="16967"/>
      <c r="CC330" s="16968"/>
      <c r="CD330" s="16969"/>
      <c r="CE330" s="16970"/>
      <c r="CF330" s="16971"/>
      <c r="CG330" s="16972"/>
      <c r="CH330" s="16973"/>
      <c r="CI330" s="16974"/>
      <c r="CJ330" s="16975"/>
      <c r="CK330" s="16976"/>
      <c r="CL330" s="16977"/>
      <c r="CM330" s="16978"/>
      <c r="CN330" s="16979"/>
      <c r="CO330" s="16980"/>
      <c r="CP330" s="16981"/>
      <c r="CQ330" s="16982"/>
      <c r="CR330" s="16983"/>
      <c r="CS330" s="16984"/>
      <c r="CT330" s="16985"/>
      <c r="CU330" s="16986"/>
      <c r="CV330" s="16987"/>
      <c r="CW330" s="16988"/>
      <c r="CX330" s="16989"/>
      <c r="CY330" s="16990"/>
      <c r="CZ330" s="16991"/>
      <c r="DA330" s="16992"/>
      <c r="DB330" s="16993"/>
      <c r="DC330" s="16994"/>
      <c r="DD330" s="16995"/>
      <c r="DE330" s="16996"/>
      <c r="DF330" s="16997"/>
      <c r="DG330" s="16998"/>
      <c r="DH330" s="16999"/>
      <c r="DI330" s="17000"/>
      <c r="DJ330" s="17001"/>
      <c r="DK330" s="17002"/>
      <c r="DL330" s="17003"/>
      <c r="DM330" s="17004"/>
      <c r="DN330" s="17005"/>
      <c r="DO330" s="17006"/>
      <c r="DP330" s="17007"/>
      <c r="DQ330" s="17008"/>
      <c r="DR330" s="17009"/>
      <c r="DS330" s="17010"/>
      <c r="DT330" s="17011"/>
      <c r="DU330" s="17012"/>
      <c r="DV330" s="17013"/>
      <c r="DW330" s="17014"/>
      <c r="DX330" s="17015"/>
      <c r="DY330" s="17016"/>
      <c r="DZ330" s="17017"/>
      <c r="EA330" s="17018"/>
      <c r="EB330" s="17019"/>
      <c r="EC330" s="17020"/>
      <c r="ED330" s="17021"/>
      <c r="EE330" s="17022"/>
      <c r="EF330" s="17023"/>
      <c r="EG330" s="17024"/>
      <c r="EH330" s="17025"/>
      <c r="EI330" s="17026"/>
      <c r="EJ330" s="17027"/>
      <c r="EK330" s="17028"/>
      <c r="EL330" s="17029"/>
      <c r="EM330" s="21680"/>
      <c r="EN330" s="21681"/>
      <c r="EO330" s="17030"/>
      <c r="EP330" s="17031"/>
      <c r="EQ330" s="21682"/>
      <c r="ER330" s="17032"/>
      <c r="ES330" s="17033"/>
      <c r="ET330" s="17034"/>
      <c r="EU330" s="17035"/>
      <c r="EV330" s="17036"/>
      <c r="EW330" s="17037"/>
      <c r="EX330" s="4701"/>
      <c r="EY330" s="4702"/>
      <c r="EZ330" s="17038"/>
      <c r="FA330" s="17039"/>
      <c r="FB330" s="4703"/>
      <c r="FC330" s="17040"/>
      <c r="FD330" s="17041"/>
      <c r="FE330" s="17042"/>
      <c r="FF330" s="17043"/>
      <c r="FG330" s="17044"/>
      <c r="FH330" s="5744"/>
      <c r="FI330" s="22938"/>
      <c r="FJ330" s="22939"/>
      <c r="FK330" s="23682"/>
      <c r="FL330" s="23683"/>
      <c r="FM330" s="22940"/>
      <c r="FN330" s="23684"/>
      <c r="FO330" s="23685"/>
      <c r="FP330" s="22941"/>
      <c r="FQ330" s="22942"/>
      <c r="FR330" s="22943"/>
      <c r="FS330" s="23686"/>
      <c r="FT330" s="4704"/>
      <c r="FU330" s="4705"/>
      <c r="FV330" s="1568"/>
      <c r="FW330" s="1550"/>
      <c r="FX330" s="1550" t="str">
        <f t="shared" si="5"/>
        <v>Добавить группу потребителей</v>
      </c>
      <c r="FY330" s="1550"/>
      <c r="FZ330" s="1550"/>
      <c r="GA330" s="1561">
        <v>0</v>
      </c>
    </row>
    <row r="331" spans="1:183" s="1747" customFormat="1" ht="21" customHeight="1">
      <c r="A331" s="1289"/>
      <c r="B331" s="1289"/>
      <c r="C331" s="1289"/>
      <c r="D331" s="1289"/>
      <c r="E331" s="24089"/>
      <c r="F331" s="24089" t="s">
        <v>147</v>
      </c>
      <c r="G331" s="24089"/>
      <c r="H331" s="24088"/>
      <c r="I331" s="1289"/>
      <c r="J331" s="1289"/>
      <c r="K331" s="1289"/>
      <c r="L331" s="1295"/>
      <c r="M331" s="1291"/>
      <c r="N331" s="1291"/>
      <c r="O331" s="1292"/>
      <c r="P331" s="1720"/>
      <c r="Q331" s="311"/>
      <c r="R331" s="291"/>
      <c r="S331" s="4706"/>
      <c r="T331" s="4707" t="s">
        <v>714</v>
      </c>
      <c r="U331" s="4708"/>
      <c r="V331" s="4709"/>
      <c r="W331" s="4710"/>
      <c r="X331" s="4711"/>
      <c r="Y331" s="4712"/>
      <c r="Z331" s="4713"/>
      <c r="AA331" s="4714"/>
      <c r="AB331" s="4715"/>
      <c r="AC331" s="4716"/>
      <c r="AD331" s="4717"/>
      <c r="AE331" s="4718"/>
      <c r="AF331" s="4719"/>
      <c r="AG331" s="4720"/>
      <c r="AH331" s="4721"/>
      <c r="AI331" s="4722"/>
      <c r="AJ331" s="4723"/>
      <c r="AK331" s="4724"/>
      <c r="AL331" s="4725"/>
      <c r="AM331" s="4726"/>
      <c r="AN331" s="4727"/>
      <c r="AO331" s="4728"/>
      <c r="AP331" s="4729"/>
      <c r="AQ331" s="4730"/>
      <c r="AR331" s="7633"/>
      <c r="AS331" s="7634"/>
      <c r="AT331" s="7635"/>
      <c r="AU331" s="7636"/>
      <c r="AV331" s="7637"/>
      <c r="AW331" s="7638"/>
      <c r="AX331" s="7639"/>
      <c r="AY331" s="7640"/>
      <c r="AZ331" s="7641"/>
      <c r="BA331" s="7642"/>
      <c r="BB331" s="7643"/>
      <c r="BC331" s="7644"/>
      <c r="BD331" s="7645"/>
      <c r="BE331" s="17045"/>
      <c r="BF331" s="17046"/>
      <c r="BG331" s="21909"/>
      <c r="BH331" s="17047"/>
      <c r="BI331" s="17048"/>
      <c r="BJ331" s="17049"/>
      <c r="BK331" s="17050"/>
      <c r="BL331" s="17051"/>
      <c r="BM331" s="17052"/>
      <c r="BN331" s="4731"/>
      <c r="BO331" s="4732"/>
      <c r="BP331" s="17053"/>
      <c r="BQ331" s="17054"/>
      <c r="BR331" s="4733"/>
      <c r="BS331" s="17055"/>
      <c r="BT331" s="17056"/>
      <c r="BU331" s="17057"/>
      <c r="BV331" s="17058"/>
      <c r="BW331" s="17059"/>
      <c r="BX331" s="17060"/>
      <c r="BY331" s="17061"/>
      <c r="BZ331" s="17062"/>
      <c r="CA331" s="17063"/>
      <c r="CB331" s="17064"/>
      <c r="CC331" s="17065"/>
      <c r="CD331" s="17066"/>
      <c r="CE331" s="17067"/>
      <c r="CF331" s="17068"/>
      <c r="CG331" s="17069"/>
      <c r="CH331" s="17070"/>
      <c r="CI331" s="17071"/>
      <c r="CJ331" s="17072"/>
      <c r="CK331" s="17073"/>
      <c r="CL331" s="17074"/>
      <c r="CM331" s="17075"/>
      <c r="CN331" s="17076"/>
      <c r="CO331" s="17077"/>
      <c r="CP331" s="17078"/>
      <c r="CQ331" s="17079"/>
      <c r="CR331" s="17080"/>
      <c r="CS331" s="17081"/>
      <c r="CT331" s="17082"/>
      <c r="CU331" s="17083"/>
      <c r="CV331" s="17084"/>
      <c r="CW331" s="17085"/>
      <c r="CX331" s="17086"/>
      <c r="CY331" s="17087"/>
      <c r="CZ331" s="17088"/>
      <c r="DA331" s="17089"/>
      <c r="DB331" s="17090"/>
      <c r="DC331" s="17091"/>
      <c r="DD331" s="17092"/>
      <c r="DE331" s="17093"/>
      <c r="DF331" s="17094"/>
      <c r="DG331" s="17095"/>
      <c r="DH331" s="17096"/>
      <c r="DI331" s="17097"/>
      <c r="DJ331" s="17098"/>
      <c r="DK331" s="17099"/>
      <c r="DL331" s="17100"/>
      <c r="DM331" s="17101"/>
      <c r="DN331" s="17102"/>
      <c r="DO331" s="17103"/>
      <c r="DP331" s="17104"/>
      <c r="DQ331" s="17105"/>
      <c r="DR331" s="17106"/>
      <c r="DS331" s="17107"/>
      <c r="DT331" s="17108"/>
      <c r="DU331" s="17109"/>
      <c r="DV331" s="17110"/>
      <c r="DW331" s="17111"/>
      <c r="DX331" s="17112"/>
      <c r="DY331" s="17113"/>
      <c r="DZ331" s="17114"/>
      <c r="EA331" s="17115"/>
      <c r="EB331" s="17116"/>
      <c r="EC331" s="17117"/>
      <c r="ED331" s="17118"/>
      <c r="EE331" s="17119"/>
      <c r="EF331" s="17120"/>
      <c r="EG331" s="17121"/>
      <c r="EH331" s="17122"/>
      <c r="EI331" s="17123"/>
      <c r="EJ331" s="17124"/>
      <c r="EK331" s="17125"/>
      <c r="EL331" s="17126"/>
      <c r="EM331" s="21683"/>
      <c r="EN331" s="21684"/>
      <c r="EO331" s="17127"/>
      <c r="EP331" s="17128"/>
      <c r="EQ331" s="21685"/>
      <c r="ER331" s="17129"/>
      <c r="ES331" s="17130"/>
      <c r="ET331" s="17131"/>
      <c r="EU331" s="17132"/>
      <c r="EV331" s="17133"/>
      <c r="EW331" s="17134"/>
      <c r="EX331" s="4734"/>
      <c r="EY331" s="4735"/>
      <c r="EZ331" s="17135"/>
      <c r="FA331" s="17136"/>
      <c r="FB331" s="4736"/>
      <c r="FC331" s="17137"/>
      <c r="FD331" s="17138"/>
      <c r="FE331" s="17139"/>
      <c r="FF331" s="17140"/>
      <c r="FG331" s="17141"/>
      <c r="FH331" s="5745"/>
      <c r="FI331" s="22944"/>
      <c r="FJ331" s="22945"/>
      <c r="FK331" s="23687"/>
      <c r="FL331" s="23688"/>
      <c r="FM331" s="22946"/>
      <c r="FN331" s="23689"/>
      <c r="FO331" s="23690"/>
      <c r="FP331" s="22947"/>
      <c r="FQ331" s="22948"/>
      <c r="FR331" s="22949"/>
      <c r="FS331" s="23691"/>
      <c r="FT331" s="4737"/>
      <c r="FU331" s="4738"/>
      <c r="FV331" s="1568"/>
      <c r="FW331" s="1550"/>
      <c r="FX331" s="1550" t="str">
        <f t="shared" si="5"/>
        <v>Добавить наименование признака дифференциации</v>
      </c>
      <c r="FY331" s="1550"/>
      <c r="FZ331" s="1550"/>
      <c r="GA331" s="1561">
        <v>0</v>
      </c>
    </row>
    <row r="332" spans="1:183" s="558" customFormat="1" ht="14.25" customHeight="1">
      <c r="A332" s="1269"/>
      <c r="B332" s="1269"/>
      <c r="C332" s="1269"/>
      <c r="D332" s="1269"/>
      <c r="E332" s="24089"/>
      <c r="F332" s="24088" t="s">
        <v>147</v>
      </c>
      <c r="G332" s="1269"/>
      <c r="H332" s="1269"/>
      <c r="I332" s="1269"/>
      <c r="J332" s="1269"/>
      <c r="K332" s="1269"/>
      <c r="L332" s="1471"/>
      <c r="M332" s="1247"/>
      <c r="N332" s="1247"/>
      <c r="O332" s="1568"/>
      <c r="P332" s="1242"/>
      <c r="Q332" s="1270"/>
      <c r="R332" s="1242"/>
      <c r="S332" s="1248"/>
      <c r="T332" s="1251" t="s">
        <v>370</v>
      </c>
      <c r="U332" s="1250"/>
      <c r="V332" s="1250"/>
      <c r="W332" s="1250"/>
      <c r="X332" s="1250"/>
      <c r="Y332" s="1250"/>
      <c r="Z332" s="1250"/>
      <c r="AA332" s="1250"/>
      <c r="AB332" s="1250"/>
      <c r="AC332" s="1250"/>
      <c r="AD332" s="1250"/>
      <c r="AE332" s="1250"/>
      <c r="AF332" s="1250"/>
      <c r="AG332" s="1250"/>
      <c r="AH332" s="1250"/>
      <c r="AI332" s="1250"/>
      <c r="AJ332" s="1250"/>
      <c r="AK332" s="1250"/>
      <c r="AL332" s="1250"/>
      <c r="AM332" s="1250"/>
      <c r="AN332" s="1250"/>
      <c r="AO332" s="1250"/>
      <c r="AP332" s="1250"/>
      <c r="AQ332" s="1250"/>
      <c r="AR332" s="1250"/>
      <c r="AS332" s="1250"/>
      <c r="AT332" s="1250"/>
      <c r="AU332" s="1250"/>
      <c r="AV332" s="1250"/>
      <c r="AW332" s="1250"/>
      <c r="AX332" s="1250"/>
      <c r="AY332" s="1250"/>
      <c r="AZ332" s="1250"/>
      <c r="BA332" s="1250"/>
      <c r="BB332" s="1250"/>
      <c r="BC332" s="1250"/>
      <c r="BD332" s="1250"/>
      <c r="BE332" s="1250"/>
      <c r="BF332" s="1250"/>
      <c r="BG332" s="1250"/>
      <c r="BH332" s="1250"/>
      <c r="BI332" s="1250"/>
      <c r="BJ332" s="1250"/>
      <c r="BK332" s="1250"/>
      <c r="BL332" s="1250"/>
      <c r="BM332" s="1250"/>
      <c r="BN332" s="1250"/>
      <c r="BO332" s="1250"/>
      <c r="BP332" s="1250"/>
      <c r="BQ332" s="1250"/>
      <c r="BR332" s="1250"/>
      <c r="BS332" s="1250"/>
      <c r="BT332" s="1250"/>
      <c r="BU332" s="1250"/>
      <c r="BV332" s="1250"/>
      <c r="BW332" s="1250"/>
      <c r="BX332" s="1250"/>
      <c r="BY332" s="1250"/>
      <c r="BZ332" s="1250"/>
      <c r="CA332" s="1250"/>
      <c r="CB332" s="1250"/>
      <c r="CC332" s="1250"/>
      <c r="CD332" s="1250"/>
      <c r="CE332" s="1250"/>
      <c r="CF332" s="1250"/>
      <c r="CG332" s="1250"/>
      <c r="CH332" s="1250"/>
      <c r="CI332" s="1250"/>
      <c r="CJ332" s="1250"/>
      <c r="CK332" s="1250"/>
      <c r="CL332" s="1250"/>
      <c r="CM332" s="1250"/>
      <c r="CN332" s="1250"/>
      <c r="CO332" s="1250"/>
      <c r="CP332" s="1250"/>
      <c r="CQ332" s="1250"/>
      <c r="CR332" s="1250"/>
      <c r="CS332" s="1250"/>
      <c r="CT332" s="1250"/>
      <c r="CU332" s="1250"/>
      <c r="CV332" s="1250"/>
      <c r="CW332" s="1250"/>
      <c r="CX332" s="1250"/>
      <c r="CY332" s="1250"/>
      <c r="CZ332" s="1250"/>
      <c r="DA332" s="1250"/>
      <c r="DB332" s="1250"/>
      <c r="DC332" s="1250"/>
      <c r="DD332" s="1250"/>
      <c r="DE332" s="1250"/>
      <c r="DF332" s="1250"/>
      <c r="DG332" s="1250"/>
      <c r="DH332" s="1250"/>
      <c r="DI332" s="1250"/>
      <c r="DJ332" s="1250"/>
      <c r="DK332" s="1250"/>
      <c r="DL332" s="1250"/>
      <c r="DM332" s="1250"/>
      <c r="DN332" s="1250"/>
      <c r="DO332" s="1250"/>
      <c r="DP332" s="1250"/>
      <c r="DQ332" s="1250"/>
      <c r="DR332" s="1250"/>
      <c r="DS332" s="1250"/>
      <c r="DT332" s="1250"/>
      <c r="DU332" s="1250"/>
      <c r="DV332" s="1250"/>
      <c r="DW332" s="1250"/>
      <c r="DX332" s="1250"/>
      <c r="DY332" s="1250"/>
      <c r="DZ332" s="1250"/>
      <c r="EA332" s="1250"/>
      <c r="EB332" s="1250"/>
      <c r="EC332" s="1250"/>
      <c r="ED332" s="1250"/>
      <c r="EE332" s="1250"/>
      <c r="EF332" s="1250"/>
      <c r="EG332" s="1250"/>
      <c r="EH332" s="1250"/>
      <c r="EI332" s="1250"/>
      <c r="EJ332" s="1250"/>
      <c r="EK332" s="1250"/>
      <c r="EL332" s="1250"/>
      <c r="EM332" s="1250"/>
      <c r="EN332" s="1250"/>
      <c r="EO332" s="1250"/>
      <c r="EP332" s="1250"/>
      <c r="EQ332" s="1250"/>
      <c r="ER332" s="1250"/>
      <c r="ES332" s="1250"/>
      <c r="ET332" s="1250"/>
      <c r="EU332" s="1250"/>
      <c r="EV332" s="1250"/>
      <c r="EW332" s="1250"/>
      <c r="EX332" s="1250"/>
      <c r="EY332" s="1250"/>
      <c r="EZ332" s="1250"/>
      <c r="FA332" s="1250"/>
      <c r="FB332" s="1250"/>
      <c r="FC332" s="1250"/>
      <c r="FD332" s="1250"/>
      <c r="FE332" s="1250"/>
      <c r="FF332" s="1250"/>
      <c r="FG332" s="1250"/>
      <c r="FH332" s="1250"/>
      <c r="FI332" s="1250"/>
      <c r="FJ332" s="1250"/>
      <c r="FK332" s="1250"/>
      <c r="FL332" s="1250"/>
      <c r="FM332" s="1250"/>
      <c r="FN332" s="1250"/>
      <c r="FO332" s="1250"/>
      <c r="FP332" s="1250"/>
      <c r="FQ332" s="1250"/>
      <c r="FR332" s="1250"/>
      <c r="FS332" s="1250"/>
      <c r="FT332" s="1250"/>
      <c r="FU332" s="1250"/>
      <c r="FV332" s="1568"/>
      <c r="FW332" s="1550"/>
      <c r="FX332" s="1550" t="str">
        <f t="shared" si="5"/>
        <v>Добавить централизованную систему для дифференциации</v>
      </c>
      <c r="FY332" s="1550"/>
      <c r="FZ332" s="1550"/>
      <c r="GA332" s="1568">
        <v>0</v>
      </c>
    </row>
    <row r="333" spans="1:183" s="1747" customFormat="1" ht="23.25" customHeight="1">
      <c r="A333" s="1289"/>
      <c r="B333" s="1289" t="s">
        <v>435</v>
      </c>
      <c r="C333" s="1289"/>
      <c r="D333" s="1289"/>
      <c r="E333" s="24089"/>
      <c r="F333" s="24088" t="s">
        <v>154</v>
      </c>
      <c r="G333" s="1289"/>
      <c r="H333" s="1289"/>
      <c r="I333" s="1289"/>
      <c r="J333" s="1289"/>
      <c r="K333" s="1289"/>
      <c r="L333" s="1295"/>
      <c r="M333" s="1291"/>
      <c r="N333" s="1291"/>
      <c r="O333" s="1291"/>
      <c r="P333" s="1971"/>
      <c r="Q333" s="288"/>
      <c r="R333" s="289"/>
      <c r="S333" s="1976" t="str">
        <f>INDEX(PT_DIFFERENTIATION_NUM_TER,MATCH(B333,PT_DIFFERENTIATION_TER_ID,0))</f>
        <v>1.14</v>
      </c>
      <c r="T333" s="1448" t="s">
        <v>626</v>
      </c>
      <c r="U333" s="236"/>
      <c r="V333" s="24082"/>
      <c r="W333" s="24083"/>
      <c r="X333" s="24083"/>
      <c r="Y333" s="24083"/>
      <c r="Z333" s="24083"/>
      <c r="AA333" s="24083"/>
      <c r="AB333" s="24083"/>
      <c r="AC333" s="24083"/>
      <c r="AD333" s="24083"/>
      <c r="AE333" s="24083"/>
      <c r="AF333" s="24084"/>
      <c r="AG333" s="24082" t="str">
        <f>INDEX(PT_DIFFERENTIATION_TER,MATCH(B333,PT_DIFFERENTIATION_TER_ID,0))</f>
        <v>Территория 14</v>
      </c>
      <c r="AH333" s="24083"/>
      <c r="AI333" s="24083"/>
      <c r="AJ333" s="24083"/>
      <c r="AK333" s="24083"/>
      <c r="AL333" s="24083"/>
      <c r="AM333" s="24083"/>
      <c r="AN333" s="24083"/>
      <c r="AO333" s="24083"/>
      <c r="AP333" s="24083"/>
      <c r="AQ333" s="24083"/>
      <c r="AR333" s="24173"/>
      <c r="AS333" s="24174"/>
      <c r="AT333" s="24174"/>
      <c r="AU333" s="24174"/>
      <c r="AV333" s="24174"/>
      <c r="AW333" s="24174"/>
      <c r="AX333" s="24174"/>
      <c r="AY333" s="24174"/>
      <c r="AZ333" s="24174"/>
      <c r="BA333" s="24174"/>
      <c r="BB333" s="24175"/>
      <c r="BC333" s="24173"/>
      <c r="BD333" s="24174"/>
      <c r="BE333" s="24174"/>
      <c r="BF333" s="24174"/>
      <c r="BG333" s="24174"/>
      <c r="BH333" s="24174"/>
      <c r="BI333" s="24174"/>
      <c r="BJ333" s="24174"/>
      <c r="BK333" s="24174"/>
      <c r="BL333" s="24174"/>
      <c r="BM333" s="24175"/>
      <c r="BN333" s="24082"/>
      <c r="BO333" s="24083"/>
      <c r="BP333" s="24174"/>
      <c r="BQ333" s="24174"/>
      <c r="BR333" s="24083"/>
      <c r="BS333" s="24174"/>
      <c r="BT333" s="24174"/>
      <c r="BU333" s="24174"/>
      <c r="BV333" s="24174"/>
      <c r="BW333" s="24174"/>
      <c r="BX333" s="24175"/>
      <c r="BY333" s="24173"/>
      <c r="BZ333" s="24174"/>
      <c r="CA333" s="24174"/>
      <c r="CB333" s="24174"/>
      <c r="CC333" s="24174"/>
      <c r="CD333" s="24174"/>
      <c r="CE333" s="24174"/>
      <c r="CF333" s="24174"/>
      <c r="CG333" s="24174"/>
      <c r="CH333" s="24174"/>
      <c r="CI333" s="24175"/>
      <c r="CJ333" s="24173"/>
      <c r="CK333" s="24174"/>
      <c r="CL333" s="24174"/>
      <c r="CM333" s="24174"/>
      <c r="CN333" s="24174"/>
      <c r="CO333" s="24174"/>
      <c r="CP333" s="24174"/>
      <c r="CQ333" s="24174"/>
      <c r="CR333" s="24174"/>
      <c r="CS333" s="24174"/>
      <c r="CT333" s="24175"/>
      <c r="CU333" s="24173"/>
      <c r="CV333" s="24174"/>
      <c r="CW333" s="24174"/>
      <c r="CX333" s="24174"/>
      <c r="CY333" s="24174"/>
      <c r="CZ333" s="24174"/>
      <c r="DA333" s="24174"/>
      <c r="DB333" s="24174"/>
      <c r="DC333" s="24174"/>
      <c r="DD333" s="24174"/>
      <c r="DE333" s="24175"/>
      <c r="DF333" s="24173"/>
      <c r="DG333" s="24174"/>
      <c r="DH333" s="24174"/>
      <c r="DI333" s="24174"/>
      <c r="DJ333" s="24174"/>
      <c r="DK333" s="24174"/>
      <c r="DL333" s="24174"/>
      <c r="DM333" s="24174"/>
      <c r="DN333" s="24174"/>
      <c r="DO333" s="24174"/>
      <c r="DP333" s="24175"/>
      <c r="DQ333" s="24173"/>
      <c r="DR333" s="24174"/>
      <c r="DS333" s="24174"/>
      <c r="DT333" s="24174"/>
      <c r="DU333" s="24174"/>
      <c r="DV333" s="24174"/>
      <c r="DW333" s="24174"/>
      <c r="DX333" s="24174"/>
      <c r="DY333" s="24174"/>
      <c r="DZ333" s="24174"/>
      <c r="EA333" s="24175"/>
      <c r="EB333" s="24173"/>
      <c r="EC333" s="24174"/>
      <c r="ED333" s="24174"/>
      <c r="EE333" s="24174"/>
      <c r="EF333" s="24174"/>
      <c r="EG333" s="24174"/>
      <c r="EH333" s="24174"/>
      <c r="EI333" s="24174"/>
      <c r="EJ333" s="24174"/>
      <c r="EK333" s="24174"/>
      <c r="EL333" s="24175"/>
      <c r="EM333" s="24173"/>
      <c r="EN333" s="24174"/>
      <c r="EO333" s="24174"/>
      <c r="EP333" s="24174"/>
      <c r="EQ333" s="24174"/>
      <c r="ER333" s="24174"/>
      <c r="ES333" s="24174"/>
      <c r="ET333" s="24174"/>
      <c r="EU333" s="24174"/>
      <c r="EV333" s="24174"/>
      <c r="EW333" s="24175"/>
      <c r="EX333" s="24082"/>
      <c r="EY333" s="24083"/>
      <c r="EZ333" s="24174"/>
      <c r="FA333" s="24174"/>
      <c r="FB333" s="24083"/>
      <c r="FC333" s="24174"/>
      <c r="FD333" s="24174"/>
      <c r="FE333" s="24174"/>
      <c r="FF333" s="24174"/>
      <c r="FG333" s="24174"/>
      <c r="FH333" s="24175"/>
      <c r="FI333" s="24082"/>
      <c r="FJ333" s="24083"/>
      <c r="FK333" s="24174"/>
      <c r="FL333" s="24174"/>
      <c r="FM333" s="24083"/>
      <c r="FN333" s="24174"/>
      <c r="FO333" s="24174"/>
      <c r="FP333" s="24083"/>
      <c r="FQ333" s="24083"/>
      <c r="FR333" s="24083"/>
      <c r="FS333" s="24175"/>
      <c r="FT333" s="24084"/>
      <c r="FU333" s="1184" t="s">
        <v>627</v>
      </c>
      <c r="FV333" s="1568"/>
      <c r="FW333" s="1550"/>
      <c r="FX333" s="1550" t="str">
        <f t="shared" si="5"/>
        <v>Территория действия тарифа</v>
      </c>
      <c r="FY333" s="1550"/>
      <c r="FZ333" s="1550"/>
      <c r="GA333" s="1561">
        <v>0</v>
      </c>
    </row>
    <row r="334" spans="1:183" s="1747" customFormat="1" ht="23.25" customHeight="1">
      <c r="A334" s="1289"/>
      <c r="B334" s="1289"/>
      <c r="C334" s="1289" t="s">
        <v>436</v>
      </c>
      <c r="D334" s="1289"/>
      <c r="E334" s="24089"/>
      <c r="F334" s="24089" t="s">
        <v>101</v>
      </c>
      <c r="G334" s="24088">
        <v>1</v>
      </c>
      <c r="H334" s="1289"/>
      <c r="I334" s="1289"/>
      <c r="J334" s="1289"/>
      <c r="K334" s="1289"/>
      <c r="L334" s="1295"/>
      <c r="M334" s="1291"/>
      <c r="N334" s="1291"/>
      <c r="O334" s="1291"/>
      <c r="P334" s="290"/>
      <c r="Q334" s="288"/>
      <c r="R334" s="289"/>
      <c r="S334" s="1976" t="str">
        <f>INDEX(PT_DIFFERENTIATION_NUM_CS,MATCH(C334,PT_DIFFERENTIATION_CS_ID,0))</f>
        <v>1.14.1</v>
      </c>
      <c r="T334" s="245" t="s">
        <v>756</v>
      </c>
      <c r="U334" s="236"/>
      <c r="V334" s="24082"/>
      <c r="W334" s="24083"/>
      <c r="X334" s="24083"/>
      <c r="Y334" s="24083"/>
      <c r="Z334" s="24083"/>
      <c r="AA334" s="24083"/>
      <c r="AB334" s="24083"/>
      <c r="AC334" s="24083"/>
      <c r="AD334" s="24083"/>
      <c r="AE334" s="24083"/>
      <c r="AF334" s="24084"/>
      <c r="AG334" s="24082" t="str">
        <f>INDEX(PT_DIFFERENTIATION_CS,MATCH(C334,PT_DIFFERENTIATION_CS_ID,0))</f>
        <v>г. Сычевка Сычевского округа Смоленской области</v>
      </c>
      <c r="AH334" s="24083"/>
      <c r="AI334" s="24083"/>
      <c r="AJ334" s="24083"/>
      <c r="AK334" s="24083"/>
      <c r="AL334" s="24083"/>
      <c r="AM334" s="24083"/>
      <c r="AN334" s="24083"/>
      <c r="AO334" s="24083"/>
      <c r="AP334" s="24083"/>
      <c r="AQ334" s="24083"/>
      <c r="AR334" s="24173"/>
      <c r="AS334" s="24174"/>
      <c r="AT334" s="24174"/>
      <c r="AU334" s="24174"/>
      <c r="AV334" s="24174"/>
      <c r="AW334" s="24174"/>
      <c r="AX334" s="24174"/>
      <c r="AY334" s="24174"/>
      <c r="AZ334" s="24174"/>
      <c r="BA334" s="24174"/>
      <c r="BB334" s="24175"/>
      <c r="BC334" s="24173"/>
      <c r="BD334" s="24174"/>
      <c r="BE334" s="24174"/>
      <c r="BF334" s="24174"/>
      <c r="BG334" s="24174"/>
      <c r="BH334" s="24174"/>
      <c r="BI334" s="24174"/>
      <c r="BJ334" s="24174"/>
      <c r="BK334" s="24174"/>
      <c r="BL334" s="24174"/>
      <c r="BM334" s="24175"/>
      <c r="BN334" s="24082"/>
      <c r="BO334" s="24083"/>
      <c r="BP334" s="24174"/>
      <c r="BQ334" s="24174"/>
      <c r="BR334" s="24083"/>
      <c r="BS334" s="24174"/>
      <c r="BT334" s="24174"/>
      <c r="BU334" s="24174"/>
      <c r="BV334" s="24174"/>
      <c r="BW334" s="24174"/>
      <c r="BX334" s="24175"/>
      <c r="BY334" s="24173"/>
      <c r="BZ334" s="24174"/>
      <c r="CA334" s="24174"/>
      <c r="CB334" s="24174"/>
      <c r="CC334" s="24174"/>
      <c r="CD334" s="24174"/>
      <c r="CE334" s="24174"/>
      <c r="CF334" s="24174"/>
      <c r="CG334" s="24174"/>
      <c r="CH334" s="24174"/>
      <c r="CI334" s="24175"/>
      <c r="CJ334" s="24173"/>
      <c r="CK334" s="24174"/>
      <c r="CL334" s="24174"/>
      <c r="CM334" s="24174"/>
      <c r="CN334" s="24174"/>
      <c r="CO334" s="24174"/>
      <c r="CP334" s="24174"/>
      <c r="CQ334" s="24174"/>
      <c r="CR334" s="24174"/>
      <c r="CS334" s="24174"/>
      <c r="CT334" s="24175"/>
      <c r="CU334" s="24173"/>
      <c r="CV334" s="24174"/>
      <c r="CW334" s="24174"/>
      <c r="CX334" s="24174"/>
      <c r="CY334" s="24174"/>
      <c r="CZ334" s="24174"/>
      <c r="DA334" s="24174"/>
      <c r="DB334" s="24174"/>
      <c r="DC334" s="24174"/>
      <c r="DD334" s="24174"/>
      <c r="DE334" s="24175"/>
      <c r="DF334" s="24173"/>
      <c r="DG334" s="24174"/>
      <c r="DH334" s="24174"/>
      <c r="DI334" s="24174"/>
      <c r="DJ334" s="24174"/>
      <c r="DK334" s="24174"/>
      <c r="DL334" s="24174"/>
      <c r="DM334" s="24174"/>
      <c r="DN334" s="24174"/>
      <c r="DO334" s="24174"/>
      <c r="DP334" s="24175"/>
      <c r="DQ334" s="24173"/>
      <c r="DR334" s="24174"/>
      <c r="DS334" s="24174"/>
      <c r="DT334" s="24174"/>
      <c r="DU334" s="24174"/>
      <c r="DV334" s="24174"/>
      <c r="DW334" s="24174"/>
      <c r="DX334" s="24174"/>
      <c r="DY334" s="24174"/>
      <c r="DZ334" s="24174"/>
      <c r="EA334" s="24175"/>
      <c r="EB334" s="24173"/>
      <c r="EC334" s="24174"/>
      <c r="ED334" s="24174"/>
      <c r="EE334" s="24174"/>
      <c r="EF334" s="24174"/>
      <c r="EG334" s="24174"/>
      <c r="EH334" s="24174"/>
      <c r="EI334" s="24174"/>
      <c r="EJ334" s="24174"/>
      <c r="EK334" s="24174"/>
      <c r="EL334" s="24175"/>
      <c r="EM334" s="24173"/>
      <c r="EN334" s="24174"/>
      <c r="EO334" s="24174"/>
      <c r="EP334" s="24174"/>
      <c r="EQ334" s="24174"/>
      <c r="ER334" s="24174"/>
      <c r="ES334" s="24174"/>
      <c r="ET334" s="24174"/>
      <c r="EU334" s="24174"/>
      <c r="EV334" s="24174"/>
      <c r="EW334" s="24175"/>
      <c r="EX334" s="24082"/>
      <c r="EY334" s="24083"/>
      <c r="EZ334" s="24174"/>
      <c r="FA334" s="24174"/>
      <c r="FB334" s="24083"/>
      <c r="FC334" s="24174"/>
      <c r="FD334" s="24174"/>
      <c r="FE334" s="24174"/>
      <c r="FF334" s="24174"/>
      <c r="FG334" s="24174"/>
      <c r="FH334" s="24175"/>
      <c r="FI334" s="24082"/>
      <c r="FJ334" s="24083"/>
      <c r="FK334" s="24174"/>
      <c r="FL334" s="24174"/>
      <c r="FM334" s="24083"/>
      <c r="FN334" s="24174"/>
      <c r="FO334" s="24174"/>
      <c r="FP334" s="24083"/>
      <c r="FQ334" s="24083"/>
      <c r="FR334" s="24083"/>
      <c r="FS334" s="24175"/>
      <c r="FT334" s="24084"/>
      <c r="FU334" s="1184" t="s">
        <v>757</v>
      </c>
      <c r="FV334" s="1568"/>
      <c r="FW334" s="1550"/>
      <c r="FX334" s="1550" t="str">
        <f t="shared" si="5"/>
        <v>Наименование централизованной системы горячего водоснабжения</v>
      </c>
      <c r="FY334" s="1550"/>
      <c r="FZ334" s="1550"/>
      <c r="GA334" s="1561">
        <v>0</v>
      </c>
    </row>
    <row r="335" spans="1:183" s="1747" customFormat="1" ht="23.25" customHeight="1">
      <c r="A335" s="1289"/>
      <c r="B335" s="1289"/>
      <c r="C335" s="1289"/>
      <c r="D335" s="1289"/>
      <c r="E335" s="24089"/>
      <c r="F335" s="24089" t="s">
        <v>101</v>
      </c>
      <c r="G335" s="24089"/>
      <c r="H335" s="24089"/>
      <c r="I335" s="24090" t="str">
        <f>S334&amp;".1"</f>
        <v>1.14.1.1</v>
      </c>
      <c r="J335" s="1289"/>
      <c r="K335" s="1289"/>
      <c r="L335" s="1295"/>
      <c r="M335" s="1674"/>
      <c r="N335" s="1674"/>
      <c r="O335" s="1674"/>
      <c r="P335" s="24092">
        <v>1</v>
      </c>
      <c r="Q335" s="1978"/>
      <c r="R335" s="292"/>
      <c r="S335" s="1976" t="str">
        <f>$I335</f>
        <v>1.14.1.1</v>
      </c>
      <c r="T335" s="221" t="s">
        <v>709</v>
      </c>
      <c r="U335" s="236"/>
      <c r="V335" s="24156"/>
      <c r="W335" s="24157"/>
      <c r="X335" s="24157"/>
      <c r="Y335" s="24157"/>
      <c r="Z335" s="24157"/>
      <c r="AA335" s="24157"/>
      <c r="AB335" s="24157"/>
      <c r="AC335" s="24157"/>
      <c r="AD335" s="24157"/>
      <c r="AE335" s="24157"/>
      <c r="AF335" s="24158"/>
      <c r="AG335" s="24159"/>
      <c r="AH335" s="24160"/>
      <c r="AI335" s="24160"/>
      <c r="AJ335" s="24160"/>
      <c r="AK335" s="24160"/>
      <c r="AL335" s="24160"/>
      <c r="AM335" s="24160"/>
      <c r="AN335" s="24160"/>
      <c r="AO335" s="24160"/>
      <c r="AP335" s="24160"/>
      <c r="AQ335" s="24160"/>
      <c r="AR335" s="24176"/>
      <c r="AS335" s="24177"/>
      <c r="AT335" s="24177"/>
      <c r="AU335" s="24177"/>
      <c r="AV335" s="24177"/>
      <c r="AW335" s="24177"/>
      <c r="AX335" s="24177"/>
      <c r="AY335" s="24177"/>
      <c r="AZ335" s="24177"/>
      <c r="BA335" s="24177"/>
      <c r="BB335" s="24178"/>
      <c r="BC335" s="24176"/>
      <c r="BD335" s="24177"/>
      <c r="BE335" s="24177"/>
      <c r="BF335" s="24177"/>
      <c r="BG335" s="24177"/>
      <c r="BH335" s="24177"/>
      <c r="BI335" s="24177"/>
      <c r="BJ335" s="24177"/>
      <c r="BK335" s="24177"/>
      <c r="BL335" s="24177"/>
      <c r="BM335" s="24178"/>
      <c r="BN335" s="24156"/>
      <c r="BO335" s="24157"/>
      <c r="BP335" s="24177"/>
      <c r="BQ335" s="24177"/>
      <c r="BR335" s="24157"/>
      <c r="BS335" s="24177"/>
      <c r="BT335" s="24177"/>
      <c r="BU335" s="24177"/>
      <c r="BV335" s="24177"/>
      <c r="BW335" s="24177"/>
      <c r="BX335" s="24178"/>
      <c r="BY335" s="24176"/>
      <c r="BZ335" s="24177"/>
      <c r="CA335" s="24177"/>
      <c r="CB335" s="24177"/>
      <c r="CC335" s="24177"/>
      <c r="CD335" s="24177"/>
      <c r="CE335" s="24177"/>
      <c r="CF335" s="24177"/>
      <c r="CG335" s="24177"/>
      <c r="CH335" s="24177"/>
      <c r="CI335" s="24178"/>
      <c r="CJ335" s="24176"/>
      <c r="CK335" s="24177"/>
      <c r="CL335" s="24177"/>
      <c r="CM335" s="24177"/>
      <c r="CN335" s="24177"/>
      <c r="CO335" s="24177"/>
      <c r="CP335" s="24177"/>
      <c r="CQ335" s="24177"/>
      <c r="CR335" s="24177"/>
      <c r="CS335" s="24177"/>
      <c r="CT335" s="24178"/>
      <c r="CU335" s="24176"/>
      <c r="CV335" s="24177"/>
      <c r="CW335" s="24177"/>
      <c r="CX335" s="24177"/>
      <c r="CY335" s="24177"/>
      <c r="CZ335" s="24177"/>
      <c r="DA335" s="24177"/>
      <c r="DB335" s="24177"/>
      <c r="DC335" s="24177"/>
      <c r="DD335" s="24177"/>
      <c r="DE335" s="24178"/>
      <c r="DF335" s="24176"/>
      <c r="DG335" s="24177"/>
      <c r="DH335" s="24177"/>
      <c r="DI335" s="24177"/>
      <c r="DJ335" s="24177"/>
      <c r="DK335" s="24177"/>
      <c r="DL335" s="24177"/>
      <c r="DM335" s="24177"/>
      <c r="DN335" s="24177"/>
      <c r="DO335" s="24177"/>
      <c r="DP335" s="24178"/>
      <c r="DQ335" s="24176"/>
      <c r="DR335" s="24177"/>
      <c r="DS335" s="24177"/>
      <c r="DT335" s="24177"/>
      <c r="DU335" s="24177"/>
      <c r="DV335" s="24177"/>
      <c r="DW335" s="24177"/>
      <c r="DX335" s="24177"/>
      <c r="DY335" s="24177"/>
      <c r="DZ335" s="24177"/>
      <c r="EA335" s="24178"/>
      <c r="EB335" s="24176"/>
      <c r="EC335" s="24177"/>
      <c r="ED335" s="24177"/>
      <c r="EE335" s="24177"/>
      <c r="EF335" s="24177"/>
      <c r="EG335" s="24177"/>
      <c r="EH335" s="24177"/>
      <c r="EI335" s="24177"/>
      <c r="EJ335" s="24177"/>
      <c r="EK335" s="24177"/>
      <c r="EL335" s="24178"/>
      <c r="EM335" s="24176"/>
      <c r="EN335" s="24177"/>
      <c r="EO335" s="24177"/>
      <c r="EP335" s="24177"/>
      <c r="EQ335" s="24177"/>
      <c r="ER335" s="24177"/>
      <c r="ES335" s="24177"/>
      <c r="ET335" s="24177"/>
      <c r="EU335" s="24177"/>
      <c r="EV335" s="24177"/>
      <c r="EW335" s="24178"/>
      <c r="EX335" s="24156"/>
      <c r="EY335" s="24157"/>
      <c r="EZ335" s="24177"/>
      <c r="FA335" s="24177"/>
      <c r="FB335" s="24157"/>
      <c r="FC335" s="24177"/>
      <c r="FD335" s="24177"/>
      <c r="FE335" s="24177"/>
      <c r="FF335" s="24177"/>
      <c r="FG335" s="24177"/>
      <c r="FH335" s="24178"/>
      <c r="FI335" s="24156"/>
      <c r="FJ335" s="24157"/>
      <c r="FK335" s="24177"/>
      <c r="FL335" s="24177"/>
      <c r="FM335" s="24157"/>
      <c r="FN335" s="24177"/>
      <c r="FO335" s="24177"/>
      <c r="FP335" s="24157"/>
      <c r="FQ335" s="24157"/>
      <c r="FR335" s="24157"/>
      <c r="FS335" s="24178"/>
      <c r="FT335" s="24161"/>
      <c r="FU335" s="1184" t="s">
        <v>710</v>
      </c>
      <c r="FV335" s="1568"/>
      <c r="FW335" s="1550"/>
      <c r="FX335" s="1550" t="str">
        <f t="shared" si="5"/>
        <v>Наименование признака дифференциации</v>
      </c>
      <c r="FY335" s="1550"/>
      <c r="FZ335" s="1550"/>
      <c r="GA335" s="1561">
        <v>0</v>
      </c>
    </row>
    <row r="336" spans="1:183" s="1747" customFormat="1" ht="23.25" customHeight="1">
      <c r="A336" s="1289"/>
      <c r="B336" s="1289"/>
      <c r="C336" s="1289"/>
      <c r="D336" s="1289"/>
      <c r="E336" s="24089"/>
      <c r="F336" s="24089" t="s">
        <v>101</v>
      </c>
      <c r="G336" s="24089"/>
      <c r="H336" s="24089"/>
      <c r="I336" s="24091"/>
      <c r="J336" s="24090" t="str">
        <f>I335&amp;".1"</f>
        <v>1.14.1.1.1</v>
      </c>
      <c r="K336" s="1289"/>
      <c r="L336" s="1295" t="s">
        <v>635</v>
      </c>
      <c r="M336" s="1674"/>
      <c r="N336" s="1674"/>
      <c r="O336" s="1674"/>
      <c r="P336" s="24092"/>
      <c r="Q336" s="24092">
        <v>1</v>
      </c>
      <c r="R336" s="293"/>
      <c r="S336" s="1976" t="str">
        <f>$J336</f>
        <v>1.14.1.1.1</v>
      </c>
      <c r="T336" s="222" t="s">
        <v>636</v>
      </c>
      <c r="U336" s="236"/>
      <c r="V336" s="24076"/>
      <c r="W336" s="24077"/>
      <c r="X336" s="24077"/>
      <c r="Y336" s="24077"/>
      <c r="Z336" s="24077"/>
      <c r="AA336" s="24077"/>
      <c r="AB336" s="24077"/>
      <c r="AC336" s="24077"/>
      <c r="AD336" s="24077"/>
      <c r="AE336" s="24077"/>
      <c r="AF336" s="24078"/>
      <c r="AG336" s="24076" t="s">
        <v>769</v>
      </c>
      <c r="AH336" s="24077"/>
      <c r="AI336" s="24077"/>
      <c r="AJ336" s="24077"/>
      <c r="AK336" s="24077"/>
      <c r="AL336" s="24077"/>
      <c r="AM336" s="24077"/>
      <c r="AN336" s="24077"/>
      <c r="AO336" s="24077"/>
      <c r="AP336" s="24077"/>
      <c r="AQ336" s="24077"/>
      <c r="AR336" s="24179"/>
      <c r="AS336" s="24180"/>
      <c r="AT336" s="24180"/>
      <c r="AU336" s="24180"/>
      <c r="AV336" s="24180"/>
      <c r="AW336" s="24180"/>
      <c r="AX336" s="24180"/>
      <c r="AY336" s="24180"/>
      <c r="AZ336" s="24180"/>
      <c r="BA336" s="24180"/>
      <c r="BB336" s="24181"/>
      <c r="BC336" s="24179"/>
      <c r="BD336" s="24180"/>
      <c r="BE336" s="24180"/>
      <c r="BF336" s="24180"/>
      <c r="BG336" s="24180"/>
      <c r="BH336" s="24180"/>
      <c r="BI336" s="24180"/>
      <c r="BJ336" s="24180"/>
      <c r="BK336" s="24180"/>
      <c r="BL336" s="24180"/>
      <c r="BM336" s="24181"/>
      <c r="BN336" s="24076"/>
      <c r="BO336" s="24077"/>
      <c r="BP336" s="24180"/>
      <c r="BQ336" s="24180"/>
      <c r="BR336" s="24077"/>
      <c r="BS336" s="24180"/>
      <c r="BT336" s="24180"/>
      <c r="BU336" s="24180"/>
      <c r="BV336" s="24180"/>
      <c r="BW336" s="24180"/>
      <c r="BX336" s="24181"/>
      <c r="BY336" s="24179"/>
      <c r="BZ336" s="24180"/>
      <c r="CA336" s="24180"/>
      <c r="CB336" s="24180"/>
      <c r="CC336" s="24180"/>
      <c r="CD336" s="24180"/>
      <c r="CE336" s="24180"/>
      <c r="CF336" s="24180"/>
      <c r="CG336" s="24180"/>
      <c r="CH336" s="24180"/>
      <c r="CI336" s="24181"/>
      <c r="CJ336" s="24179"/>
      <c r="CK336" s="24180"/>
      <c r="CL336" s="24180"/>
      <c r="CM336" s="24180"/>
      <c r="CN336" s="24180"/>
      <c r="CO336" s="24180"/>
      <c r="CP336" s="24180"/>
      <c r="CQ336" s="24180"/>
      <c r="CR336" s="24180"/>
      <c r="CS336" s="24180"/>
      <c r="CT336" s="24181"/>
      <c r="CU336" s="24179"/>
      <c r="CV336" s="24180"/>
      <c r="CW336" s="24180"/>
      <c r="CX336" s="24180"/>
      <c r="CY336" s="24180"/>
      <c r="CZ336" s="24180"/>
      <c r="DA336" s="24180"/>
      <c r="DB336" s="24180"/>
      <c r="DC336" s="24180"/>
      <c r="DD336" s="24180"/>
      <c r="DE336" s="24181"/>
      <c r="DF336" s="24179"/>
      <c r="DG336" s="24180"/>
      <c r="DH336" s="24180"/>
      <c r="DI336" s="24180"/>
      <c r="DJ336" s="24180"/>
      <c r="DK336" s="24180"/>
      <c r="DL336" s="24180"/>
      <c r="DM336" s="24180"/>
      <c r="DN336" s="24180"/>
      <c r="DO336" s="24180"/>
      <c r="DP336" s="24181"/>
      <c r="DQ336" s="24179"/>
      <c r="DR336" s="24180"/>
      <c r="DS336" s="24180"/>
      <c r="DT336" s="24180"/>
      <c r="DU336" s="24180"/>
      <c r="DV336" s="24180"/>
      <c r="DW336" s="24180"/>
      <c r="DX336" s="24180"/>
      <c r="DY336" s="24180"/>
      <c r="DZ336" s="24180"/>
      <c r="EA336" s="24181"/>
      <c r="EB336" s="24179"/>
      <c r="EC336" s="24180"/>
      <c r="ED336" s="24180"/>
      <c r="EE336" s="24180"/>
      <c r="EF336" s="24180"/>
      <c r="EG336" s="24180"/>
      <c r="EH336" s="24180"/>
      <c r="EI336" s="24180"/>
      <c r="EJ336" s="24180"/>
      <c r="EK336" s="24180"/>
      <c r="EL336" s="24181"/>
      <c r="EM336" s="24179"/>
      <c r="EN336" s="24180"/>
      <c r="EO336" s="24180"/>
      <c r="EP336" s="24180"/>
      <c r="EQ336" s="24180"/>
      <c r="ER336" s="24180"/>
      <c r="ES336" s="24180"/>
      <c r="ET336" s="24180"/>
      <c r="EU336" s="24180"/>
      <c r="EV336" s="24180"/>
      <c r="EW336" s="24181"/>
      <c r="EX336" s="24076"/>
      <c r="EY336" s="24077"/>
      <c r="EZ336" s="24180"/>
      <c r="FA336" s="24180"/>
      <c r="FB336" s="24077"/>
      <c r="FC336" s="24180"/>
      <c r="FD336" s="24180"/>
      <c r="FE336" s="24180"/>
      <c r="FF336" s="24180"/>
      <c r="FG336" s="24180"/>
      <c r="FH336" s="24181"/>
      <c r="FI336" s="24076"/>
      <c r="FJ336" s="24077"/>
      <c r="FK336" s="24180"/>
      <c r="FL336" s="24180"/>
      <c r="FM336" s="24077"/>
      <c r="FN336" s="24180"/>
      <c r="FO336" s="24180"/>
      <c r="FP336" s="24077"/>
      <c r="FQ336" s="24077"/>
      <c r="FR336" s="24077"/>
      <c r="FS336" s="24181"/>
      <c r="FT336" s="24078"/>
      <c r="FU336" s="1233" t="s">
        <v>711</v>
      </c>
      <c r="FV336" s="1568"/>
      <c r="FW336" s="1550"/>
      <c r="FX336" s="1550" t="str">
        <f t="shared" si="5"/>
        <v>Группа потребителей</v>
      </c>
      <c r="FY336" s="1550"/>
      <c r="FZ336" s="1550"/>
      <c r="GA336" s="1561">
        <v>0</v>
      </c>
    </row>
    <row r="337" spans="1:183" s="1747" customFormat="1" ht="23.25" customHeight="1">
      <c r="A337" s="1289"/>
      <c r="B337" s="1289"/>
      <c r="C337" s="1289"/>
      <c r="D337" s="1289"/>
      <c r="E337" s="24089"/>
      <c r="F337" s="24089" t="s">
        <v>101</v>
      </c>
      <c r="G337" s="24089"/>
      <c r="H337" s="24089"/>
      <c r="I337" s="24091"/>
      <c r="J337" s="24091"/>
      <c r="K337" s="24090" t="str">
        <f>J336&amp;".1"</f>
        <v>1.14.1.1.1.1</v>
      </c>
      <c r="L337" s="1295"/>
      <c r="M337" s="1674"/>
      <c r="N337" s="1674"/>
      <c r="O337" s="1674"/>
      <c r="P337" s="24092"/>
      <c r="Q337" s="24092"/>
      <c r="R337" s="293">
        <v>1</v>
      </c>
      <c r="S337" s="1976" t="str">
        <f>$K337</f>
        <v>1.14.1.1.1.1</v>
      </c>
      <c r="T337" s="1363"/>
      <c r="U337" s="236"/>
      <c r="V337" s="1286"/>
      <c r="W337" s="1286"/>
      <c r="X337" s="1286"/>
      <c r="Y337" s="1286"/>
      <c r="Z337" s="1286"/>
      <c r="AA337" s="1286"/>
      <c r="AB337" s="1286"/>
      <c r="AC337" s="24086"/>
      <c r="AD337" s="24085" t="s">
        <v>59</v>
      </c>
      <c r="AE337" s="24086"/>
      <c r="AF337" s="24085" t="s">
        <v>59</v>
      </c>
      <c r="AG337" s="687">
        <v>245.66</v>
      </c>
      <c r="AH337" s="687">
        <v>47.97</v>
      </c>
      <c r="AI337" s="687"/>
      <c r="AJ337" s="687"/>
      <c r="AK337" s="687">
        <v>3133.44</v>
      </c>
      <c r="AL337" s="687"/>
      <c r="AM337" s="687"/>
      <c r="AN337" s="24093" t="s">
        <v>9</v>
      </c>
      <c r="AO337" s="23957" t="s">
        <v>59</v>
      </c>
      <c r="AP337" s="24095" t="s">
        <v>770</v>
      </c>
      <c r="AQ337" s="23957" t="s">
        <v>59</v>
      </c>
      <c r="AR337" s="687">
        <v>273.45</v>
      </c>
      <c r="AS337" s="687">
        <v>52.63</v>
      </c>
      <c r="AT337" s="687"/>
      <c r="AU337" s="687"/>
      <c r="AV337" s="687">
        <v>3500.05</v>
      </c>
      <c r="AW337" s="687"/>
      <c r="AX337" s="687"/>
      <c r="AY337" s="24093" t="s">
        <v>772</v>
      </c>
      <c r="AZ337" s="23957" t="s">
        <v>59</v>
      </c>
      <c r="BA337" s="24093" t="s">
        <v>773</v>
      </c>
      <c r="BB337" s="23957" t="s">
        <v>59</v>
      </c>
      <c r="BC337" s="687">
        <v>289.02</v>
      </c>
      <c r="BD337" s="687">
        <v>68.2</v>
      </c>
      <c r="BE337" s="687"/>
      <c r="BF337" s="687"/>
      <c r="BG337" s="687">
        <v>3500.05</v>
      </c>
      <c r="BH337" s="687"/>
      <c r="BI337" s="687"/>
      <c r="BJ337" s="24093" t="s">
        <v>774</v>
      </c>
      <c r="BK337" s="23957" t="s">
        <v>59</v>
      </c>
      <c r="BL337" s="24093" t="s">
        <v>775</v>
      </c>
      <c r="BM337" s="23957" t="s">
        <v>59</v>
      </c>
      <c r="BN337" s="687">
        <v>315.3</v>
      </c>
      <c r="BO337" s="687">
        <v>68.2</v>
      </c>
      <c r="BP337" s="687"/>
      <c r="BQ337" s="687"/>
      <c r="BR337" s="687">
        <v>3916.55</v>
      </c>
      <c r="BS337" s="687"/>
      <c r="BT337" s="687"/>
      <c r="BU337" s="24093" t="s">
        <v>776</v>
      </c>
      <c r="BV337" s="23957" t="s">
        <v>59</v>
      </c>
      <c r="BW337" s="24093" t="s">
        <v>777</v>
      </c>
      <c r="BX337" s="23957" t="s">
        <v>59</v>
      </c>
      <c r="BY337" s="687">
        <v>316.45999999999998</v>
      </c>
      <c r="BZ337" s="687">
        <v>69.36</v>
      </c>
      <c r="CA337" s="687"/>
      <c r="CB337" s="687"/>
      <c r="CC337" s="687">
        <v>3916.55</v>
      </c>
      <c r="CD337" s="687"/>
      <c r="CE337" s="687"/>
      <c r="CF337" s="24093" t="s">
        <v>778</v>
      </c>
      <c r="CG337" s="23957" t="s">
        <v>59</v>
      </c>
      <c r="CH337" s="24185">
        <v>46295</v>
      </c>
      <c r="CI337" s="23957" t="s">
        <v>59</v>
      </c>
      <c r="CJ337" s="687">
        <v>350.94</v>
      </c>
      <c r="CK337" s="687">
        <v>77.709999999999994</v>
      </c>
      <c r="CL337" s="687"/>
      <c r="CM337" s="687"/>
      <c r="CN337" s="687">
        <v>4330.76</v>
      </c>
      <c r="CO337" s="687"/>
      <c r="CP337" s="687"/>
      <c r="CQ337" s="24185">
        <v>46296</v>
      </c>
      <c r="CR337" s="23957" t="s">
        <v>59</v>
      </c>
      <c r="CS337" s="24093" t="s">
        <v>779</v>
      </c>
      <c r="CT337" s="23957" t="s">
        <v>59</v>
      </c>
      <c r="CU337" s="687">
        <v>350.54</v>
      </c>
      <c r="CV337" s="687">
        <v>77.31</v>
      </c>
      <c r="CW337" s="687"/>
      <c r="CX337" s="687"/>
      <c r="CY337" s="687">
        <f>CN337</f>
        <v>4330.76</v>
      </c>
      <c r="CZ337" s="687"/>
      <c r="DA337" s="687"/>
      <c r="DB337" s="24093" t="s">
        <v>780</v>
      </c>
      <c r="DC337" s="23957" t="s">
        <v>59</v>
      </c>
      <c r="DD337" s="24093" t="s">
        <v>781</v>
      </c>
      <c r="DE337" s="23957" t="s">
        <v>59</v>
      </c>
      <c r="DF337" s="687">
        <v>372.97</v>
      </c>
      <c r="DG337" s="687">
        <f>CV337</f>
        <v>77.31</v>
      </c>
      <c r="DH337" s="687"/>
      <c r="DI337" s="687"/>
      <c r="DJ337" s="687">
        <v>4686.3900000000003</v>
      </c>
      <c r="DK337" s="687"/>
      <c r="DL337" s="687"/>
      <c r="DM337" s="24093" t="s">
        <v>782</v>
      </c>
      <c r="DN337" s="23957" t="s">
        <v>59</v>
      </c>
      <c r="DO337" s="24093" t="s">
        <v>783</v>
      </c>
      <c r="DP337" s="23957" t="s">
        <v>59</v>
      </c>
      <c r="DQ337" s="687">
        <f>DF337</f>
        <v>372.97</v>
      </c>
      <c r="DR337" s="687">
        <f>DG337</f>
        <v>77.31</v>
      </c>
      <c r="DS337" s="687"/>
      <c r="DT337" s="687"/>
      <c r="DU337" s="687">
        <f>DJ337</f>
        <v>4686.3900000000003</v>
      </c>
      <c r="DV337" s="687"/>
      <c r="DW337" s="687"/>
      <c r="DX337" s="24093" t="s">
        <v>784</v>
      </c>
      <c r="DY337" s="23957" t="s">
        <v>59</v>
      </c>
      <c r="DZ337" s="24093" t="s">
        <v>785</v>
      </c>
      <c r="EA337" s="23957" t="s">
        <v>59</v>
      </c>
      <c r="EB337" s="687">
        <v>401.47</v>
      </c>
      <c r="EC337" s="687">
        <v>85.43</v>
      </c>
      <c r="ED337" s="687"/>
      <c r="EE337" s="687"/>
      <c r="EF337" s="687">
        <v>5009.37</v>
      </c>
      <c r="EG337" s="687"/>
      <c r="EH337" s="687"/>
      <c r="EI337" s="24093" t="s">
        <v>786</v>
      </c>
      <c r="EJ337" s="23957" t="s">
        <v>59</v>
      </c>
      <c r="EK337" s="24093" t="s">
        <v>787</v>
      </c>
      <c r="EL337" s="23957" t="s">
        <v>6</v>
      </c>
      <c r="EM337" s="1286"/>
      <c r="EN337" s="1286"/>
      <c r="EO337" s="1286"/>
      <c r="EP337" s="1286"/>
      <c r="EQ337" s="1286"/>
      <c r="ER337" s="1286"/>
      <c r="ES337" s="1286"/>
      <c r="ET337" s="24086"/>
      <c r="EU337" s="24085" t="s">
        <v>59</v>
      </c>
      <c r="EV337" s="24086"/>
      <c r="EW337" s="24085" t="s">
        <v>59</v>
      </c>
      <c r="EX337" s="1286"/>
      <c r="EY337" s="1286"/>
      <c r="EZ337" s="1286"/>
      <c r="FA337" s="1286"/>
      <c r="FB337" s="1286"/>
      <c r="FC337" s="1286"/>
      <c r="FD337" s="1286"/>
      <c r="FE337" s="24086"/>
      <c r="FF337" s="24085" t="s">
        <v>59</v>
      </c>
      <c r="FG337" s="24086"/>
      <c r="FH337" s="24085" t="s">
        <v>59</v>
      </c>
      <c r="FI337" s="1286"/>
      <c r="FJ337" s="1286"/>
      <c r="FK337" s="1286"/>
      <c r="FL337" s="1286"/>
      <c r="FM337" s="1286"/>
      <c r="FN337" s="1286"/>
      <c r="FO337" s="1286"/>
      <c r="FP337" s="24086"/>
      <c r="FQ337" s="24085" t="s">
        <v>59</v>
      </c>
      <c r="FR337" s="24086"/>
      <c r="FS337" s="24085" t="s">
        <v>59</v>
      </c>
      <c r="FT337" s="1364"/>
      <c r="FU33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37" s="1568" t="e">
        <f ca="1">STRCHECKDATE(V338:FT338)</f>
        <v>#NAME?</v>
      </c>
      <c r="FW337" s="1550"/>
      <c r="FX337" s="1550" t="str">
        <f t="shared" si="5"/>
        <v/>
      </c>
      <c r="FY337" s="1550"/>
      <c r="FZ337" s="1550"/>
      <c r="GA337" s="1561">
        <v>0</v>
      </c>
    </row>
    <row r="338" spans="1:183" s="1747" customFormat="1" ht="14.25" customHeight="1">
      <c r="A338" s="1289"/>
      <c r="B338" s="1289"/>
      <c r="C338" s="1289"/>
      <c r="D338" s="1289"/>
      <c r="E338" s="24089"/>
      <c r="F338" s="24089" t="s">
        <v>101</v>
      </c>
      <c r="G338" s="24089"/>
      <c r="H338" s="24089"/>
      <c r="I338" s="24091"/>
      <c r="J338" s="24091"/>
      <c r="K338" s="24090"/>
      <c r="L338" s="1295"/>
      <c r="M338" s="1674"/>
      <c r="N338" s="1674"/>
      <c r="O338" s="1674"/>
      <c r="P338" s="24092"/>
      <c r="Q338" s="24092"/>
      <c r="R338" s="293"/>
      <c r="S338" s="1982"/>
      <c r="T338" s="236"/>
      <c r="U338" s="236"/>
      <c r="V338" s="1286"/>
      <c r="W338" s="1286"/>
      <c r="X338" s="1286"/>
      <c r="Y338" s="1286"/>
      <c r="Z338" s="1286"/>
      <c r="AA338" s="1286"/>
      <c r="AB338" s="1286"/>
      <c r="AC338" s="24085"/>
      <c r="AD338" s="24085"/>
      <c r="AE338" s="24085"/>
      <c r="AF338" s="24085"/>
      <c r="AG338" s="261"/>
      <c r="AH338" s="261"/>
      <c r="AI338" s="261"/>
      <c r="AJ338" s="261"/>
      <c r="AK338" s="261"/>
      <c r="AL338" s="261"/>
      <c r="AM338" s="261"/>
      <c r="AN338" s="24094"/>
      <c r="AO338" s="23957"/>
      <c r="AP338" s="24096"/>
      <c r="AQ338" s="23957"/>
      <c r="AR338" s="261"/>
      <c r="AS338" s="261"/>
      <c r="AT338" s="261"/>
      <c r="AU338" s="261"/>
      <c r="AV338" s="261"/>
      <c r="AW338" s="261"/>
      <c r="AX338" s="261"/>
      <c r="AY338" s="24094"/>
      <c r="AZ338" s="23957"/>
      <c r="BA338" s="24094"/>
      <c r="BB338" s="23957"/>
      <c r="BC338" s="261"/>
      <c r="BD338" s="261"/>
      <c r="BE338" s="261"/>
      <c r="BF338" s="261"/>
      <c r="BG338" s="261"/>
      <c r="BH338" s="261"/>
      <c r="BI338" s="261"/>
      <c r="BJ338" s="24094"/>
      <c r="BK338" s="23957"/>
      <c r="BL338" s="24094"/>
      <c r="BM338" s="23957"/>
      <c r="BN338" s="261"/>
      <c r="BO338" s="261"/>
      <c r="BP338" s="261"/>
      <c r="BQ338" s="261"/>
      <c r="BR338" s="261"/>
      <c r="BS338" s="261"/>
      <c r="BT338" s="261"/>
      <c r="BU338" s="24094"/>
      <c r="BV338" s="23957"/>
      <c r="BW338" s="24094"/>
      <c r="BX338" s="23957"/>
      <c r="BY338" s="261"/>
      <c r="BZ338" s="261"/>
      <c r="CA338" s="261"/>
      <c r="CB338" s="261"/>
      <c r="CC338" s="261"/>
      <c r="CD338" s="261"/>
      <c r="CE338" s="261"/>
      <c r="CF338" s="24094"/>
      <c r="CG338" s="23957"/>
      <c r="CH338" s="24094"/>
      <c r="CI338" s="23957"/>
      <c r="CJ338" s="261"/>
      <c r="CK338" s="261"/>
      <c r="CL338" s="261"/>
      <c r="CM338" s="261"/>
      <c r="CN338" s="261"/>
      <c r="CO338" s="261"/>
      <c r="CP338" s="261"/>
      <c r="CQ338" s="24094"/>
      <c r="CR338" s="23957"/>
      <c r="CS338" s="24094"/>
      <c r="CT338" s="23957"/>
      <c r="CU338" s="261"/>
      <c r="CV338" s="261"/>
      <c r="CW338" s="261"/>
      <c r="CX338" s="261"/>
      <c r="CY338" s="261"/>
      <c r="CZ338" s="261"/>
      <c r="DA338" s="261"/>
      <c r="DB338" s="24094"/>
      <c r="DC338" s="23957"/>
      <c r="DD338" s="24094"/>
      <c r="DE338" s="23957"/>
      <c r="DF338" s="261"/>
      <c r="DG338" s="261"/>
      <c r="DH338" s="261"/>
      <c r="DI338" s="261"/>
      <c r="DJ338" s="261"/>
      <c r="DK338" s="261"/>
      <c r="DL338" s="261"/>
      <c r="DM338" s="24094"/>
      <c r="DN338" s="23957"/>
      <c r="DO338" s="24094"/>
      <c r="DP338" s="23957"/>
      <c r="DQ338" s="261"/>
      <c r="DR338" s="261"/>
      <c r="DS338" s="261"/>
      <c r="DT338" s="261"/>
      <c r="DU338" s="261"/>
      <c r="DV338" s="261"/>
      <c r="DW338" s="261"/>
      <c r="DX338" s="24094"/>
      <c r="DY338" s="23957"/>
      <c r="DZ338" s="24094"/>
      <c r="EA338" s="23957"/>
      <c r="EB338" s="261"/>
      <c r="EC338" s="261"/>
      <c r="ED338" s="261"/>
      <c r="EE338" s="261"/>
      <c r="EF338" s="261"/>
      <c r="EG338" s="261"/>
      <c r="EH338" s="261"/>
      <c r="EI338" s="24094"/>
      <c r="EJ338" s="23957"/>
      <c r="EK338" s="24094"/>
      <c r="EL338" s="23957"/>
      <c r="EM338" s="1286"/>
      <c r="EN338" s="1286"/>
      <c r="EO338" s="1286"/>
      <c r="EP338" s="1286"/>
      <c r="EQ338" s="1286"/>
      <c r="ER338" s="1286"/>
      <c r="ES338" s="1286"/>
      <c r="ET338" s="24085"/>
      <c r="EU338" s="24085"/>
      <c r="EV338" s="24085"/>
      <c r="EW338" s="24085"/>
      <c r="EX338" s="1286"/>
      <c r="EY338" s="1286"/>
      <c r="EZ338" s="1286"/>
      <c r="FA338" s="1286"/>
      <c r="FB338" s="1286"/>
      <c r="FC338" s="1286"/>
      <c r="FD338" s="1286"/>
      <c r="FE338" s="24085"/>
      <c r="FF338" s="24085"/>
      <c r="FG338" s="24085"/>
      <c r="FH338" s="24085"/>
      <c r="FI338" s="1286"/>
      <c r="FJ338" s="1286"/>
      <c r="FK338" s="1286"/>
      <c r="FL338" s="1286"/>
      <c r="FM338" s="1286"/>
      <c r="FN338" s="1286"/>
      <c r="FO338" s="1286"/>
      <c r="FP338" s="24085"/>
      <c r="FQ338" s="24085"/>
      <c r="FR338" s="24085"/>
      <c r="FS338" s="24085"/>
      <c r="FT338" s="1365"/>
      <c r="FU338" s="24162"/>
      <c r="FV338" s="1568"/>
      <c r="FW338" s="1550"/>
      <c r="FX338" s="1550" t="str">
        <f t="shared" si="5"/>
        <v/>
      </c>
      <c r="FY338" s="1550"/>
      <c r="FZ338" s="1550"/>
      <c r="GA338" s="1561">
        <v>0</v>
      </c>
    </row>
    <row r="339" spans="1:183" s="1747" customFormat="1" ht="21" customHeight="1">
      <c r="A339" s="1289"/>
      <c r="B339" s="1289"/>
      <c r="C339" s="1289"/>
      <c r="D339" s="1289"/>
      <c r="E339" s="24089"/>
      <c r="F339" s="24089" t="s">
        <v>101</v>
      </c>
      <c r="G339" s="24089"/>
      <c r="H339" s="24089"/>
      <c r="I339" s="24091"/>
      <c r="J339" s="24090"/>
      <c r="K339" s="1289"/>
      <c r="L339" s="1295"/>
      <c r="M339" s="1674"/>
      <c r="N339" s="1674"/>
      <c r="O339" s="1674"/>
      <c r="P339" s="24092"/>
      <c r="Q339" s="24092"/>
      <c r="R339" s="292"/>
      <c r="S339" s="4739"/>
      <c r="T339" s="4740" t="s">
        <v>712</v>
      </c>
      <c r="U339" s="4741"/>
      <c r="V339" s="4742"/>
      <c r="W339" s="4743"/>
      <c r="X339" s="4744"/>
      <c r="Y339" s="4745"/>
      <c r="Z339" s="4746"/>
      <c r="AA339" s="4747"/>
      <c r="AB339" s="4748"/>
      <c r="AC339" s="4749"/>
      <c r="AD339" s="4750"/>
      <c r="AE339" s="4751"/>
      <c r="AF339" s="4752"/>
      <c r="AG339" s="4753"/>
      <c r="AH339" s="4754"/>
      <c r="AI339" s="4755"/>
      <c r="AJ339" s="4756"/>
      <c r="AK339" s="4757"/>
      <c r="AL339" s="4758"/>
      <c r="AM339" s="4759"/>
      <c r="AN339" s="4760"/>
      <c r="AO339" s="4761"/>
      <c r="AP339" s="4762"/>
      <c r="AQ339" s="4763"/>
      <c r="AR339" s="7646"/>
      <c r="AS339" s="7647"/>
      <c r="AT339" s="7648"/>
      <c r="AU339" s="7649"/>
      <c r="AV339" s="7650"/>
      <c r="AW339" s="7651"/>
      <c r="AX339" s="7652"/>
      <c r="AY339" s="7653"/>
      <c r="AZ339" s="7654"/>
      <c r="BA339" s="7655"/>
      <c r="BB339" s="7656"/>
      <c r="BC339" s="7657"/>
      <c r="BD339" s="7658"/>
      <c r="BE339" s="17142"/>
      <c r="BF339" s="17143"/>
      <c r="BG339" s="21910"/>
      <c r="BH339" s="17144"/>
      <c r="BI339" s="17145"/>
      <c r="BJ339" s="17146"/>
      <c r="BK339" s="17147"/>
      <c r="BL339" s="17148"/>
      <c r="BM339" s="17149"/>
      <c r="BN339" s="4764"/>
      <c r="BO339" s="4765"/>
      <c r="BP339" s="17150"/>
      <c r="BQ339" s="17151"/>
      <c r="BR339" s="4766"/>
      <c r="BS339" s="17152"/>
      <c r="BT339" s="17153"/>
      <c r="BU339" s="17154"/>
      <c r="BV339" s="17155"/>
      <c r="BW339" s="17156"/>
      <c r="BX339" s="17157"/>
      <c r="BY339" s="17158"/>
      <c r="BZ339" s="17159"/>
      <c r="CA339" s="17160"/>
      <c r="CB339" s="17161"/>
      <c r="CC339" s="17162"/>
      <c r="CD339" s="17163"/>
      <c r="CE339" s="17164"/>
      <c r="CF339" s="17165"/>
      <c r="CG339" s="17166"/>
      <c r="CH339" s="17167"/>
      <c r="CI339" s="17168"/>
      <c r="CJ339" s="17169"/>
      <c r="CK339" s="17170"/>
      <c r="CL339" s="17171"/>
      <c r="CM339" s="17172"/>
      <c r="CN339" s="17173"/>
      <c r="CO339" s="17174"/>
      <c r="CP339" s="17175"/>
      <c r="CQ339" s="17176"/>
      <c r="CR339" s="17177"/>
      <c r="CS339" s="17178"/>
      <c r="CT339" s="17179"/>
      <c r="CU339" s="17180"/>
      <c r="CV339" s="17181"/>
      <c r="CW339" s="17182"/>
      <c r="CX339" s="17183"/>
      <c r="CY339" s="17184"/>
      <c r="CZ339" s="17185"/>
      <c r="DA339" s="17186"/>
      <c r="DB339" s="17187"/>
      <c r="DC339" s="17188"/>
      <c r="DD339" s="17189"/>
      <c r="DE339" s="17190"/>
      <c r="DF339" s="17191"/>
      <c r="DG339" s="17192"/>
      <c r="DH339" s="17193"/>
      <c r="DI339" s="17194"/>
      <c r="DJ339" s="17195"/>
      <c r="DK339" s="17196"/>
      <c r="DL339" s="17197"/>
      <c r="DM339" s="17198"/>
      <c r="DN339" s="17199"/>
      <c r="DO339" s="17200"/>
      <c r="DP339" s="17201"/>
      <c r="DQ339" s="17202"/>
      <c r="DR339" s="17203"/>
      <c r="DS339" s="17204"/>
      <c r="DT339" s="17205"/>
      <c r="DU339" s="17206"/>
      <c r="DV339" s="17207"/>
      <c r="DW339" s="17208"/>
      <c r="DX339" s="17209"/>
      <c r="DY339" s="17210"/>
      <c r="DZ339" s="17211"/>
      <c r="EA339" s="17212"/>
      <c r="EB339" s="17213"/>
      <c r="EC339" s="17214"/>
      <c r="ED339" s="17215"/>
      <c r="EE339" s="17216"/>
      <c r="EF339" s="17217"/>
      <c r="EG339" s="17218"/>
      <c r="EH339" s="17219"/>
      <c r="EI339" s="17220"/>
      <c r="EJ339" s="17221"/>
      <c r="EK339" s="17222"/>
      <c r="EL339" s="17223"/>
      <c r="EM339" s="21686"/>
      <c r="EN339" s="21687"/>
      <c r="EO339" s="17224"/>
      <c r="EP339" s="17225"/>
      <c r="EQ339" s="21688"/>
      <c r="ER339" s="17226"/>
      <c r="ES339" s="17227"/>
      <c r="ET339" s="17228"/>
      <c r="EU339" s="17229"/>
      <c r="EV339" s="17230"/>
      <c r="EW339" s="17231"/>
      <c r="EX339" s="4767"/>
      <c r="EY339" s="4768"/>
      <c r="EZ339" s="17232"/>
      <c r="FA339" s="17233"/>
      <c r="FB339" s="4769"/>
      <c r="FC339" s="17234"/>
      <c r="FD339" s="17235"/>
      <c r="FE339" s="17236"/>
      <c r="FF339" s="17237"/>
      <c r="FG339" s="17238"/>
      <c r="FH339" s="5746"/>
      <c r="FI339" s="22950"/>
      <c r="FJ339" s="22951"/>
      <c r="FK339" s="23692"/>
      <c r="FL339" s="23693"/>
      <c r="FM339" s="22952"/>
      <c r="FN339" s="23694"/>
      <c r="FO339" s="23695"/>
      <c r="FP339" s="22953"/>
      <c r="FQ339" s="22954"/>
      <c r="FR339" s="22955"/>
      <c r="FS339" s="23696"/>
      <c r="FT339" s="4770"/>
      <c r="FU339" s="1184" t="s">
        <v>713</v>
      </c>
      <c r="FV339" s="1568"/>
      <c r="FW339" s="1550"/>
      <c r="FX339" s="1550" t="str">
        <f t="shared" si="5"/>
        <v>Добавить значение признака дифференциации</v>
      </c>
      <c r="FY339" s="1550"/>
      <c r="FZ339" s="1550"/>
      <c r="GA339" s="1561">
        <v>0</v>
      </c>
    </row>
    <row r="340" spans="1:183" s="1747" customFormat="1" ht="23.25" customHeight="1">
      <c r="A340" s="1289"/>
      <c r="B340" s="1289"/>
      <c r="C340" s="1289"/>
      <c r="D340" s="1289"/>
      <c r="E340" s="24089"/>
      <c r="F340" s="24089"/>
      <c r="G340" s="24089"/>
      <c r="H340" s="24089"/>
      <c r="I340" s="24091"/>
      <c r="J340" s="24090" t="str">
        <f>I335&amp;".2"</f>
        <v>1.14.1.1.2</v>
      </c>
      <c r="K340" s="1289"/>
      <c r="L340" s="1295" t="s">
        <v>635</v>
      </c>
      <c r="M340" s="1674"/>
      <c r="N340" s="1674"/>
      <c r="O340" s="1674"/>
      <c r="P340" s="24092"/>
      <c r="Q340" s="24206" t="s">
        <v>96</v>
      </c>
      <c r="R340" s="293"/>
      <c r="S340" s="1976" t="str">
        <f>$J340</f>
        <v>1.14.1.1.2</v>
      </c>
      <c r="T340" s="222" t="s">
        <v>636</v>
      </c>
      <c r="U340" s="236"/>
      <c r="V340" s="24076"/>
      <c r="W340" s="24077"/>
      <c r="X340" s="24077"/>
      <c r="Y340" s="24077"/>
      <c r="Z340" s="24077"/>
      <c r="AA340" s="24077"/>
      <c r="AB340" s="24077"/>
      <c r="AC340" s="24077"/>
      <c r="AD340" s="24077"/>
      <c r="AE340" s="24077"/>
      <c r="AF340" s="24078"/>
      <c r="AG340" s="24076" t="s">
        <v>771</v>
      </c>
      <c r="AH340" s="24077"/>
      <c r="AI340" s="24077"/>
      <c r="AJ340" s="24077"/>
      <c r="AK340" s="24077"/>
      <c r="AL340" s="24077"/>
      <c r="AM340" s="24077"/>
      <c r="AN340" s="24077"/>
      <c r="AO340" s="24077"/>
      <c r="AP340" s="24077"/>
      <c r="AQ340" s="24077"/>
      <c r="AR340" s="24179"/>
      <c r="AS340" s="24180"/>
      <c r="AT340" s="24180"/>
      <c r="AU340" s="24180"/>
      <c r="AV340" s="24180"/>
      <c r="AW340" s="24180"/>
      <c r="AX340" s="24180"/>
      <c r="AY340" s="24180"/>
      <c r="AZ340" s="24180"/>
      <c r="BA340" s="24180"/>
      <c r="BB340" s="24181"/>
      <c r="BC340" s="24179"/>
      <c r="BD340" s="24180"/>
      <c r="BE340" s="24180"/>
      <c r="BF340" s="24180"/>
      <c r="BG340" s="24180"/>
      <c r="BH340" s="24180"/>
      <c r="BI340" s="24180"/>
      <c r="BJ340" s="24180"/>
      <c r="BK340" s="24180"/>
      <c r="BL340" s="24180"/>
      <c r="BM340" s="24181"/>
      <c r="BN340" s="24076"/>
      <c r="BO340" s="24077"/>
      <c r="BP340" s="24180"/>
      <c r="BQ340" s="24180"/>
      <c r="BR340" s="24077"/>
      <c r="BS340" s="24180"/>
      <c r="BT340" s="24180"/>
      <c r="BU340" s="24180"/>
      <c r="BV340" s="24180"/>
      <c r="BW340" s="24180"/>
      <c r="BX340" s="24181"/>
      <c r="BY340" s="24179"/>
      <c r="BZ340" s="24180"/>
      <c r="CA340" s="24180"/>
      <c r="CB340" s="24180"/>
      <c r="CC340" s="24180"/>
      <c r="CD340" s="24180"/>
      <c r="CE340" s="24180"/>
      <c r="CF340" s="24180"/>
      <c r="CG340" s="24180"/>
      <c r="CH340" s="24180"/>
      <c r="CI340" s="24181"/>
      <c r="CJ340" s="24179"/>
      <c r="CK340" s="24180"/>
      <c r="CL340" s="24180"/>
      <c r="CM340" s="24180"/>
      <c r="CN340" s="24180"/>
      <c r="CO340" s="24180"/>
      <c r="CP340" s="24180"/>
      <c r="CQ340" s="24180"/>
      <c r="CR340" s="24180"/>
      <c r="CS340" s="24180"/>
      <c r="CT340" s="24181"/>
      <c r="CU340" s="24179"/>
      <c r="CV340" s="24180"/>
      <c r="CW340" s="24180"/>
      <c r="CX340" s="24180"/>
      <c r="CY340" s="24180"/>
      <c r="CZ340" s="24180"/>
      <c r="DA340" s="24180"/>
      <c r="DB340" s="24180"/>
      <c r="DC340" s="24180"/>
      <c r="DD340" s="24180"/>
      <c r="DE340" s="24181"/>
      <c r="DF340" s="24179"/>
      <c r="DG340" s="24180"/>
      <c r="DH340" s="24180"/>
      <c r="DI340" s="24180"/>
      <c r="DJ340" s="24180"/>
      <c r="DK340" s="24180"/>
      <c r="DL340" s="24180"/>
      <c r="DM340" s="24180"/>
      <c r="DN340" s="24180"/>
      <c r="DO340" s="24180"/>
      <c r="DP340" s="24181"/>
      <c r="DQ340" s="24179"/>
      <c r="DR340" s="24180"/>
      <c r="DS340" s="24180"/>
      <c r="DT340" s="24180"/>
      <c r="DU340" s="24180"/>
      <c r="DV340" s="24180"/>
      <c r="DW340" s="24180"/>
      <c r="DX340" s="24180"/>
      <c r="DY340" s="24180"/>
      <c r="DZ340" s="24180"/>
      <c r="EA340" s="24181"/>
      <c r="EB340" s="24179"/>
      <c r="EC340" s="24180"/>
      <c r="ED340" s="24180"/>
      <c r="EE340" s="24180"/>
      <c r="EF340" s="24180"/>
      <c r="EG340" s="24180"/>
      <c r="EH340" s="24180"/>
      <c r="EI340" s="24180"/>
      <c r="EJ340" s="24180"/>
      <c r="EK340" s="24180"/>
      <c r="EL340" s="24181"/>
      <c r="EM340" s="24179"/>
      <c r="EN340" s="24180"/>
      <c r="EO340" s="24180"/>
      <c r="EP340" s="24180"/>
      <c r="EQ340" s="24180"/>
      <c r="ER340" s="24180"/>
      <c r="ES340" s="24180"/>
      <c r="ET340" s="24180"/>
      <c r="EU340" s="24180"/>
      <c r="EV340" s="24180"/>
      <c r="EW340" s="24181"/>
      <c r="EX340" s="24076"/>
      <c r="EY340" s="24077"/>
      <c r="EZ340" s="24180"/>
      <c r="FA340" s="24180"/>
      <c r="FB340" s="24077"/>
      <c r="FC340" s="24180"/>
      <c r="FD340" s="24180"/>
      <c r="FE340" s="24180"/>
      <c r="FF340" s="24180"/>
      <c r="FG340" s="24180"/>
      <c r="FH340" s="24181"/>
      <c r="FI340" s="24076"/>
      <c r="FJ340" s="24077"/>
      <c r="FK340" s="24180"/>
      <c r="FL340" s="24180"/>
      <c r="FM340" s="24077"/>
      <c r="FN340" s="24180"/>
      <c r="FO340" s="24180"/>
      <c r="FP340" s="24077"/>
      <c r="FQ340" s="24077"/>
      <c r="FR340" s="24077"/>
      <c r="FS340" s="24181"/>
      <c r="FT340" s="24078"/>
      <c r="FU340" s="1233" t="s">
        <v>711</v>
      </c>
      <c r="FV340" s="1568"/>
      <c r="FW340" s="1550"/>
      <c r="FX340" s="1550" t="str">
        <f t="shared" si="5"/>
        <v>Группа потребителей</v>
      </c>
      <c r="FY340" s="1550"/>
      <c r="FZ340" s="1550"/>
      <c r="GA340" s="1561">
        <v>0</v>
      </c>
    </row>
    <row r="341" spans="1:183" s="1747" customFormat="1" ht="23.25" customHeight="1">
      <c r="A341" s="1289"/>
      <c r="B341" s="1289"/>
      <c r="C341" s="1289"/>
      <c r="D341" s="1289"/>
      <c r="E341" s="24089"/>
      <c r="F341" s="24089"/>
      <c r="G341" s="24089"/>
      <c r="H341" s="24089"/>
      <c r="I341" s="24091"/>
      <c r="J341" s="24091" t="str">
        <f>I335&amp;".1"</f>
        <v>1.14.1.1.1</v>
      </c>
      <c r="K341" s="24090" t="str">
        <f>J340&amp;".1"</f>
        <v>1.14.1.1.2.1</v>
      </c>
      <c r="L341" s="1295"/>
      <c r="M341" s="1674"/>
      <c r="N341" s="1674"/>
      <c r="O341" s="1674"/>
      <c r="P341" s="24092"/>
      <c r="Q341" s="24092"/>
      <c r="R341" s="293">
        <v>1</v>
      </c>
      <c r="S341" s="1976" t="str">
        <f>$K341</f>
        <v>1.14.1.1.2.1</v>
      </c>
      <c r="T341" s="1363"/>
      <c r="U341" s="236"/>
      <c r="V341" s="1286"/>
      <c r="W341" s="1286"/>
      <c r="X341" s="1286"/>
      <c r="Y341" s="1286"/>
      <c r="Z341" s="1286"/>
      <c r="AA341" s="1286"/>
      <c r="AB341" s="1286"/>
      <c r="AC341" s="24086"/>
      <c r="AD341" s="24085" t="s">
        <v>59</v>
      </c>
      <c r="AE341" s="24086"/>
      <c r="AF341" s="24085" t="s">
        <v>59</v>
      </c>
      <c r="AG341" s="687">
        <v>202.63</v>
      </c>
      <c r="AH341" s="687">
        <v>47.97</v>
      </c>
      <c r="AI341" s="687"/>
      <c r="AJ341" s="687"/>
      <c r="AK341" s="687">
        <v>2299.4</v>
      </c>
      <c r="AL341" s="687"/>
      <c r="AM341" s="687"/>
      <c r="AN341" s="24093" t="s">
        <v>9</v>
      </c>
      <c r="AO341" s="23957" t="s">
        <v>59</v>
      </c>
      <c r="AP341" s="24095" t="s">
        <v>770</v>
      </c>
      <c r="AQ341" s="23957" t="s">
        <v>59</v>
      </c>
      <c r="AR341" s="687">
        <v>222.73</v>
      </c>
      <c r="AS341" s="687">
        <v>52.63</v>
      </c>
      <c r="AT341" s="687"/>
      <c r="AU341" s="687"/>
      <c r="AV341" s="687">
        <v>2529.35</v>
      </c>
      <c r="AW341" s="687"/>
      <c r="AX341" s="687"/>
      <c r="AY341" s="24093" t="s">
        <v>772</v>
      </c>
      <c r="AZ341" s="23957" t="s">
        <v>59</v>
      </c>
      <c r="BA341" s="24093" t="s">
        <v>773</v>
      </c>
      <c r="BB341" s="23957" t="s">
        <v>59</v>
      </c>
      <c r="BC341" s="687">
        <v>222.73</v>
      </c>
      <c r="BD341" s="687">
        <v>52.63</v>
      </c>
      <c r="BE341" s="687"/>
      <c r="BF341" s="687"/>
      <c r="BG341" s="687">
        <v>2529.35</v>
      </c>
      <c r="BH341" s="687"/>
      <c r="BI341" s="687"/>
      <c r="BJ341" s="24093" t="s">
        <v>774</v>
      </c>
      <c r="BK341" s="23957" t="s">
        <v>59</v>
      </c>
      <c r="BL341" s="24093" t="s">
        <v>775</v>
      </c>
      <c r="BM341" s="23957" t="s">
        <v>59</v>
      </c>
      <c r="BN341" s="687">
        <v>247.8</v>
      </c>
      <c r="BO341" s="687">
        <v>58.89</v>
      </c>
      <c r="BP341" s="687"/>
      <c r="BQ341" s="687"/>
      <c r="BR341" s="687">
        <v>2807.58</v>
      </c>
      <c r="BS341" s="687"/>
      <c r="BT341" s="687"/>
      <c r="BU341" s="24093" t="s">
        <v>776</v>
      </c>
      <c r="BV341" s="23957" t="s">
        <v>59</v>
      </c>
      <c r="BW341" s="24093" t="s">
        <v>777</v>
      </c>
      <c r="BX341" s="23957" t="s">
        <v>59</v>
      </c>
      <c r="BY341" s="687">
        <v>252.02</v>
      </c>
      <c r="BZ341" s="687">
        <v>59.89</v>
      </c>
      <c r="CA341" s="687"/>
      <c r="CB341" s="687"/>
      <c r="CC341" s="687">
        <v>2836.41</v>
      </c>
      <c r="CD341" s="687"/>
      <c r="CE341" s="687"/>
      <c r="CF341" s="24093" t="s">
        <v>778</v>
      </c>
      <c r="CG341" s="23957" t="s">
        <v>59</v>
      </c>
      <c r="CH341" s="24185">
        <v>46295</v>
      </c>
      <c r="CI341" s="23957" t="s">
        <v>59</v>
      </c>
      <c r="CJ341" s="687">
        <v>282.26</v>
      </c>
      <c r="CK341" s="687">
        <v>67.08</v>
      </c>
      <c r="CL341" s="687"/>
      <c r="CM341" s="687"/>
      <c r="CN341" s="687">
        <v>3176.78</v>
      </c>
      <c r="CO341" s="687"/>
      <c r="CP341" s="687"/>
      <c r="CQ341" s="24185">
        <v>46296</v>
      </c>
      <c r="CR341" s="23957" t="s">
        <v>59</v>
      </c>
      <c r="CS341" s="24093" t="s">
        <v>779</v>
      </c>
      <c r="CT341" s="23957" t="s">
        <v>59</v>
      </c>
      <c r="CU341" s="687">
        <f>CJ341</f>
        <v>282.26</v>
      </c>
      <c r="CV341" s="687">
        <f>CK341</f>
        <v>67.08</v>
      </c>
      <c r="CW341" s="687"/>
      <c r="CX341" s="687"/>
      <c r="CY341" s="687">
        <f>CN341</f>
        <v>3176.78</v>
      </c>
      <c r="CZ341" s="687"/>
      <c r="DA341" s="687"/>
      <c r="DB341" s="24093" t="s">
        <v>780</v>
      </c>
      <c r="DC341" s="23957" t="s">
        <v>59</v>
      </c>
      <c r="DD341" s="24093" t="s">
        <v>781</v>
      </c>
      <c r="DE341" s="23957" t="s">
        <v>59</v>
      </c>
      <c r="DF341" s="687">
        <v>306.82</v>
      </c>
      <c r="DG341" s="687">
        <v>72.92</v>
      </c>
      <c r="DH341" s="687"/>
      <c r="DI341" s="687"/>
      <c r="DJ341" s="687">
        <v>3453.16</v>
      </c>
      <c r="DK341" s="687"/>
      <c r="DL341" s="687"/>
      <c r="DM341" s="24093" t="s">
        <v>782</v>
      </c>
      <c r="DN341" s="23957" t="s">
        <v>59</v>
      </c>
      <c r="DO341" s="24093" t="s">
        <v>783</v>
      </c>
      <c r="DP341" s="23957" t="s">
        <v>59</v>
      </c>
      <c r="DQ341" s="687">
        <f>DF341</f>
        <v>306.82</v>
      </c>
      <c r="DR341" s="687">
        <f>DG341</f>
        <v>72.92</v>
      </c>
      <c r="DS341" s="687"/>
      <c r="DT341" s="687"/>
      <c r="DU341" s="687">
        <f>DJ341</f>
        <v>3453.16</v>
      </c>
      <c r="DV341" s="687"/>
      <c r="DW341" s="687"/>
      <c r="DX341" s="24093" t="s">
        <v>784</v>
      </c>
      <c r="DY341" s="23957" t="s">
        <v>59</v>
      </c>
      <c r="DZ341" s="24093" t="s">
        <v>785</v>
      </c>
      <c r="EA341" s="23957" t="s">
        <v>59</v>
      </c>
      <c r="EB341" s="687">
        <v>328.61</v>
      </c>
      <c r="EC341" s="687">
        <v>78.099999999999994</v>
      </c>
      <c r="ED341" s="687"/>
      <c r="EE341" s="687"/>
      <c r="EF341" s="687">
        <v>3698.33</v>
      </c>
      <c r="EG341" s="687"/>
      <c r="EH341" s="687"/>
      <c r="EI341" s="24093" t="s">
        <v>786</v>
      </c>
      <c r="EJ341" s="23957" t="s">
        <v>59</v>
      </c>
      <c r="EK341" s="24093" t="s">
        <v>787</v>
      </c>
      <c r="EL341" s="23957" t="s">
        <v>6</v>
      </c>
      <c r="EM341" s="1286"/>
      <c r="EN341" s="1286"/>
      <c r="EO341" s="1286"/>
      <c r="EP341" s="1286"/>
      <c r="EQ341" s="1286"/>
      <c r="ER341" s="1286"/>
      <c r="ES341" s="1286"/>
      <c r="ET341" s="24086"/>
      <c r="EU341" s="24085" t="s">
        <v>59</v>
      </c>
      <c r="EV341" s="24086"/>
      <c r="EW341" s="24085" t="s">
        <v>59</v>
      </c>
      <c r="EX341" s="1286"/>
      <c r="EY341" s="1286"/>
      <c r="EZ341" s="1286"/>
      <c r="FA341" s="1286"/>
      <c r="FB341" s="1286"/>
      <c r="FC341" s="1286"/>
      <c r="FD341" s="1286"/>
      <c r="FE341" s="24086"/>
      <c r="FF341" s="24085" t="s">
        <v>59</v>
      </c>
      <c r="FG341" s="24086"/>
      <c r="FH341" s="24085" t="s">
        <v>59</v>
      </c>
      <c r="FI341" s="1286"/>
      <c r="FJ341" s="1286"/>
      <c r="FK341" s="1286"/>
      <c r="FL341" s="1286"/>
      <c r="FM341" s="1286"/>
      <c r="FN341" s="1286"/>
      <c r="FO341" s="1286"/>
      <c r="FP341" s="24086"/>
      <c r="FQ341" s="24085" t="s">
        <v>59</v>
      </c>
      <c r="FR341" s="24086"/>
      <c r="FS341" s="24085" t="s">
        <v>59</v>
      </c>
      <c r="FT341" s="1364"/>
      <c r="FU34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41" s="1568" t="e">
        <f ca="1">STRCHECKDATE(V342:FT342)</f>
        <v>#NAME?</v>
      </c>
      <c r="FW341" s="1550"/>
      <c r="FX341" s="1550" t="str">
        <f t="shared" si="5"/>
        <v/>
      </c>
      <c r="FY341" s="1550"/>
      <c r="FZ341" s="1550"/>
      <c r="GA341" s="1561">
        <v>0</v>
      </c>
    </row>
    <row r="342" spans="1:183" s="1747" customFormat="1" ht="14.25" customHeight="1">
      <c r="A342" s="1289"/>
      <c r="B342" s="1289"/>
      <c r="C342" s="1289"/>
      <c r="D342" s="1289"/>
      <c r="E342" s="24089"/>
      <c r="F342" s="24089"/>
      <c r="G342" s="24089"/>
      <c r="H342" s="24089"/>
      <c r="I342" s="24091"/>
      <c r="J342" s="24091" t="str">
        <f>I335&amp;".1"</f>
        <v>1.14.1.1.1</v>
      </c>
      <c r="K342" s="24090"/>
      <c r="L342" s="1295"/>
      <c r="M342" s="1674"/>
      <c r="N342" s="1674"/>
      <c r="O342" s="1674"/>
      <c r="P342" s="24092"/>
      <c r="Q342" s="24092"/>
      <c r="R342" s="293"/>
      <c r="S342" s="1982"/>
      <c r="T342" s="236"/>
      <c r="U342" s="236"/>
      <c r="V342" s="1286"/>
      <c r="W342" s="1286"/>
      <c r="X342" s="1286"/>
      <c r="Y342" s="1286"/>
      <c r="Z342" s="1286"/>
      <c r="AA342" s="1286"/>
      <c r="AB342" s="1286"/>
      <c r="AC342" s="24085"/>
      <c r="AD342" s="24085"/>
      <c r="AE342" s="24085"/>
      <c r="AF342" s="24085"/>
      <c r="AG342" s="261"/>
      <c r="AH342" s="261"/>
      <c r="AI342" s="261"/>
      <c r="AJ342" s="261"/>
      <c r="AK342" s="261"/>
      <c r="AL342" s="261"/>
      <c r="AM342" s="261"/>
      <c r="AN342" s="24094"/>
      <c r="AO342" s="23957"/>
      <c r="AP342" s="24096"/>
      <c r="AQ342" s="23957"/>
      <c r="AR342" s="261"/>
      <c r="AS342" s="261"/>
      <c r="AT342" s="261"/>
      <c r="AU342" s="261"/>
      <c r="AV342" s="261"/>
      <c r="AW342" s="261"/>
      <c r="AX342" s="261"/>
      <c r="AY342" s="24094"/>
      <c r="AZ342" s="23957"/>
      <c r="BA342" s="24094"/>
      <c r="BB342" s="23957"/>
      <c r="BC342" s="261"/>
      <c r="BD342" s="261"/>
      <c r="BE342" s="261"/>
      <c r="BF342" s="261"/>
      <c r="BG342" s="261"/>
      <c r="BH342" s="261"/>
      <c r="BI342" s="261"/>
      <c r="BJ342" s="24094"/>
      <c r="BK342" s="23957"/>
      <c r="BL342" s="24094"/>
      <c r="BM342" s="23957"/>
      <c r="BN342" s="261"/>
      <c r="BO342" s="261"/>
      <c r="BP342" s="261"/>
      <c r="BQ342" s="261"/>
      <c r="BR342" s="261"/>
      <c r="BS342" s="261"/>
      <c r="BT342" s="261"/>
      <c r="BU342" s="24094"/>
      <c r="BV342" s="23957"/>
      <c r="BW342" s="24094"/>
      <c r="BX342" s="23957"/>
      <c r="BY342" s="261"/>
      <c r="BZ342" s="261"/>
      <c r="CA342" s="261"/>
      <c r="CB342" s="261"/>
      <c r="CC342" s="261"/>
      <c r="CD342" s="261"/>
      <c r="CE342" s="261"/>
      <c r="CF342" s="24094"/>
      <c r="CG342" s="23957"/>
      <c r="CH342" s="24094"/>
      <c r="CI342" s="23957"/>
      <c r="CJ342" s="261"/>
      <c r="CK342" s="261"/>
      <c r="CL342" s="261"/>
      <c r="CM342" s="261"/>
      <c r="CN342" s="261"/>
      <c r="CO342" s="261"/>
      <c r="CP342" s="261"/>
      <c r="CQ342" s="24094"/>
      <c r="CR342" s="23957"/>
      <c r="CS342" s="24094"/>
      <c r="CT342" s="23957"/>
      <c r="CU342" s="261"/>
      <c r="CV342" s="261"/>
      <c r="CW342" s="261"/>
      <c r="CX342" s="261"/>
      <c r="CY342" s="261"/>
      <c r="CZ342" s="261"/>
      <c r="DA342" s="261"/>
      <c r="DB342" s="24094"/>
      <c r="DC342" s="23957"/>
      <c r="DD342" s="24094"/>
      <c r="DE342" s="23957"/>
      <c r="DF342" s="261"/>
      <c r="DG342" s="261"/>
      <c r="DH342" s="261"/>
      <c r="DI342" s="261"/>
      <c r="DJ342" s="261"/>
      <c r="DK342" s="261"/>
      <c r="DL342" s="261"/>
      <c r="DM342" s="24094"/>
      <c r="DN342" s="23957"/>
      <c r="DO342" s="24094"/>
      <c r="DP342" s="23957"/>
      <c r="DQ342" s="261"/>
      <c r="DR342" s="261"/>
      <c r="DS342" s="261"/>
      <c r="DT342" s="261"/>
      <c r="DU342" s="261"/>
      <c r="DV342" s="261"/>
      <c r="DW342" s="261"/>
      <c r="DX342" s="24094"/>
      <c r="DY342" s="23957"/>
      <c r="DZ342" s="24094"/>
      <c r="EA342" s="23957"/>
      <c r="EB342" s="261"/>
      <c r="EC342" s="261"/>
      <c r="ED342" s="261"/>
      <c r="EE342" s="261"/>
      <c r="EF342" s="261"/>
      <c r="EG342" s="261"/>
      <c r="EH342" s="261"/>
      <c r="EI342" s="24094"/>
      <c r="EJ342" s="23957"/>
      <c r="EK342" s="24094"/>
      <c r="EL342" s="23957"/>
      <c r="EM342" s="1286"/>
      <c r="EN342" s="1286"/>
      <c r="EO342" s="1286"/>
      <c r="EP342" s="1286"/>
      <c r="EQ342" s="1286"/>
      <c r="ER342" s="1286"/>
      <c r="ES342" s="1286"/>
      <c r="ET342" s="24085"/>
      <c r="EU342" s="24085"/>
      <c r="EV342" s="24085"/>
      <c r="EW342" s="24085"/>
      <c r="EX342" s="1286"/>
      <c r="EY342" s="1286"/>
      <c r="EZ342" s="1286"/>
      <c r="FA342" s="1286"/>
      <c r="FB342" s="1286"/>
      <c r="FC342" s="1286"/>
      <c r="FD342" s="1286"/>
      <c r="FE342" s="24085"/>
      <c r="FF342" s="24085"/>
      <c r="FG342" s="24085"/>
      <c r="FH342" s="24085"/>
      <c r="FI342" s="1286"/>
      <c r="FJ342" s="1286"/>
      <c r="FK342" s="1286"/>
      <c r="FL342" s="1286"/>
      <c r="FM342" s="1286"/>
      <c r="FN342" s="1286"/>
      <c r="FO342" s="1286"/>
      <c r="FP342" s="24085"/>
      <c r="FQ342" s="24085"/>
      <c r="FR342" s="24085"/>
      <c r="FS342" s="24085"/>
      <c r="FT342" s="1365"/>
      <c r="FU342" s="24162"/>
      <c r="FV342" s="1568"/>
      <c r="FW342" s="1550"/>
      <c r="FX342" s="1550" t="str">
        <f t="shared" si="5"/>
        <v/>
      </c>
      <c r="FY342" s="1550"/>
      <c r="FZ342" s="1550"/>
      <c r="GA342" s="1561">
        <v>0</v>
      </c>
    </row>
    <row r="343" spans="1:183" s="1747" customFormat="1" ht="21" customHeight="1">
      <c r="A343" s="1289"/>
      <c r="B343" s="1289"/>
      <c r="C343" s="1289"/>
      <c r="D343" s="1289"/>
      <c r="E343" s="24089"/>
      <c r="F343" s="24089"/>
      <c r="G343" s="24089"/>
      <c r="H343" s="24089"/>
      <c r="I343" s="24091"/>
      <c r="J343" s="24090" t="str">
        <f>I335&amp;".1"</f>
        <v>1.14.1.1.1</v>
      </c>
      <c r="K343" s="1289"/>
      <c r="L343" s="1295"/>
      <c r="M343" s="1674"/>
      <c r="N343" s="1674"/>
      <c r="O343" s="1674"/>
      <c r="P343" s="24092"/>
      <c r="Q343" s="24092"/>
      <c r="R343" s="292"/>
      <c r="S343" s="4771"/>
      <c r="T343" s="4772" t="s">
        <v>712</v>
      </c>
      <c r="U343" s="4773"/>
      <c r="V343" s="4774"/>
      <c r="W343" s="4775"/>
      <c r="X343" s="4776"/>
      <c r="Y343" s="4777"/>
      <c r="Z343" s="4778"/>
      <c r="AA343" s="4779"/>
      <c r="AB343" s="4780"/>
      <c r="AC343" s="4781"/>
      <c r="AD343" s="4782"/>
      <c r="AE343" s="4783"/>
      <c r="AF343" s="4784"/>
      <c r="AG343" s="4785"/>
      <c r="AH343" s="4786"/>
      <c r="AI343" s="4787"/>
      <c r="AJ343" s="4788"/>
      <c r="AK343" s="4789"/>
      <c r="AL343" s="4790"/>
      <c r="AM343" s="4791"/>
      <c r="AN343" s="4792"/>
      <c r="AO343" s="4793"/>
      <c r="AP343" s="4794"/>
      <c r="AQ343" s="4795"/>
      <c r="AR343" s="7659"/>
      <c r="AS343" s="7660"/>
      <c r="AT343" s="7661"/>
      <c r="AU343" s="7662"/>
      <c r="AV343" s="7663"/>
      <c r="AW343" s="7664"/>
      <c r="AX343" s="7665"/>
      <c r="AY343" s="7666"/>
      <c r="AZ343" s="7667"/>
      <c r="BA343" s="7668"/>
      <c r="BB343" s="7669"/>
      <c r="BC343" s="7670"/>
      <c r="BD343" s="7671"/>
      <c r="BE343" s="17239"/>
      <c r="BF343" s="17240"/>
      <c r="BG343" s="21911"/>
      <c r="BH343" s="17241"/>
      <c r="BI343" s="17242"/>
      <c r="BJ343" s="17243"/>
      <c r="BK343" s="17244"/>
      <c r="BL343" s="17245"/>
      <c r="BM343" s="17246"/>
      <c r="BN343" s="4796"/>
      <c r="BO343" s="4797"/>
      <c r="BP343" s="17247"/>
      <c r="BQ343" s="17248"/>
      <c r="BR343" s="4798"/>
      <c r="BS343" s="17249"/>
      <c r="BT343" s="17250"/>
      <c r="BU343" s="17251"/>
      <c r="BV343" s="17252"/>
      <c r="BW343" s="17253"/>
      <c r="BX343" s="17254"/>
      <c r="BY343" s="17255"/>
      <c r="BZ343" s="17256"/>
      <c r="CA343" s="17257"/>
      <c r="CB343" s="17258"/>
      <c r="CC343" s="17259"/>
      <c r="CD343" s="17260"/>
      <c r="CE343" s="17261"/>
      <c r="CF343" s="17262"/>
      <c r="CG343" s="17263"/>
      <c r="CH343" s="17264"/>
      <c r="CI343" s="17265"/>
      <c r="CJ343" s="17266"/>
      <c r="CK343" s="17267"/>
      <c r="CL343" s="17268"/>
      <c r="CM343" s="17269"/>
      <c r="CN343" s="17270"/>
      <c r="CO343" s="17271"/>
      <c r="CP343" s="17272"/>
      <c r="CQ343" s="17273"/>
      <c r="CR343" s="17274"/>
      <c r="CS343" s="17275"/>
      <c r="CT343" s="17276"/>
      <c r="CU343" s="17277"/>
      <c r="CV343" s="17278"/>
      <c r="CW343" s="17279"/>
      <c r="CX343" s="17280"/>
      <c r="CY343" s="17281"/>
      <c r="CZ343" s="17282"/>
      <c r="DA343" s="17283"/>
      <c r="DB343" s="17284"/>
      <c r="DC343" s="17285"/>
      <c r="DD343" s="17286"/>
      <c r="DE343" s="17287"/>
      <c r="DF343" s="17288"/>
      <c r="DG343" s="17289"/>
      <c r="DH343" s="17290"/>
      <c r="DI343" s="17291"/>
      <c r="DJ343" s="17292"/>
      <c r="DK343" s="17293"/>
      <c r="DL343" s="17294"/>
      <c r="DM343" s="17295"/>
      <c r="DN343" s="17296"/>
      <c r="DO343" s="17297"/>
      <c r="DP343" s="17298"/>
      <c r="DQ343" s="17299"/>
      <c r="DR343" s="17300"/>
      <c r="DS343" s="17301"/>
      <c r="DT343" s="17302"/>
      <c r="DU343" s="17303"/>
      <c r="DV343" s="17304"/>
      <c r="DW343" s="17305"/>
      <c r="DX343" s="17306"/>
      <c r="DY343" s="17307"/>
      <c r="DZ343" s="17308"/>
      <c r="EA343" s="17309"/>
      <c r="EB343" s="17310"/>
      <c r="EC343" s="17311"/>
      <c r="ED343" s="17312"/>
      <c r="EE343" s="17313"/>
      <c r="EF343" s="17314"/>
      <c r="EG343" s="17315"/>
      <c r="EH343" s="17316"/>
      <c r="EI343" s="17317"/>
      <c r="EJ343" s="17318"/>
      <c r="EK343" s="17319"/>
      <c r="EL343" s="17320"/>
      <c r="EM343" s="21689"/>
      <c r="EN343" s="21690"/>
      <c r="EO343" s="17321"/>
      <c r="EP343" s="17322"/>
      <c r="EQ343" s="21691"/>
      <c r="ER343" s="17323"/>
      <c r="ES343" s="17324"/>
      <c r="ET343" s="17325"/>
      <c r="EU343" s="17326"/>
      <c r="EV343" s="17327"/>
      <c r="EW343" s="17328"/>
      <c r="EX343" s="4799"/>
      <c r="EY343" s="4800"/>
      <c r="EZ343" s="17329"/>
      <c r="FA343" s="17330"/>
      <c r="FB343" s="4801"/>
      <c r="FC343" s="17331"/>
      <c r="FD343" s="17332"/>
      <c r="FE343" s="17333"/>
      <c r="FF343" s="17334"/>
      <c r="FG343" s="17335"/>
      <c r="FH343" s="5747"/>
      <c r="FI343" s="22956"/>
      <c r="FJ343" s="22957"/>
      <c r="FK343" s="23697"/>
      <c r="FL343" s="23698"/>
      <c r="FM343" s="22958"/>
      <c r="FN343" s="23699"/>
      <c r="FO343" s="23700"/>
      <c r="FP343" s="22959"/>
      <c r="FQ343" s="22960"/>
      <c r="FR343" s="22961"/>
      <c r="FS343" s="23701"/>
      <c r="FT343" s="4802"/>
      <c r="FU343" s="1184" t="s">
        <v>713</v>
      </c>
      <c r="FV343" s="1568"/>
      <c r="FW343" s="1550"/>
      <c r="FX343" s="1550" t="str">
        <f t="shared" si="5"/>
        <v>Добавить значение признака дифференциации</v>
      </c>
      <c r="FY343" s="1550"/>
      <c r="FZ343" s="1550"/>
      <c r="GA343" s="1561">
        <v>0</v>
      </c>
    </row>
    <row r="344" spans="1:183" s="1747" customFormat="1" ht="21" customHeight="1">
      <c r="A344" s="1289"/>
      <c r="B344" s="1289"/>
      <c r="C344" s="1289"/>
      <c r="D344" s="1289"/>
      <c r="E344" s="24089"/>
      <c r="F344" s="24089" t="s">
        <v>101</v>
      </c>
      <c r="G344" s="24089"/>
      <c r="H344" s="24089"/>
      <c r="I344" s="24090"/>
      <c r="J344" s="1289"/>
      <c r="K344" s="1289"/>
      <c r="L344" s="1295"/>
      <c r="M344" s="1674"/>
      <c r="N344" s="1674"/>
      <c r="O344" s="1674"/>
      <c r="P344" s="24092"/>
      <c r="Q344" s="1978"/>
      <c r="R344" s="292"/>
      <c r="S344" s="4803"/>
      <c r="T344" s="4804" t="s">
        <v>641</v>
      </c>
      <c r="U344" s="4805"/>
      <c r="V344" s="4806"/>
      <c r="W344" s="4807"/>
      <c r="X344" s="4808"/>
      <c r="Y344" s="4809"/>
      <c r="Z344" s="4810"/>
      <c r="AA344" s="4811"/>
      <c r="AB344" s="4812"/>
      <c r="AC344" s="4813"/>
      <c r="AD344" s="4814"/>
      <c r="AE344" s="4815"/>
      <c r="AF344" s="4816"/>
      <c r="AG344" s="4817"/>
      <c r="AH344" s="4818"/>
      <c r="AI344" s="4819"/>
      <c r="AJ344" s="4820"/>
      <c r="AK344" s="4821"/>
      <c r="AL344" s="4822"/>
      <c r="AM344" s="4823"/>
      <c r="AN344" s="4824"/>
      <c r="AO344" s="4825"/>
      <c r="AP344" s="4826"/>
      <c r="AQ344" s="4827"/>
      <c r="AR344" s="7672"/>
      <c r="AS344" s="7673"/>
      <c r="AT344" s="7674"/>
      <c r="AU344" s="7675"/>
      <c r="AV344" s="7676"/>
      <c r="AW344" s="7677"/>
      <c r="AX344" s="7678"/>
      <c r="AY344" s="7679"/>
      <c r="AZ344" s="7680"/>
      <c r="BA344" s="7681"/>
      <c r="BB344" s="7682"/>
      <c r="BC344" s="7683"/>
      <c r="BD344" s="7684"/>
      <c r="BE344" s="17336"/>
      <c r="BF344" s="17337"/>
      <c r="BG344" s="21912"/>
      <c r="BH344" s="17338"/>
      <c r="BI344" s="17339"/>
      <c r="BJ344" s="17340"/>
      <c r="BK344" s="17341"/>
      <c r="BL344" s="17342"/>
      <c r="BM344" s="17343"/>
      <c r="BN344" s="4828"/>
      <c r="BO344" s="4829"/>
      <c r="BP344" s="17344"/>
      <c r="BQ344" s="17345"/>
      <c r="BR344" s="4830"/>
      <c r="BS344" s="17346"/>
      <c r="BT344" s="17347"/>
      <c r="BU344" s="17348"/>
      <c r="BV344" s="17349"/>
      <c r="BW344" s="17350"/>
      <c r="BX344" s="17351"/>
      <c r="BY344" s="17352"/>
      <c r="BZ344" s="17353"/>
      <c r="CA344" s="17354"/>
      <c r="CB344" s="17355"/>
      <c r="CC344" s="17356"/>
      <c r="CD344" s="17357"/>
      <c r="CE344" s="17358"/>
      <c r="CF344" s="17359"/>
      <c r="CG344" s="17360"/>
      <c r="CH344" s="17361"/>
      <c r="CI344" s="17362"/>
      <c r="CJ344" s="17363"/>
      <c r="CK344" s="17364"/>
      <c r="CL344" s="17365"/>
      <c r="CM344" s="17366"/>
      <c r="CN344" s="17367"/>
      <c r="CO344" s="17368"/>
      <c r="CP344" s="17369"/>
      <c r="CQ344" s="17370"/>
      <c r="CR344" s="17371"/>
      <c r="CS344" s="17372"/>
      <c r="CT344" s="17373"/>
      <c r="CU344" s="17374"/>
      <c r="CV344" s="17375"/>
      <c r="CW344" s="17376"/>
      <c r="CX344" s="17377"/>
      <c r="CY344" s="17378"/>
      <c r="CZ344" s="17379"/>
      <c r="DA344" s="17380"/>
      <c r="DB344" s="17381"/>
      <c r="DC344" s="17382"/>
      <c r="DD344" s="17383"/>
      <c r="DE344" s="17384"/>
      <c r="DF344" s="17385"/>
      <c r="DG344" s="17386"/>
      <c r="DH344" s="17387"/>
      <c r="DI344" s="17388"/>
      <c r="DJ344" s="17389"/>
      <c r="DK344" s="17390"/>
      <c r="DL344" s="17391"/>
      <c r="DM344" s="17392"/>
      <c r="DN344" s="17393"/>
      <c r="DO344" s="17394"/>
      <c r="DP344" s="17395"/>
      <c r="DQ344" s="17396"/>
      <c r="DR344" s="17397"/>
      <c r="DS344" s="17398"/>
      <c r="DT344" s="17399"/>
      <c r="DU344" s="17400"/>
      <c r="DV344" s="17401"/>
      <c r="DW344" s="17402"/>
      <c r="DX344" s="17403"/>
      <c r="DY344" s="17404"/>
      <c r="DZ344" s="17405"/>
      <c r="EA344" s="17406"/>
      <c r="EB344" s="17407"/>
      <c r="EC344" s="17408"/>
      <c r="ED344" s="17409"/>
      <c r="EE344" s="17410"/>
      <c r="EF344" s="17411"/>
      <c r="EG344" s="17412"/>
      <c r="EH344" s="17413"/>
      <c r="EI344" s="17414"/>
      <c r="EJ344" s="17415"/>
      <c r="EK344" s="17416"/>
      <c r="EL344" s="17417"/>
      <c r="EM344" s="21692"/>
      <c r="EN344" s="21693"/>
      <c r="EO344" s="17418"/>
      <c r="EP344" s="17419"/>
      <c r="EQ344" s="21694"/>
      <c r="ER344" s="17420"/>
      <c r="ES344" s="17421"/>
      <c r="ET344" s="17422"/>
      <c r="EU344" s="17423"/>
      <c r="EV344" s="17424"/>
      <c r="EW344" s="17425"/>
      <c r="EX344" s="4831"/>
      <c r="EY344" s="4832"/>
      <c r="EZ344" s="17426"/>
      <c r="FA344" s="17427"/>
      <c r="FB344" s="4833"/>
      <c r="FC344" s="17428"/>
      <c r="FD344" s="17429"/>
      <c r="FE344" s="17430"/>
      <c r="FF344" s="17431"/>
      <c r="FG344" s="17432"/>
      <c r="FH344" s="5748"/>
      <c r="FI344" s="22962"/>
      <c r="FJ344" s="22963"/>
      <c r="FK344" s="23702"/>
      <c r="FL344" s="23703"/>
      <c r="FM344" s="22964"/>
      <c r="FN344" s="23704"/>
      <c r="FO344" s="23705"/>
      <c r="FP344" s="22965"/>
      <c r="FQ344" s="22966"/>
      <c r="FR344" s="22967"/>
      <c r="FS344" s="23706"/>
      <c r="FT344" s="4834"/>
      <c r="FU344" s="4835"/>
      <c r="FV344" s="1568"/>
      <c r="FW344" s="1550"/>
      <c r="FX344" s="1550" t="str">
        <f t="shared" si="5"/>
        <v>Добавить группу потребителей</v>
      </c>
      <c r="FY344" s="1550"/>
      <c r="FZ344" s="1550"/>
      <c r="GA344" s="1561">
        <v>0</v>
      </c>
    </row>
    <row r="345" spans="1:183" s="1747" customFormat="1" ht="21" customHeight="1">
      <c r="A345" s="1289"/>
      <c r="B345" s="1289"/>
      <c r="C345" s="1289"/>
      <c r="D345" s="1289"/>
      <c r="E345" s="24089"/>
      <c r="F345" s="24089" t="s">
        <v>101</v>
      </c>
      <c r="G345" s="24089"/>
      <c r="H345" s="24088"/>
      <c r="I345" s="1289"/>
      <c r="J345" s="1289"/>
      <c r="K345" s="1289"/>
      <c r="L345" s="1295"/>
      <c r="M345" s="1291"/>
      <c r="N345" s="1291"/>
      <c r="O345" s="1292"/>
      <c r="P345" s="1720"/>
      <c r="Q345" s="311"/>
      <c r="R345" s="291"/>
      <c r="S345" s="4836"/>
      <c r="T345" s="4837" t="s">
        <v>714</v>
      </c>
      <c r="U345" s="4838"/>
      <c r="V345" s="4839"/>
      <c r="W345" s="4840"/>
      <c r="X345" s="4841"/>
      <c r="Y345" s="4842"/>
      <c r="Z345" s="4843"/>
      <c r="AA345" s="4844"/>
      <c r="AB345" s="4845"/>
      <c r="AC345" s="4846"/>
      <c r="AD345" s="4847"/>
      <c r="AE345" s="4848"/>
      <c r="AF345" s="4849"/>
      <c r="AG345" s="4850"/>
      <c r="AH345" s="4851"/>
      <c r="AI345" s="4852"/>
      <c r="AJ345" s="4853"/>
      <c r="AK345" s="4854"/>
      <c r="AL345" s="4855"/>
      <c r="AM345" s="4856"/>
      <c r="AN345" s="4857"/>
      <c r="AO345" s="4858"/>
      <c r="AP345" s="4859"/>
      <c r="AQ345" s="4860"/>
      <c r="AR345" s="7685"/>
      <c r="AS345" s="7686"/>
      <c r="AT345" s="7687"/>
      <c r="AU345" s="7688"/>
      <c r="AV345" s="7689"/>
      <c r="AW345" s="7690"/>
      <c r="AX345" s="7691"/>
      <c r="AY345" s="7692"/>
      <c r="AZ345" s="7693"/>
      <c r="BA345" s="7694"/>
      <c r="BB345" s="7695"/>
      <c r="BC345" s="7696"/>
      <c r="BD345" s="7697"/>
      <c r="BE345" s="17433"/>
      <c r="BF345" s="17434"/>
      <c r="BG345" s="21913"/>
      <c r="BH345" s="17435"/>
      <c r="BI345" s="17436"/>
      <c r="BJ345" s="17437"/>
      <c r="BK345" s="17438"/>
      <c r="BL345" s="17439"/>
      <c r="BM345" s="17440"/>
      <c r="BN345" s="4861"/>
      <c r="BO345" s="4862"/>
      <c r="BP345" s="17441"/>
      <c r="BQ345" s="17442"/>
      <c r="BR345" s="4863"/>
      <c r="BS345" s="17443"/>
      <c r="BT345" s="17444"/>
      <c r="BU345" s="17445"/>
      <c r="BV345" s="17446"/>
      <c r="BW345" s="17447"/>
      <c r="BX345" s="17448"/>
      <c r="BY345" s="17449"/>
      <c r="BZ345" s="17450"/>
      <c r="CA345" s="17451"/>
      <c r="CB345" s="17452"/>
      <c r="CC345" s="17453"/>
      <c r="CD345" s="17454"/>
      <c r="CE345" s="17455"/>
      <c r="CF345" s="17456"/>
      <c r="CG345" s="17457"/>
      <c r="CH345" s="17458"/>
      <c r="CI345" s="17459"/>
      <c r="CJ345" s="17460"/>
      <c r="CK345" s="17461"/>
      <c r="CL345" s="17462"/>
      <c r="CM345" s="17463"/>
      <c r="CN345" s="17464"/>
      <c r="CO345" s="17465"/>
      <c r="CP345" s="17466"/>
      <c r="CQ345" s="17467"/>
      <c r="CR345" s="17468"/>
      <c r="CS345" s="17469"/>
      <c r="CT345" s="17470"/>
      <c r="CU345" s="17471"/>
      <c r="CV345" s="17472"/>
      <c r="CW345" s="17473"/>
      <c r="CX345" s="17474"/>
      <c r="CY345" s="17475"/>
      <c r="CZ345" s="17476"/>
      <c r="DA345" s="17477"/>
      <c r="DB345" s="17478"/>
      <c r="DC345" s="17479"/>
      <c r="DD345" s="17480"/>
      <c r="DE345" s="17481"/>
      <c r="DF345" s="17482"/>
      <c r="DG345" s="17483"/>
      <c r="DH345" s="17484"/>
      <c r="DI345" s="17485"/>
      <c r="DJ345" s="17486"/>
      <c r="DK345" s="17487"/>
      <c r="DL345" s="17488"/>
      <c r="DM345" s="17489"/>
      <c r="DN345" s="17490"/>
      <c r="DO345" s="17491"/>
      <c r="DP345" s="17492"/>
      <c r="DQ345" s="17493"/>
      <c r="DR345" s="17494"/>
      <c r="DS345" s="17495"/>
      <c r="DT345" s="17496"/>
      <c r="DU345" s="17497"/>
      <c r="DV345" s="17498"/>
      <c r="DW345" s="17499"/>
      <c r="DX345" s="17500"/>
      <c r="DY345" s="17501"/>
      <c r="DZ345" s="17502"/>
      <c r="EA345" s="17503"/>
      <c r="EB345" s="17504"/>
      <c r="EC345" s="17505"/>
      <c r="ED345" s="17506"/>
      <c r="EE345" s="17507"/>
      <c r="EF345" s="17508"/>
      <c r="EG345" s="17509"/>
      <c r="EH345" s="17510"/>
      <c r="EI345" s="17511"/>
      <c r="EJ345" s="17512"/>
      <c r="EK345" s="17513"/>
      <c r="EL345" s="17514"/>
      <c r="EM345" s="21695"/>
      <c r="EN345" s="21696"/>
      <c r="EO345" s="17515"/>
      <c r="EP345" s="17516"/>
      <c r="EQ345" s="21697"/>
      <c r="ER345" s="17517"/>
      <c r="ES345" s="17518"/>
      <c r="ET345" s="17519"/>
      <c r="EU345" s="17520"/>
      <c r="EV345" s="17521"/>
      <c r="EW345" s="17522"/>
      <c r="EX345" s="4864"/>
      <c r="EY345" s="4865"/>
      <c r="EZ345" s="17523"/>
      <c r="FA345" s="17524"/>
      <c r="FB345" s="4866"/>
      <c r="FC345" s="17525"/>
      <c r="FD345" s="17526"/>
      <c r="FE345" s="17527"/>
      <c r="FF345" s="17528"/>
      <c r="FG345" s="17529"/>
      <c r="FH345" s="5749"/>
      <c r="FI345" s="22968"/>
      <c r="FJ345" s="22969"/>
      <c r="FK345" s="23707"/>
      <c r="FL345" s="23708"/>
      <c r="FM345" s="22970"/>
      <c r="FN345" s="23709"/>
      <c r="FO345" s="23710"/>
      <c r="FP345" s="22971"/>
      <c r="FQ345" s="22972"/>
      <c r="FR345" s="22973"/>
      <c r="FS345" s="23711"/>
      <c r="FT345" s="4867"/>
      <c r="FU345" s="4868"/>
      <c r="FV345" s="1568"/>
      <c r="FW345" s="1550"/>
      <c r="FX345" s="1550" t="str">
        <f t="shared" si="5"/>
        <v>Добавить наименование признака дифференциации</v>
      </c>
      <c r="FY345" s="1550"/>
      <c r="FZ345" s="1550"/>
      <c r="GA345" s="1561">
        <v>0</v>
      </c>
    </row>
    <row r="346" spans="1:183" s="558" customFormat="1" ht="14.25" customHeight="1">
      <c r="A346" s="1269"/>
      <c r="B346" s="1269"/>
      <c r="C346" s="1269"/>
      <c r="D346" s="1269"/>
      <c r="E346" s="24089"/>
      <c r="F346" s="24088" t="s">
        <v>101</v>
      </c>
      <c r="G346" s="1269"/>
      <c r="H346" s="1269"/>
      <c r="I346" s="1269"/>
      <c r="J346" s="1269"/>
      <c r="K346" s="1269"/>
      <c r="L346" s="1471"/>
      <c r="M346" s="1247"/>
      <c r="N346" s="1247"/>
      <c r="O346" s="1568"/>
      <c r="P346" s="1242"/>
      <c r="Q346" s="1270"/>
      <c r="R346" s="1242"/>
      <c r="S346" s="1248"/>
      <c r="T346" s="1251" t="s">
        <v>370</v>
      </c>
      <c r="U346" s="1250"/>
      <c r="V346" s="1250"/>
      <c r="W346" s="1250"/>
      <c r="X346" s="1250"/>
      <c r="Y346" s="1250"/>
      <c r="Z346" s="1250"/>
      <c r="AA346" s="1250"/>
      <c r="AB346" s="1250"/>
      <c r="AC346" s="1250"/>
      <c r="AD346" s="1250"/>
      <c r="AE346" s="1250"/>
      <c r="AF346" s="1250"/>
      <c r="AG346" s="1250"/>
      <c r="AH346" s="1250"/>
      <c r="AI346" s="1250"/>
      <c r="AJ346" s="1250"/>
      <c r="AK346" s="1250"/>
      <c r="AL346" s="1250"/>
      <c r="AM346" s="1250"/>
      <c r="AN346" s="1250"/>
      <c r="AO346" s="1250"/>
      <c r="AP346" s="1250"/>
      <c r="AQ346" s="1250"/>
      <c r="AR346" s="1250"/>
      <c r="AS346" s="1250"/>
      <c r="AT346" s="1250"/>
      <c r="AU346" s="1250"/>
      <c r="AV346" s="1250"/>
      <c r="AW346" s="1250"/>
      <c r="AX346" s="1250"/>
      <c r="AY346" s="1250"/>
      <c r="AZ346" s="1250"/>
      <c r="BA346" s="1250"/>
      <c r="BB346" s="1250"/>
      <c r="BC346" s="1250"/>
      <c r="BD346" s="1250"/>
      <c r="BE346" s="1250"/>
      <c r="BF346" s="1250"/>
      <c r="BG346" s="1250"/>
      <c r="BH346" s="1250"/>
      <c r="BI346" s="1250"/>
      <c r="BJ346" s="1250"/>
      <c r="BK346" s="1250"/>
      <c r="BL346" s="1250"/>
      <c r="BM346" s="1250"/>
      <c r="BN346" s="1250"/>
      <c r="BO346" s="1250"/>
      <c r="BP346" s="1250"/>
      <c r="BQ346" s="1250"/>
      <c r="BR346" s="1250"/>
      <c r="BS346" s="1250"/>
      <c r="BT346" s="1250"/>
      <c r="BU346" s="1250"/>
      <c r="BV346" s="1250"/>
      <c r="BW346" s="1250"/>
      <c r="BX346" s="1250"/>
      <c r="BY346" s="1250"/>
      <c r="BZ346" s="1250"/>
      <c r="CA346" s="1250"/>
      <c r="CB346" s="1250"/>
      <c r="CC346" s="1250"/>
      <c r="CD346" s="1250"/>
      <c r="CE346" s="1250"/>
      <c r="CF346" s="1250"/>
      <c r="CG346" s="1250"/>
      <c r="CH346" s="1250"/>
      <c r="CI346" s="1250"/>
      <c r="CJ346" s="1250"/>
      <c r="CK346" s="1250"/>
      <c r="CL346" s="1250"/>
      <c r="CM346" s="1250"/>
      <c r="CN346" s="1250"/>
      <c r="CO346" s="1250"/>
      <c r="CP346" s="1250"/>
      <c r="CQ346" s="1250"/>
      <c r="CR346" s="1250"/>
      <c r="CS346" s="1250"/>
      <c r="CT346" s="1250"/>
      <c r="CU346" s="1250"/>
      <c r="CV346" s="1250"/>
      <c r="CW346" s="1250"/>
      <c r="CX346" s="1250"/>
      <c r="CY346" s="1250"/>
      <c r="CZ346" s="1250"/>
      <c r="DA346" s="1250"/>
      <c r="DB346" s="1250"/>
      <c r="DC346" s="1250"/>
      <c r="DD346" s="1250"/>
      <c r="DE346" s="1250"/>
      <c r="DF346" s="1250"/>
      <c r="DG346" s="1250"/>
      <c r="DH346" s="1250"/>
      <c r="DI346" s="1250"/>
      <c r="DJ346" s="1250"/>
      <c r="DK346" s="1250"/>
      <c r="DL346" s="1250"/>
      <c r="DM346" s="1250"/>
      <c r="DN346" s="1250"/>
      <c r="DO346" s="1250"/>
      <c r="DP346" s="1250"/>
      <c r="DQ346" s="1250"/>
      <c r="DR346" s="1250"/>
      <c r="DS346" s="1250"/>
      <c r="DT346" s="1250"/>
      <c r="DU346" s="1250"/>
      <c r="DV346" s="1250"/>
      <c r="DW346" s="1250"/>
      <c r="DX346" s="1250"/>
      <c r="DY346" s="1250"/>
      <c r="DZ346" s="1250"/>
      <c r="EA346" s="1250"/>
      <c r="EB346" s="1250"/>
      <c r="EC346" s="1250"/>
      <c r="ED346" s="1250"/>
      <c r="EE346" s="1250"/>
      <c r="EF346" s="1250"/>
      <c r="EG346" s="1250"/>
      <c r="EH346" s="1250"/>
      <c r="EI346" s="1250"/>
      <c r="EJ346" s="1250"/>
      <c r="EK346" s="1250"/>
      <c r="EL346" s="1250"/>
      <c r="EM346" s="1250"/>
      <c r="EN346" s="1250"/>
      <c r="EO346" s="1250"/>
      <c r="EP346" s="1250"/>
      <c r="EQ346" s="1250"/>
      <c r="ER346" s="1250"/>
      <c r="ES346" s="1250"/>
      <c r="ET346" s="1250"/>
      <c r="EU346" s="1250"/>
      <c r="EV346" s="1250"/>
      <c r="EW346" s="1250"/>
      <c r="EX346" s="1250"/>
      <c r="EY346" s="1250"/>
      <c r="EZ346" s="1250"/>
      <c r="FA346" s="1250"/>
      <c r="FB346" s="1250"/>
      <c r="FC346" s="1250"/>
      <c r="FD346" s="1250"/>
      <c r="FE346" s="1250"/>
      <c r="FF346" s="1250"/>
      <c r="FG346" s="1250"/>
      <c r="FH346" s="1250"/>
      <c r="FI346" s="1250"/>
      <c r="FJ346" s="1250"/>
      <c r="FK346" s="1250"/>
      <c r="FL346" s="1250"/>
      <c r="FM346" s="1250"/>
      <c r="FN346" s="1250"/>
      <c r="FO346" s="1250"/>
      <c r="FP346" s="1250"/>
      <c r="FQ346" s="1250"/>
      <c r="FR346" s="1250"/>
      <c r="FS346" s="1250"/>
      <c r="FT346" s="1250"/>
      <c r="FU346" s="1250"/>
      <c r="FV346" s="1568"/>
      <c r="FW346" s="1550"/>
      <c r="FX346" s="1550" t="str">
        <f t="shared" si="5"/>
        <v>Добавить централизованную систему для дифференциации</v>
      </c>
      <c r="FY346" s="1550"/>
      <c r="FZ346" s="1550"/>
      <c r="GA346" s="1568">
        <v>0</v>
      </c>
    </row>
    <row r="347" spans="1:183" s="1747" customFormat="1" ht="23.25" customHeight="1">
      <c r="A347" s="1289"/>
      <c r="B347" s="1289" t="s">
        <v>439</v>
      </c>
      <c r="C347" s="1289"/>
      <c r="D347" s="1289"/>
      <c r="E347" s="24089"/>
      <c r="F347" s="24088" t="s">
        <v>160</v>
      </c>
      <c r="G347" s="1289"/>
      <c r="H347" s="1289"/>
      <c r="I347" s="1289"/>
      <c r="J347" s="1289"/>
      <c r="K347" s="1289"/>
      <c r="L347" s="1295"/>
      <c r="M347" s="1291"/>
      <c r="N347" s="1291"/>
      <c r="O347" s="1291"/>
      <c r="P347" s="1971"/>
      <c r="Q347" s="288"/>
      <c r="R347" s="289"/>
      <c r="S347" s="1976" t="str">
        <f>INDEX(PT_DIFFERENTIATION_NUM_TER,MATCH(B347,PT_DIFFERENTIATION_TER_ID,0))</f>
        <v>1.15</v>
      </c>
      <c r="T347" s="1448" t="s">
        <v>626</v>
      </c>
      <c r="U347" s="236"/>
      <c r="V347" s="24082"/>
      <c r="W347" s="24083"/>
      <c r="X347" s="24083"/>
      <c r="Y347" s="24083"/>
      <c r="Z347" s="24083"/>
      <c r="AA347" s="24083"/>
      <c r="AB347" s="24083"/>
      <c r="AC347" s="24083"/>
      <c r="AD347" s="24083"/>
      <c r="AE347" s="24083"/>
      <c r="AF347" s="24084"/>
      <c r="AG347" s="24082" t="str">
        <f>INDEX(PT_DIFFERENTIATION_TER,MATCH(B347,PT_DIFFERENTIATION_TER_ID,0))</f>
        <v>Территория 15</v>
      </c>
      <c r="AH347" s="24083"/>
      <c r="AI347" s="24083"/>
      <c r="AJ347" s="24083"/>
      <c r="AK347" s="24083"/>
      <c r="AL347" s="24083"/>
      <c r="AM347" s="24083"/>
      <c r="AN347" s="24083"/>
      <c r="AO347" s="24083"/>
      <c r="AP347" s="24083"/>
      <c r="AQ347" s="24083"/>
      <c r="AR347" s="24173"/>
      <c r="AS347" s="24174"/>
      <c r="AT347" s="24174"/>
      <c r="AU347" s="24174"/>
      <c r="AV347" s="24174"/>
      <c r="AW347" s="24174"/>
      <c r="AX347" s="24174"/>
      <c r="AY347" s="24174"/>
      <c r="AZ347" s="24174"/>
      <c r="BA347" s="24174"/>
      <c r="BB347" s="24175"/>
      <c r="BC347" s="24173"/>
      <c r="BD347" s="24174"/>
      <c r="BE347" s="24174"/>
      <c r="BF347" s="24174"/>
      <c r="BG347" s="24174"/>
      <c r="BH347" s="24174"/>
      <c r="BI347" s="24174"/>
      <c r="BJ347" s="24174"/>
      <c r="BK347" s="24174"/>
      <c r="BL347" s="24174"/>
      <c r="BM347" s="24175"/>
      <c r="BN347" s="24082"/>
      <c r="BO347" s="24083"/>
      <c r="BP347" s="24174"/>
      <c r="BQ347" s="24174"/>
      <c r="BR347" s="24083"/>
      <c r="BS347" s="24174"/>
      <c r="BT347" s="24174"/>
      <c r="BU347" s="24174"/>
      <c r="BV347" s="24174"/>
      <c r="BW347" s="24174"/>
      <c r="BX347" s="24175"/>
      <c r="BY347" s="24173"/>
      <c r="BZ347" s="24174"/>
      <c r="CA347" s="24174"/>
      <c r="CB347" s="24174"/>
      <c r="CC347" s="24174"/>
      <c r="CD347" s="24174"/>
      <c r="CE347" s="24174"/>
      <c r="CF347" s="24174"/>
      <c r="CG347" s="24174"/>
      <c r="CH347" s="24174"/>
      <c r="CI347" s="24175"/>
      <c r="CJ347" s="24173"/>
      <c r="CK347" s="24174"/>
      <c r="CL347" s="24174"/>
      <c r="CM347" s="24174"/>
      <c r="CN347" s="24174"/>
      <c r="CO347" s="24174"/>
      <c r="CP347" s="24174"/>
      <c r="CQ347" s="24174"/>
      <c r="CR347" s="24174"/>
      <c r="CS347" s="24174"/>
      <c r="CT347" s="24175"/>
      <c r="CU347" s="24173"/>
      <c r="CV347" s="24174"/>
      <c r="CW347" s="24174"/>
      <c r="CX347" s="24174"/>
      <c r="CY347" s="24174"/>
      <c r="CZ347" s="24174"/>
      <c r="DA347" s="24174"/>
      <c r="DB347" s="24174"/>
      <c r="DC347" s="24174"/>
      <c r="DD347" s="24174"/>
      <c r="DE347" s="24175"/>
      <c r="DF347" s="24173"/>
      <c r="DG347" s="24174"/>
      <c r="DH347" s="24174"/>
      <c r="DI347" s="24174"/>
      <c r="DJ347" s="24174"/>
      <c r="DK347" s="24174"/>
      <c r="DL347" s="24174"/>
      <c r="DM347" s="24174"/>
      <c r="DN347" s="24174"/>
      <c r="DO347" s="24174"/>
      <c r="DP347" s="24175"/>
      <c r="DQ347" s="24173"/>
      <c r="DR347" s="24174"/>
      <c r="DS347" s="24174"/>
      <c r="DT347" s="24174"/>
      <c r="DU347" s="24174"/>
      <c r="DV347" s="24174"/>
      <c r="DW347" s="24174"/>
      <c r="DX347" s="24174"/>
      <c r="DY347" s="24174"/>
      <c r="DZ347" s="24174"/>
      <c r="EA347" s="24175"/>
      <c r="EB347" s="24173"/>
      <c r="EC347" s="24174"/>
      <c r="ED347" s="24174"/>
      <c r="EE347" s="24174"/>
      <c r="EF347" s="24174"/>
      <c r="EG347" s="24174"/>
      <c r="EH347" s="24174"/>
      <c r="EI347" s="24174"/>
      <c r="EJ347" s="24174"/>
      <c r="EK347" s="24174"/>
      <c r="EL347" s="24175"/>
      <c r="EM347" s="24173"/>
      <c r="EN347" s="24174"/>
      <c r="EO347" s="24174"/>
      <c r="EP347" s="24174"/>
      <c r="EQ347" s="24174"/>
      <c r="ER347" s="24174"/>
      <c r="ES347" s="24174"/>
      <c r="ET347" s="24174"/>
      <c r="EU347" s="24174"/>
      <c r="EV347" s="24174"/>
      <c r="EW347" s="24175"/>
      <c r="EX347" s="24082"/>
      <c r="EY347" s="24083"/>
      <c r="EZ347" s="24174"/>
      <c r="FA347" s="24174"/>
      <c r="FB347" s="24083"/>
      <c r="FC347" s="24174"/>
      <c r="FD347" s="24174"/>
      <c r="FE347" s="24174"/>
      <c r="FF347" s="24174"/>
      <c r="FG347" s="24174"/>
      <c r="FH347" s="24175"/>
      <c r="FI347" s="24082"/>
      <c r="FJ347" s="24083"/>
      <c r="FK347" s="24174"/>
      <c r="FL347" s="24174"/>
      <c r="FM347" s="24083"/>
      <c r="FN347" s="24174"/>
      <c r="FO347" s="24174"/>
      <c r="FP347" s="24083"/>
      <c r="FQ347" s="24083"/>
      <c r="FR347" s="24083"/>
      <c r="FS347" s="24175"/>
      <c r="FT347" s="24084"/>
      <c r="FU347" s="1184" t="s">
        <v>627</v>
      </c>
      <c r="FV347" s="1568"/>
      <c r="FW347" s="1550"/>
      <c r="FX347" s="1550" t="str">
        <f t="shared" si="5"/>
        <v>Территория действия тарифа</v>
      </c>
      <c r="FY347" s="1550"/>
      <c r="FZ347" s="1550"/>
      <c r="GA347" s="1561">
        <v>0</v>
      </c>
    </row>
    <row r="348" spans="1:183" s="1747" customFormat="1" ht="23.25" customHeight="1">
      <c r="A348" s="1289"/>
      <c r="B348" s="1289"/>
      <c r="C348" s="1289" t="s">
        <v>440</v>
      </c>
      <c r="D348" s="1289"/>
      <c r="E348" s="24089"/>
      <c r="F348" s="24089" t="s">
        <v>154</v>
      </c>
      <c r="G348" s="24088">
        <v>1</v>
      </c>
      <c r="H348" s="1289"/>
      <c r="I348" s="1289"/>
      <c r="J348" s="1289"/>
      <c r="K348" s="1289"/>
      <c r="L348" s="1295"/>
      <c r="M348" s="1291"/>
      <c r="N348" s="1291"/>
      <c r="O348" s="1291"/>
      <c r="P348" s="290"/>
      <c r="Q348" s="288"/>
      <c r="R348" s="289"/>
      <c r="S348" s="1976" t="str">
        <f>INDEX(PT_DIFFERENTIATION_NUM_CS,MATCH(C348,PT_DIFFERENTIATION_CS_ID,0))</f>
        <v>1.15.1</v>
      </c>
      <c r="T348" s="245" t="s">
        <v>756</v>
      </c>
      <c r="U348" s="236"/>
      <c r="V348" s="24082"/>
      <c r="W348" s="24083"/>
      <c r="X348" s="24083"/>
      <c r="Y348" s="24083"/>
      <c r="Z348" s="24083"/>
      <c r="AA348" s="24083"/>
      <c r="AB348" s="24083"/>
      <c r="AC348" s="24083"/>
      <c r="AD348" s="24083"/>
      <c r="AE348" s="24083"/>
      <c r="AF348" s="24084"/>
      <c r="AG348" s="24082" t="str">
        <f>INDEX(PT_DIFFERENTIATION_CS,MATCH(C348,PT_DIFFERENTIATION_CS_ID,0))</f>
        <v>пгт.Холм-Жирковское Холм-Жирковского округа Смоленской области</v>
      </c>
      <c r="AH348" s="24083"/>
      <c r="AI348" s="24083"/>
      <c r="AJ348" s="24083"/>
      <c r="AK348" s="24083"/>
      <c r="AL348" s="24083"/>
      <c r="AM348" s="24083"/>
      <c r="AN348" s="24083"/>
      <c r="AO348" s="24083"/>
      <c r="AP348" s="24083"/>
      <c r="AQ348" s="24083"/>
      <c r="AR348" s="24173"/>
      <c r="AS348" s="24174"/>
      <c r="AT348" s="24174"/>
      <c r="AU348" s="24174"/>
      <c r="AV348" s="24174"/>
      <c r="AW348" s="24174"/>
      <c r="AX348" s="24174"/>
      <c r="AY348" s="24174"/>
      <c r="AZ348" s="24174"/>
      <c r="BA348" s="24174"/>
      <c r="BB348" s="24175"/>
      <c r="BC348" s="24173"/>
      <c r="BD348" s="24174"/>
      <c r="BE348" s="24174"/>
      <c r="BF348" s="24174"/>
      <c r="BG348" s="24174"/>
      <c r="BH348" s="24174"/>
      <c r="BI348" s="24174"/>
      <c r="BJ348" s="24174"/>
      <c r="BK348" s="24174"/>
      <c r="BL348" s="24174"/>
      <c r="BM348" s="24175"/>
      <c r="BN348" s="24082"/>
      <c r="BO348" s="24083"/>
      <c r="BP348" s="24174"/>
      <c r="BQ348" s="24174"/>
      <c r="BR348" s="24083"/>
      <c r="BS348" s="24174"/>
      <c r="BT348" s="24174"/>
      <c r="BU348" s="24174"/>
      <c r="BV348" s="24174"/>
      <c r="BW348" s="24174"/>
      <c r="BX348" s="24175"/>
      <c r="BY348" s="24173"/>
      <c r="BZ348" s="24174"/>
      <c r="CA348" s="24174"/>
      <c r="CB348" s="24174"/>
      <c r="CC348" s="24174"/>
      <c r="CD348" s="24174"/>
      <c r="CE348" s="24174"/>
      <c r="CF348" s="24174"/>
      <c r="CG348" s="24174"/>
      <c r="CH348" s="24174"/>
      <c r="CI348" s="24175"/>
      <c r="CJ348" s="24173"/>
      <c r="CK348" s="24174"/>
      <c r="CL348" s="24174"/>
      <c r="CM348" s="24174"/>
      <c r="CN348" s="24174"/>
      <c r="CO348" s="24174"/>
      <c r="CP348" s="24174"/>
      <c r="CQ348" s="24174"/>
      <c r="CR348" s="24174"/>
      <c r="CS348" s="24174"/>
      <c r="CT348" s="24175"/>
      <c r="CU348" s="24173"/>
      <c r="CV348" s="24174"/>
      <c r="CW348" s="24174"/>
      <c r="CX348" s="24174"/>
      <c r="CY348" s="24174"/>
      <c r="CZ348" s="24174"/>
      <c r="DA348" s="24174"/>
      <c r="DB348" s="24174"/>
      <c r="DC348" s="24174"/>
      <c r="DD348" s="24174"/>
      <c r="DE348" s="24175"/>
      <c r="DF348" s="24173"/>
      <c r="DG348" s="24174"/>
      <c r="DH348" s="24174"/>
      <c r="DI348" s="24174"/>
      <c r="DJ348" s="24174"/>
      <c r="DK348" s="24174"/>
      <c r="DL348" s="24174"/>
      <c r="DM348" s="24174"/>
      <c r="DN348" s="24174"/>
      <c r="DO348" s="24174"/>
      <c r="DP348" s="24175"/>
      <c r="DQ348" s="24173"/>
      <c r="DR348" s="24174"/>
      <c r="DS348" s="24174"/>
      <c r="DT348" s="24174"/>
      <c r="DU348" s="24174"/>
      <c r="DV348" s="24174"/>
      <c r="DW348" s="24174"/>
      <c r="DX348" s="24174"/>
      <c r="DY348" s="24174"/>
      <c r="DZ348" s="24174"/>
      <c r="EA348" s="24175"/>
      <c r="EB348" s="24173"/>
      <c r="EC348" s="24174"/>
      <c r="ED348" s="24174"/>
      <c r="EE348" s="24174"/>
      <c r="EF348" s="24174"/>
      <c r="EG348" s="24174"/>
      <c r="EH348" s="24174"/>
      <c r="EI348" s="24174"/>
      <c r="EJ348" s="24174"/>
      <c r="EK348" s="24174"/>
      <c r="EL348" s="24175"/>
      <c r="EM348" s="24173"/>
      <c r="EN348" s="24174"/>
      <c r="EO348" s="24174"/>
      <c r="EP348" s="24174"/>
      <c r="EQ348" s="24174"/>
      <c r="ER348" s="24174"/>
      <c r="ES348" s="24174"/>
      <c r="ET348" s="24174"/>
      <c r="EU348" s="24174"/>
      <c r="EV348" s="24174"/>
      <c r="EW348" s="24175"/>
      <c r="EX348" s="24082"/>
      <c r="EY348" s="24083"/>
      <c r="EZ348" s="24174"/>
      <c r="FA348" s="24174"/>
      <c r="FB348" s="24083"/>
      <c r="FC348" s="24174"/>
      <c r="FD348" s="24174"/>
      <c r="FE348" s="24174"/>
      <c r="FF348" s="24174"/>
      <c r="FG348" s="24174"/>
      <c r="FH348" s="24175"/>
      <c r="FI348" s="24082"/>
      <c r="FJ348" s="24083"/>
      <c r="FK348" s="24174"/>
      <c r="FL348" s="24174"/>
      <c r="FM348" s="24083"/>
      <c r="FN348" s="24174"/>
      <c r="FO348" s="24174"/>
      <c r="FP348" s="24083"/>
      <c r="FQ348" s="24083"/>
      <c r="FR348" s="24083"/>
      <c r="FS348" s="24175"/>
      <c r="FT348" s="24084"/>
      <c r="FU348" s="1184" t="s">
        <v>757</v>
      </c>
      <c r="FV348" s="1568"/>
      <c r="FW348" s="1550"/>
      <c r="FX348" s="1550" t="str">
        <f t="shared" si="5"/>
        <v>Наименование централизованной системы горячего водоснабжения</v>
      </c>
      <c r="FY348" s="1550"/>
      <c r="FZ348" s="1550"/>
      <c r="GA348" s="1561">
        <v>0</v>
      </c>
    </row>
    <row r="349" spans="1:183" s="1747" customFormat="1" ht="23.25" customHeight="1">
      <c r="A349" s="1289"/>
      <c r="B349" s="1289"/>
      <c r="C349" s="1289"/>
      <c r="D349" s="1289"/>
      <c r="E349" s="24089"/>
      <c r="F349" s="24089" t="s">
        <v>154</v>
      </c>
      <c r="G349" s="24089"/>
      <c r="H349" s="24089"/>
      <c r="I349" s="24090" t="str">
        <f>S348&amp;".1"</f>
        <v>1.15.1.1</v>
      </c>
      <c r="J349" s="1289"/>
      <c r="K349" s="1289"/>
      <c r="L349" s="1295"/>
      <c r="M349" s="1674"/>
      <c r="N349" s="1674"/>
      <c r="O349" s="1674"/>
      <c r="P349" s="24092">
        <v>1</v>
      </c>
      <c r="Q349" s="1978"/>
      <c r="R349" s="292"/>
      <c r="S349" s="1976" t="str">
        <f>$I349</f>
        <v>1.15.1.1</v>
      </c>
      <c r="T349" s="221" t="s">
        <v>709</v>
      </c>
      <c r="U349" s="236"/>
      <c r="V349" s="24156"/>
      <c r="W349" s="24157"/>
      <c r="X349" s="24157"/>
      <c r="Y349" s="24157"/>
      <c r="Z349" s="24157"/>
      <c r="AA349" s="24157"/>
      <c r="AB349" s="24157"/>
      <c r="AC349" s="24157"/>
      <c r="AD349" s="24157"/>
      <c r="AE349" s="24157"/>
      <c r="AF349" s="24158"/>
      <c r="AG349" s="24159"/>
      <c r="AH349" s="24160"/>
      <c r="AI349" s="24160"/>
      <c r="AJ349" s="24160"/>
      <c r="AK349" s="24160"/>
      <c r="AL349" s="24160"/>
      <c r="AM349" s="24160"/>
      <c r="AN349" s="24160"/>
      <c r="AO349" s="24160"/>
      <c r="AP349" s="24160"/>
      <c r="AQ349" s="24160"/>
      <c r="AR349" s="24176"/>
      <c r="AS349" s="24177"/>
      <c r="AT349" s="24177"/>
      <c r="AU349" s="24177"/>
      <c r="AV349" s="24177"/>
      <c r="AW349" s="24177"/>
      <c r="AX349" s="24177"/>
      <c r="AY349" s="24177"/>
      <c r="AZ349" s="24177"/>
      <c r="BA349" s="24177"/>
      <c r="BB349" s="24178"/>
      <c r="BC349" s="24176"/>
      <c r="BD349" s="24177"/>
      <c r="BE349" s="24177"/>
      <c r="BF349" s="24177"/>
      <c r="BG349" s="24177"/>
      <c r="BH349" s="24177"/>
      <c r="BI349" s="24177"/>
      <c r="BJ349" s="24177"/>
      <c r="BK349" s="24177"/>
      <c r="BL349" s="24177"/>
      <c r="BM349" s="24178"/>
      <c r="BN349" s="24156"/>
      <c r="BO349" s="24157"/>
      <c r="BP349" s="24177"/>
      <c r="BQ349" s="24177"/>
      <c r="BR349" s="24157"/>
      <c r="BS349" s="24177"/>
      <c r="BT349" s="24177"/>
      <c r="BU349" s="24177"/>
      <c r="BV349" s="24177"/>
      <c r="BW349" s="24177"/>
      <c r="BX349" s="24178"/>
      <c r="BY349" s="24176"/>
      <c r="BZ349" s="24177"/>
      <c r="CA349" s="24177"/>
      <c r="CB349" s="24177"/>
      <c r="CC349" s="24177"/>
      <c r="CD349" s="24177"/>
      <c r="CE349" s="24177"/>
      <c r="CF349" s="24177"/>
      <c r="CG349" s="24177"/>
      <c r="CH349" s="24177"/>
      <c r="CI349" s="24178"/>
      <c r="CJ349" s="24176"/>
      <c r="CK349" s="24177"/>
      <c r="CL349" s="24177"/>
      <c r="CM349" s="24177"/>
      <c r="CN349" s="24177"/>
      <c r="CO349" s="24177"/>
      <c r="CP349" s="24177"/>
      <c r="CQ349" s="24177"/>
      <c r="CR349" s="24177"/>
      <c r="CS349" s="24177"/>
      <c r="CT349" s="24178"/>
      <c r="CU349" s="24176"/>
      <c r="CV349" s="24177"/>
      <c r="CW349" s="24177"/>
      <c r="CX349" s="24177"/>
      <c r="CY349" s="24177"/>
      <c r="CZ349" s="24177"/>
      <c r="DA349" s="24177"/>
      <c r="DB349" s="24177"/>
      <c r="DC349" s="24177"/>
      <c r="DD349" s="24177"/>
      <c r="DE349" s="24178"/>
      <c r="DF349" s="24176"/>
      <c r="DG349" s="24177"/>
      <c r="DH349" s="24177"/>
      <c r="DI349" s="24177"/>
      <c r="DJ349" s="24177"/>
      <c r="DK349" s="24177"/>
      <c r="DL349" s="24177"/>
      <c r="DM349" s="24177"/>
      <c r="DN349" s="24177"/>
      <c r="DO349" s="24177"/>
      <c r="DP349" s="24178"/>
      <c r="DQ349" s="24176"/>
      <c r="DR349" s="24177"/>
      <c r="DS349" s="24177"/>
      <c r="DT349" s="24177"/>
      <c r="DU349" s="24177"/>
      <c r="DV349" s="24177"/>
      <c r="DW349" s="24177"/>
      <c r="DX349" s="24177"/>
      <c r="DY349" s="24177"/>
      <c r="DZ349" s="24177"/>
      <c r="EA349" s="24178"/>
      <c r="EB349" s="24176"/>
      <c r="EC349" s="24177"/>
      <c r="ED349" s="24177"/>
      <c r="EE349" s="24177"/>
      <c r="EF349" s="24177"/>
      <c r="EG349" s="24177"/>
      <c r="EH349" s="24177"/>
      <c r="EI349" s="24177"/>
      <c r="EJ349" s="24177"/>
      <c r="EK349" s="24177"/>
      <c r="EL349" s="24178"/>
      <c r="EM349" s="24176"/>
      <c r="EN349" s="24177"/>
      <c r="EO349" s="24177"/>
      <c r="EP349" s="24177"/>
      <c r="EQ349" s="24177"/>
      <c r="ER349" s="24177"/>
      <c r="ES349" s="24177"/>
      <c r="ET349" s="24177"/>
      <c r="EU349" s="24177"/>
      <c r="EV349" s="24177"/>
      <c r="EW349" s="24178"/>
      <c r="EX349" s="24156"/>
      <c r="EY349" s="24157"/>
      <c r="EZ349" s="24177"/>
      <c r="FA349" s="24177"/>
      <c r="FB349" s="24157"/>
      <c r="FC349" s="24177"/>
      <c r="FD349" s="24177"/>
      <c r="FE349" s="24177"/>
      <c r="FF349" s="24177"/>
      <c r="FG349" s="24177"/>
      <c r="FH349" s="24178"/>
      <c r="FI349" s="24156"/>
      <c r="FJ349" s="24157"/>
      <c r="FK349" s="24177"/>
      <c r="FL349" s="24177"/>
      <c r="FM349" s="24157"/>
      <c r="FN349" s="24177"/>
      <c r="FO349" s="24177"/>
      <c r="FP349" s="24157"/>
      <c r="FQ349" s="24157"/>
      <c r="FR349" s="24157"/>
      <c r="FS349" s="24178"/>
      <c r="FT349" s="24161"/>
      <c r="FU349" s="1184" t="s">
        <v>710</v>
      </c>
      <c r="FV349" s="1568"/>
      <c r="FW349" s="1550"/>
      <c r="FX349" s="1550" t="str">
        <f t="shared" si="5"/>
        <v>Наименование признака дифференциации</v>
      </c>
      <c r="FY349" s="1550"/>
      <c r="FZ349" s="1550"/>
      <c r="GA349" s="1561">
        <v>0</v>
      </c>
    </row>
    <row r="350" spans="1:183" s="1747" customFormat="1" ht="23.25" customHeight="1">
      <c r="A350" s="1289"/>
      <c r="B350" s="1289"/>
      <c r="C350" s="1289"/>
      <c r="D350" s="1289"/>
      <c r="E350" s="24089"/>
      <c r="F350" s="24089" t="s">
        <v>154</v>
      </c>
      <c r="G350" s="24089"/>
      <c r="H350" s="24089"/>
      <c r="I350" s="24091"/>
      <c r="J350" s="24090" t="str">
        <f>I349&amp;".1"</f>
        <v>1.15.1.1.1</v>
      </c>
      <c r="K350" s="1289"/>
      <c r="L350" s="1295" t="s">
        <v>635</v>
      </c>
      <c r="M350" s="1674"/>
      <c r="N350" s="1674"/>
      <c r="O350" s="1674"/>
      <c r="P350" s="24092"/>
      <c r="Q350" s="24092">
        <v>1</v>
      </c>
      <c r="R350" s="293"/>
      <c r="S350" s="1976" t="str">
        <f>$J350</f>
        <v>1.15.1.1.1</v>
      </c>
      <c r="T350" s="222" t="s">
        <v>636</v>
      </c>
      <c r="U350" s="236"/>
      <c r="V350" s="24076"/>
      <c r="W350" s="24077"/>
      <c r="X350" s="24077"/>
      <c r="Y350" s="24077"/>
      <c r="Z350" s="24077"/>
      <c r="AA350" s="24077"/>
      <c r="AB350" s="24077"/>
      <c r="AC350" s="24077"/>
      <c r="AD350" s="24077"/>
      <c r="AE350" s="24077"/>
      <c r="AF350" s="24078"/>
      <c r="AG350" s="24076" t="s">
        <v>769</v>
      </c>
      <c r="AH350" s="24077"/>
      <c r="AI350" s="24077"/>
      <c r="AJ350" s="24077"/>
      <c r="AK350" s="24077"/>
      <c r="AL350" s="24077"/>
      <c r="AM350" s="24077"/>
      <c r="AN350" s="24077"/>
      <c r="AO350" s="24077"/>
      <c r="AP350" s="24077"/>
      <c r="AQ350" s="24077"/>
      <c r="AR350" s="24179"/>
      <c r="AS350" s="24180"/>
      <c r="AT350" s="24180"/>
      <c r="AU350" s="24180"/>
      <c r="AV350" s="24180"/>
      <c r="AW350" s="24180"/>
      <c r="AX350" s="24180"/>
      <c r="AY350" s="24180"/>
      <c r="AZ350" s="24180"/>
      <c r="BA350" s="24180"/>
      <c r="BB350" s="24181"/>
      <c r="BC350" s="24179"/>
      <c r="BD350" s="24180"/>
      <c r="BE350" s="24180"/>
      <c r="BF350" s="24180"/>
      <c r="BG350" s="24180"/>
      <c r="BH350" s="24180"/>
      <c r="BI350" s="24180"/>
      <c r="BJ350" s="24180"/>
      <c r="BK350" s="24180"/>
      <c r="BL350" s="24180"/>
      <c r="BM350" s="24181"/>
      <c r="BN350" s="24076"/>
      <c r="BO350" s="24077"/>
      <c r="BP350" s="24180"/>
      <c r="BQ350" s="24180"/>
      <c r="BR350" s="24077"/>
      <c r="BS350" s="24180"/>
      <c r="BT350" s="24180"/>
      <c r="BU350" s="24180"/>
      <c r="BV350" s="24180"/>
      <c r="BW350" s="24180"/>
      <c r="BX350" s="24181"/>
      <c r="BY350" s="24179"/>
      <c r="BZ350" s="24180"/>
      <c r="CA350" s="24180"/>
      <c r="CB350" s="24180"/>
      <c r="CC350" s="24180"/>
      <c r="CD350" s="24180"/>
      <c r="CE350" s="24180"/>
      <c r="CF350" s="24180"/>
      <c r="CG350" s="24180"/>
      <c r="CH350" s="24180"/>
      <c r="CI350" s="24181"/>
      <c r="CJ350" s="24179"/>
      <c r="CK350" s="24180"/>
      <c r="CL350" s="24180"/>
      <c r="CM350" s="24180"/>
      <c r="CN350" s="24180"/>
      <c r="CO350" s="24180"/>
      <c r="CP350" s="24180"/>
      <c r="CQ350" s="24180"/>
      <c r="CR350" s="24180"/>
      <c r="CS350" s="24180"/>
      <c r="CT350" s="24181"/>
      <c r="CU350" s="24179"/>
      <c r="CV350" s="24180"/>
      <c r="CW350" s="24180"/>
      <c r="CX350" s="24180"/>
      <c r="CY350" s="24180"/>
      <c r="CZ350" s="24180"/>
      <c r="DA350" s="24180"/>
      <c r="DB350" s="24180"/>
      <c r="DC350" s="24180"/>
      <c r="DD350" s="24180"/>
      <c r="DE350" s="24181"/>
      <c r="DF350" s="24179"/>
      <c r="DG350" s="24180"/>
      <c r="DH350" s="24180"/>
      <c r="DI350" s="24180"/>
      <c r="DJ350" s="24180"/>
      <c r="DK350" s="24180"/>
      <c r="DL350" s="24180"/>
      <c r="DM350" s="24180"/>
      <c r="DN350" s="24180"/>
      <c r="DO350" s="24180"/>
      <c r="DP350" s="24181"/>
      <c r="DQ350" s="24179"/>
      <c r="DR350" s="24180"/>
      <c r="DS350" s="24180"/>
      <c r="DT350" s="24180"/>
      <c r="DU350" s="24180"/>
      <c r="DV350" s="24180"/>
      <c r="DW350" s="24180"/>
      <c r="DX350" s="24180"/>
      <c r="DY350" s="24180"/>
      <c r="DZ350" s="24180"/>
      <c r="EA350" s="24181"/>
      <c r="EB350" s="24179"/>
      <c r="EC350" s="24180"/>
      <c r="ED350" s="24180"/>
      <c r="EE350" s="24180"/>
      <c r="EF350" s="24180"/>
      <c r="EG350" s="24180"/>
      <c r="EH350" s="24180"/>
      <c r="EI350" s="24180"/>
      <c r="EJ350" s="24180"/>
      <c r="EK350" s="24180"/>
      <c r="EL350" s="24181"/>
      <c r="EM350" s="24179"/>
      <c r="EN350" s="24180"/>
      <c r="EO350" s="24180"/>
      <c r="EP350" s="24180"/>
      <c r="EQ350" s="24180"/>
      <c r="ER350" s="24180"/>
      <c r="ES350" s="24180"/>
      <c r="ET350" s="24180"/>
      <c r="EU350" s="24180"/>
      <c r="EV350" s="24180"/>
      <c r="EW350" s="24181"/>
      <c r="EX350" s="24076"/>
      <c r="EY350" s="24077"/>
      <c r="EZ350" s="24180"/>
      <c r="FA350" s="24180"/>
      <c r="FB350" s="24077"/>
      <c r="FC350" s="24180"/>
      <c r="FD350" s="24180"/>
      <c r="FE350" s="24180"/>
      <c r="FF350" s="24180"/>
      <c r="FG350" s="24180"/>
      <c r="FH350" s="24181"/>
      <c r="FI350" s="24076"/>
      <c r="FJ350" s="24077"/>
      <c r="FK350" s="24180"/>
      <c r="FL350" s="24180"/>
      <c r="FM350" s="24077"/>
      <c r="FN350" s="24180"/>
      <c r="FO350" s="24180"/>
      <c r="FP350" s="24077"/>
      <c r="FQ350" s="24077"/>
      <c r="FR350" s="24077"/>
      <c r="FS350" s="24181"/>
      <c r="FT350" s="24078"/>
      <c r="FU350" s="1233" t="s">
        <v>711</v>
      </c>
      <c r="FV350" s="1568"/>
      <c r="FW350" s="1550"/>
      <c r="FX350" s="1550" t="str">
        <f t="shared" si="5"/>
        <v>Группа потребителей</v>
      </c>
      <c r="FY350" s="1550"/>
      <c r="FZ350" s="1550"/>
      <c r="GA350" s="1561">
        <v>0</v>
      </c>
    </row>
    <row r="351" spans="1:183" s="1747" customFormat="1" ht="23.25" customHeight="1">
      <c r="A351" s="1289"/>
      <c r="B351" s="1289"/>
      <c r="C351" s="1289"/>
      <c r="D351" s="1289"/>
      <c r="E351" s="24089"/>
      <c r="F351" s="24089" t="s">
        <v>154</v>
      </c>
      <c r="G351" s="24089"/>
      <c r="H351" s="24089"/>
      <c r="I351" s="24091"/>
      <c r="J351" s="24091"/>
      <c r="K351" s="24090" t="str">
        <f>J350&amp;".1"</f>
        <v>1.15.1.1.1.1</v>
      </c>
      <c r="L351" s="1295"/>
      <c r="M351" s="1674"/>
      <c r="N351" s="1674"/>
      <c r="O351" s="1674"/>
      <c r="P351" s="24092"/>
      <c r="Q351" s="24092"/>
      <c r="R351" s="293">
        <v>1</v>
      </c>
      <c r="S351" s="1976" t="str">
        <f>$K351</f>
        <v>1.15.1.1.1.1</v>
      </c>
      <c r="T351" s="1363"/>
      <c r="U351" s="236"/>
      <c r="V351" s="1286"/>
      <c r="W351" s="1286"/>
      <c r="X351" s="1286"/>
      <c r="Y351" s="1286"/>
      <c r="Z351" s="1286"/>
      <c r="AA351" s="1286"/>
      <c r="AB351" s="1286"/>
      <c r="AC351" s="24086"/>
      <c r="AD351" s="24085" t="s">
        <v>59</v>
      </c>
      <c r="AE351" s="24086"/>
      <c r="AF351" s="24085" t="s">
        <v>59</v>
      </c>
      <c r="AG351" s="687">
        <v>241.13</v>
      </c>
      <c r="AH351" s="687">
        <v>25.6</v>
      </c>
      <c r="AI351" s="687"/>
      <c r="AJ351" s="687"/>
      <c r="AK351" s="687">
        <v>3185.03</v>
      </c>
      <c r="AL351" s="687"/>
      <c r="AM351" s="687"/>
      <c r="AN351" s="24093" t="s">
        <v>9</v>
      </c>
      <c r="AO351" s="23957" t="s">
        <v>59</v>
      </c>
      <c r="AP351" s="24095" t="s">
        <v>770</v>
      </c>
      <c r="AQ351" s="23957" t="s">
        <v>59</v>
      </c>
      <c r="AR351" s="687">
        <v>268.77999999999997</v>
      </c>
      <c r="AS351" s="687">
        <v>28.03</v>
      </c>
      <c r="AT351" s="687"/>
      <c r="AU351" s="687"/>
      <c r="AV351" s="687">
        <v>3557.68</v>
      </c>
      <c r="AW351" s="687"/>
      <c r="AX351" s="687"/>
      <c r="AY351" s="24093" t="s">
        <v>772</v>
      </c>
      <c r="AZ351" s="23957" t="s">
        <v>59</v>
      </c>
      <c r="BA351" s="24093" t="s">
        <v>773</v>
      </c>
      <c r="BB351" s="23957" t="s">
        <v>59</v>
      </c>
      <c r="BC351" s="687">
        <v>307.77999999999997</v>
      </c>
      <c r="BD351" s="687">
        <v>67.03</v>
      </c>
      <c r="BE351" s="687"/>
      <c r="BF351" s="687"/>
      <c r="BG351" s="687">
        <v>3557.68</v>
      </c>
      <c r="BH351" s="687"/>
      <c r="BI351" s="687"/>
      <c r="BJ351" s="24093" t="s">
        <v>774</v>
      </c>
      <c r="BK351" s="23957" t="s">
        <v>59</v>
      </c>
      <c r="BL351" s="24093" t="s">
        <v>775</v>
      </c>
      <c r="BM351" s="23957" t="s">
        <v>59</v>
      </c>
      <c r="BN351" s="687">
        <v>336.43</v>
      </c>
      <c r="BO351" s="687">
        <v>67.03</v>
      </c>
      <c r="BP351" s="687"/>
      <c r="BQ351" s="687"/>
      <c r="BR351" s="687">
        <v>3981.05</v>
      </c>
      <c r="BS351" s="687"/>
      <c r="BT351" s="687"/>
      <c r="BU351" s="24093" t="s">
        <v>776</v>
      </c>
      <c r="BV351" s="23957" t="s">
        <v>59</v>
      </c>
      <c r="BW351" s="24093" t="s">
        <v>777</v>
      </c>
      <c r="BX351" s="23957" t="s">
        <v>59</v>
      </c>
      <c r="BY351" s="687">
        <v>334.32</v>
      </c>
      <c r="BZ351" s="687">
        <v>64.92</v>
      </c>
      <c r="CA351" s="687"/>
      <c r="CB351" s="687"/>
      <c r="CC351" s="687">
        <v>3981.05</v>
      </c>
      <c r="CD351" s="687"/>
      <c r="CE351" s="687"/>
      <c r="CF351" s="24093" t="s">
        <v>778</v>
      </c>
      <c r="CG351" s="23957" t="s">
        <v>59</v>
      </c>
      <c r="CH351" s="24185">
        <v>46295</v>
      </c>
      <c r="CI351" s="23957" t="s">
        <v>59</v>
      </c>
      <c r="CJ351" s="687">
        <v>368.78</v>
      </c>
      <c r="CK351" s="687">
        <v>72.709999999999994</v>
      </c>
      <c r="CL351" s="687"/>
      <c r="CM351" s="687"/>
      <c r="CN351" s="687">
        <v>4375.17</v>
      </c>
      <c r="CO351" s="687"/>
      <c r="CP351" s="687"/>
      <c r="CQ351" s="24185">
        <v>46296</v>
      </c>
      <c r="CR351" s="23957" t="s">
        <v>59</v>
      </c>
      <c r="CS351" s="24093" t="s">
        <v>779</v>
      </c>
      <c r="CT351" s="23957" t="s">
        <v>59</v>
      </c>
      <c r="CU351" s="687">
        <f>CJ351</f>
        <v>368.78</v>
      </c>
      <c r="CV351" s="687">
        <f>CK351</f>
        <v>72.709999999999994</v>
      </c>
      <c r="CW351" s="687"/>
      <c r="CX351" s="687"/>
      <c r="CY351" s="687">
        <f>CN351</f>
        <v>4375.17</v>
      </c>
      <c r="CZ351" s="687"/>
      <c r="DA351" s="687"/>
      <c r="DB351" s="24093" t="s">
        <v>780</v>
      </c>
      <c r="DC351" s="23957" t="s">
        <v>59</v>
      </c>
      <c r="DD351" s="24093" t="s">
        <v>781</v>
      </c>
      <c r="DE351" s="23957" t="s">
        <v>59</v>
      </c>
      <c r="DF351" s="687">
        <v>400.49</v>
      </c>
      <c r="DG351" s="687">
        <v>78.67</v>
      </c>
      <c r="DH351" s="687"/>
      <c r="DI351" s="687"/>
      <c r="DJ351" s="687">
        <v>4755.8</v>
      </c>
      <c r="DK351" s="687"/>
      <c r="DL351" s="687"/>
      <c r="DM351" s="24093" t="s">
        <v>782</v>
      </c>
      <c r="DN351" s="23957" t="s">
        <v>59</v>
      </c>
      <c r="DO351" s="24093" t="s">
        <v>783</v>
      </c>
      <c r="DP351" s="23957" t="s">
        <v>59</v>
      </c>
      <c r="DQ351" s="687">
        <f>DF351</f>
        <v>400.49</v>
      </c>
      <c r="DR351" s="687">
        <f>DG351</f>
        <v>78.67</v>
      </c>
      <c r="DS351" s="687"/>
      <c r="DT351" s="687"/>
      <c r="DU351" s="687">
        <f>DJ351</f>
        <v>4755.8</v>
      </c>
      <c r="DV351" s="687"/>
      <c r="DW351" s="687"/>
      <c r="DX351" s="24093" t="s">
        <v>784</v>
      </c>
      <c r="DY351" s="23957" t="s">
        <v>59</v>
      </c>
      <c r="DZ351" s="24093" t="s">
        <v>785</v>
      </c>
      <c r="EA351" s="23957" t="s">
        <v>59</v>
      </c>
      <c r="EB351" s="687">
        <v>425.17</v>
      </c>
      <c r="EC351" s="687">
        <v>81.69</v>
      </c>
      <c r="ED351" s="687"/>
      <c r="EE351" s="687"/>
      <c r="EF351" s="687">
        <v>5075.75</v>
      </c>
      <c r="EG351" s="687"/>
      <c r="EH351" s="687"/>
      <c r="EI351" s="24093" t="s">
        <v>786</v>
      </c>
      <c r="EJ351" s="23957" t="s">
        <v>59</v>
      </c>
      <c r="EK351" s="24093" t="s">
        <v>787</v>
      </c>
      <c r="EL351" s="23957" t="s">
        <v>6</v>
      </c>
      <c r="EM351" s="1286"/>
      <c r="EN351" s="1286"/>
      <c r="EO351" s="1286"/>
      <c r="EP351" s="1286"/>
      <c r="EQ351" s="1286"/>
      <c r="ER351" s="1286"/>
      <c r="ES351" s="1286"/>
      <c r="ET351" s="24086"/>
      <c r="EU351" s="24085" t="s">
        <v>59</v>
      </c>
      <c r="EV351" s="24086"/>
      <c r="EW351" s="24085" t="s">
        <v>59</v>
      </c>
      <c r="EX351" s="1286"/>
      <c r="EY351" s="1286"/>
      <c r="EZ351" s="1286"/>
      <c r="FA351" s="1286"/>
      <c r="FB351" s="1286"/>
      <c r="FC351" s="1286"/>
      <c r="FD351" s="1286"/>
      <c r="FE351" s="24086"/>
      <c r="FF351" s="24085" t="s">
        <v>59</v>
      </c>
      <c r="FG351" s="24086"/>
      <c r="FH351" s="24085" t="s">
        <v>59</v>
      </c>
      <c r="FI351" s="1286"/>
      <c r="FJ351" s="1286"/>
      <c r="FK351" s="1286"/>
      <c r="FL351" s="1286"/>
      <c r="FM351" s="1286"/>
      <c r="FN351" s="1286"/>
      <c r="FO351" s="1286"/>
      <c r="FP351" s="24086"/>
      <c r="FQ351" s="24085" t="s">
        <v>59</v>
      </c>
      <c r="FR351" s="24086"/>
      <c r="FS351" s="24085" t="s">
        <v>59</v>
      </c>
      <c r="FT351" s="1364"/>
      <c r="FU35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51" s="1568" t="e">
        <f ca="1">STRCHECKDATE(V352:FT352)</f>
        <v>#NAME?</v>
      </c>
      <c r="FW351" s="1550"/>
      <c r="FX351" s="1550" t="str">
        <f t="shared" si="5"/>
        <v/>
      </c>
      <c r="FY351" s="1550"/>
      <c r="FZ351" s="1550"/>
      <c r="GA351" s="1561">
        <v>0</v>
      </c>
    </row>
    <row r="352" spans="1:183" s="1747" customFormat="1" ht="14.25" customHeight="1">
      <c r="A352" s="1289"/>
      <c r="B352" s="1289"/>
      <c r="C352" s="1289"/>
      <c r="D352" s="1289"/>
      <c r="E352" s="24089"/>
      <c r="F352" s="24089" t="s">
        <v>154</v>
      </c>
      <c r="G352" s="24089"/>
      <c r="H352" s="24089"/>
      <c r="I352" s="24091"/>
      <c r="J352" s="24091"/>
      <c r="K352" s="24090"/>
      <c r="L352" s="1295"/>
      <c r="M352" s="1674"/>
      <c r="N352" s="1674"/>
      <c r="O352" s="1674"/>
      <c r="P352" s="24092"/>
      <c r="Q352" s="24092"/>
      <c r="R352" s="293"/>
      <c r="S352" s="1982"/>
      <c r="T352" s="236"/>
      <c r="U352" s="236"/>
      <c r="V352" s="1286"/>
      <c r="W352" s="1286"/>
      <c r="X352" s="1286"/>
      <c r="Y352" s="1286"/>
      <c r="Z352" s="1286"/>
      <c r="AA352" s="1286"/>
      <c r="AB352" s="1286"/>
      <c r="AC352" s="24085"/>
      <c r="AD352" s="24085"/>
      <c r="AE352" s="24085"/>
      <c r="AF352" s="24085"/>
      <c r="AG352" s="261"/>
      <c r="AH352" s="261"/>
      <c r="AI352" s="261"/>
      <c r="AJ352" s="261"/>
      <c r="AK352" s="261"/>
      <c r="AL352" s="261"/>
      <c r="AM352" s="261"/>
      <c r="AN352" s="24094"/>
      <c r="AO352" s="23957"/>
      <c r="AP352" s="24096"/>
      <c r="AQ352" s="23957"/>
      <c r="AR352" s="261"/>
      <c r="AS352" s="261"/>
      <c r="AT352" s="261"/>
      <c r="AU352" s="261"/>
      <c r="AV352" s="261"/>
      <c r="AW352" s="261"/>
      <c r="AX352" s="261"/>
      <c r="AY352" s="24094"/>
      <c r="AZ352" s="23957"/>
      <c r="BA352" s="24094"/>
      <c r="BB352" s="23957"/>
      <c r="BC352" s="261"/>
      <c r="BD352" s="261"/>
      <c r="BE352" s="261"/>
      <c r="BF352" s="261"/>
      <c r="BG352" s="261"/>
      <c r="BH352" s="261"/>
      <c r="BI352" s="261"/>
      <c r="BJ352" s="24094"/>
      <c r="BK352" s="23957"/>
      <c r="BL352" s="24094"/>
      <c r="BM352" s="23957"/>
      <c r="BN352" s="261"/>
      <c r="BO352" s="261"/>
      <c r="BP352" s="261"/>
      <c r="BQ352" s="261"/>
      <c r="BR352" s="261"/>
      <c r="BS352" s="261"/>
      <c r="BT352" s="261"/>
      <c r="BU352" s="24094"/>
      <c r="BV352" s="23957"/>
      <c r="BW352" s="24094"/>
      <c r="BX352" s="23957"/>
      <c r="BY352" s="261"/>
      <c r="BZ352" s="261"/>
      <c r="CA352" s="261"/>
      <c r="CB352" s="261"/>
      <c r="CC352" s="261"/>
      <c r="CD352" s="261"/>
      <c r="CE352" s="261"/>
      <c r="CF352" s="24094"/>
      <c r="CG352" s="23957"/>
      <c r="CH352" s="24094"/>
      <c r="CI352" s="23957"/>
      <c r="CJ352" s="261"/>
      <c r="CK352" s="261"/>
      <c r="CL352" s="261"/>
      <c r="CM352" s="261"/>
      <c r="CN352" s="261"/>
      <c r="CO352" s="261"/>
      <c r="CP352" s="261"/>
      <c r="CQ352" s="24094"/>
      <c r="CR352" s="23957"/>
      <c r="CS352" s="24094"/>
      <c r="CT352" s="23957"/>
      <c r="CU352" s="261"/>
      <c r="CV352" s="261"/>
      <c r="CW352" s="261"/>
      <c r="CX352" s="261"/>
      <c r="CY352" s="261"/>
      <c r="CZ352" s="261"/>
      <c r="DA352" s="261"/>
      <c r="DB352" s="24094"/>
      <c r="DC352" s="23957"/>
      <c r="DD352" s="24094"/>
      <c r="DE352" s="23957"/>
      <c r="DF352" s="261"/>
      <c r="DG352" s="261"/>
      <c r="DH352" s="261"/>
      <c r="DI352" s="261"/>
      <c r="DJ352" s="261"/>
      <c r="DK352" s="261"/>
      <c r="DL352" s="261"/>
      <c r="DM352" s="24094"/>
      <c r="DN352" s="23957"/>
      <c r="DO352" s="24094"/>
      <c r="DP352" s="23957"/>
      <c r="DQ352" s="261"/>
      <c r="DR352" s="261"/>
      <c r="DS352" s="261"/>
      <c r="DT352" s="261"/>
      <c r="DU352" s="261"/>
      <c r="DV352" s="261"/>
      <c r="DW352" s="261"/>
      <c r="DX352" s="24094"/>
      <c r="DY352" s="23957"/>
      <c r="DZ352" s="24094"/>
      <c r="EA352" s="23957"/>
      <c r="EB352" s="261"/>
      <c r="EC352" s="261"/>
      <c r="ED352" s="261"/>
      <c r="EE352" s="261"/>
      <c r="EF352" s="261"/>
      <c r="EG352" s="261"/>
      <c r="EH352" s="261"/>
      <c r="EI352" s="24094"/>
      <c r="EJ352" s="23957"/>
      <c r="EK352" s="24094"/>
      <c r="EL352" s="23957"/>
      <c r="EM352" s="1286"/>
      <c r="EN352" s="1286"/>
      <c r="EO352" s="1286"/>
      <c r="EP352" s="1286"/>
      <c r="EQ352" s="1286"/>
      <c r="ER352" s="1286"/>
      <c r="ES352" s="1286"/>
      <c r="ET352" s="24085"/>
      <c r="EU352" s="24085"/>
      <c r="EV352" s="24085"/>
      <c r="EW352" s="24085"/>
      <c r="EX352" s="1286"/>
      <c r="EY352" s="1286"/>
      <c r="EZ352" s="1286"/>
      <c r="FA352" s="1286"/>
      <c r="FB352" s="1286"/>
      <c r="FC352" s="1286"/>
      <c r="FD352" s="1286"/>
      <c r="FE352" s="24085"/>
      <c r="FF352" s="24085"/>
      <c r="FG352" s="24085"/>
      <c r="FH352" s="24085"/>
      <c r="FI352" s="1286"/>
      <c r="FJ352" s="1286"/>
      <c r="FK352" s="1286"/>
      <c r="FL352" s="1286"/>
      <c r="FM352" s="1286"/>
      <c r="FN352" s="1286"/>
      <c r="FO352" s="1286"/>
      <c r="FP352" s="24085"/>
      <c r="FQ352" s="24085"/>
      <c r="FR352" s="24085"/>
      <c r="FS352" s="24085"/>
      <c r="FT352" s="1365"/>
      <c r="FU352" s="24162"/>
      <c r="FV352" s="1568"/>
      <c r="FW352" s="1550"/>
      <c r="FX352" s="1550" t="str">
        <f t="shared" si="5"/>
        <v/>
      </c>
      <c r="FY352" s="1550"/>
      <c r="FZ352" s="1550"/>
      <c r="GA352" s="1561">
        <v>0</v>
      </c>
    </row>
    <row r="353" spans="1:183" s="1747" customFormat="1" ht="21" customHeight="1">
      <c r="A353" s="1289"/>
      <c r="B353" s="1289"/>
      <c r="C353" s="1289"/>
      <c r="D353" s="1289"/>
      <c r="E353" s="24089"/>
      <c r="F353" s="24089" t="s">
        <v>154</v>
      </c>
      <c r="G353" s="24089"/>
      <c r="H353" s="24089"/>
      <c r="I353" s="24091"/>
      <c r="J353" s="24090"/>
      <c r="K353" s="1289"/>
      <c r="L353" s="1295"/>
      <c r="M353" s="1674"/>
      <c r="N353" s="1674"/>
      <c r="O353" s="1674"/>
      <c r="P353" s="24092"/>
      <c r="Q353" s="24092"/>
      <c r="R353" s="292"/>
      <c r="S353" s="4869"/>
      <c r="T353" s="4870" t="s">
        <v>712</v>
      </c>
      <c r="U353" s="4871"/>
      <c r="V353" s="4872"/>
      <c r="W353" s="4873"/>
      <c r="X353" s="4874"/>
      <c r="Y353" s="4875"/>
      <c r="Z353" s="4876"/>
      <c r="AA353" s="4877"/>
      <c r="AB353" s="4878"/>
      <c r="AC353" s="4879"/>
      <c r="AD353" s="4880"/>
      <c r="AE353" s="4881"/>
      <c r="AF353" s="4882"/>
      <c r="AG353" s="4883"/>
      <c r="AH353" s="4884"/>
      <c r="AI353" s="4885"/>
      <c r="AJ353" s="4886"/>
      <c r="AK353" s="4887"/>
      <c r="AL353" s="4888"/>
      <c r="AM353" s="4889"/>
      <c r="AN353" s="4890"/>
      <c r="AO353" s="4891"/>
      <c r="AP353" s="4892"/>
      <c r="AQ353" s="4893"/>
      <c r="AR353" s="7698"/>
      <c r="AS353" s="7699"/>
      <c r="AT353" s="7700"/>
      <c r="AU353" s="7701"/>
      <c r="AV353" s="7702"/>
      <c r="AW353" s="7703"/>
      <c r="AX353" s="7704"/>
      <c r="AY353" s="7705"/>
      <c r="AZ353" s="7706"/>
      <c r="BA353" s="7707"/>
      <c r="BB353" s="7708"/>
      <c r="BC353" s="7709"/>
      <c r="BD353" s="7710"/>
      <c r="BE353" s="17530"/>
      <c r="BF353" s="17531"/>
      <c r="BG353" s="21914"/>
      <c r="BH353" s="17532"/>
      <c r="BI353" s="17533"/>
      <c r="BJ353" s="17534"/>
      <c r="BK353" s="17535"/>
      <c r="BL353" s="17536"/>
      <c r="BM353" s="17537"/>
      <c r="BN353" s="4894"/>
      <c r="BO353" s="4895"/>
      <c r="BP353" s="17538"/>
      <c r="BQ353" s="17539"/>
      <c r="BR353" s="4896"/>
      <c r="BS353" s="17540"/>
      <c r="BT353" s="17541"/>
      <c r="BU353" s="17542"/>
      <c r="BV353" s="17543"/>
      <c r="BW353" s="17544"/>
      <c r="BX353" s="17545"/>
      <c r="BY353" s="17546"/>
      <c r="BZ353" s="17547"/>
      <c r="CA353" s="17548"/>
      <c r="CB353" s="17549"/>
      <c r="CC353" s="17550"/>
      <c r="CD353" s="17551"/>
      <c r="CE353" s="17552"/>
      <c r="CF353" s="17553"/>
      <c r="CG353" s="17554"/>
      <c r="CH353" s="17555"/>
      <c r="CI353" s="17556"/>
      <c r="CJ353" s="17557"/>
      <c r="CK353" s="17558"/>
      <c r="CL353" s="17559"/>
      <c r="CM353" s="17560"/>
      <c r="CN353" s="17561"/>
      <c r="CO353" s="17562"/>
      <c r="CP353" s="17563"/>
      <c r="CQ353" s="17564"/>
      <c r="CR353" s="17565"/>
      <c r="CS353" s="17566"/>
      <c r="CT353" s="17567"/>
      <c r="CU353" s="17568"/>
      <c r="CV353" s="17569"/>
      <c r="CW353" s="17570"/>
      <c r="CX353" s="17571"/>
      <c r="CY353" s="17572"/>
      <c r="CZ353" s="17573"/>
      <c r="DA353" s="17574"/>
      <c r="DB353" s="17575"/>
      <c r="DC353" s="17576"/>
      <c r="DD353" s="17577"/>
      <c r="DE353" s="17578"/>
      <c r="DF353" s="17579"/>
      <c r="DG353" s="17580"/>
      <c r="DH353" s="17581"/>
      <c r="DI353" s="17582"/>
      <c r="DJ353" s="17583"/>
      <c r="DK353" s="17584"/>
      <c r="DL353" s="17585"/>
      <c r="DM353" s="17586"/>
      <c r="DN353" s="17587"/>
      <c r="DO353" s="17588"/>
      <c r="DP353" s="17589"/>
      <c r="DQ353" s="17590"/>
      <c r="DR353" s="17591"/>
      <c r="DS353" s="17592"/>
      <c r="DT353" s="17593"/>
      <c r="DU353" s="17594"/>
      <c r="DV353" s="17595"/>
      <c r="DW353" s="17596"/>
      <c r="DX353" s="17597"/>
      <c r="DY353" s="17598"/>
      <c r="DZ353" s="17599"/>
      <c r="EA353" s="17600"/>
      <c r="EB353" s="17601"/>
      <c r="EC353" s="17602"/>
      <c r="ED353" s="17603"/>
      <c r="EE353" s="17604"/>
      <c r="EF353" s="17605"/>
      <c r="EG353" s="17606"/>
      <c r="EH353" s="17607"/>
      <c r="EI353" s="17608"/>
      <c r="EJ353" s="17609"/>
      <c r="EK353" s="17610"/>
      <c r="EL353" s="17611"/>
      <c r="EM353" s="21698"/>
      <c r="EN353" s="21699"/>
      <c r="EO353" s="17612"/>
      <c r="EP353" s="17613"/>
      <c r="EQ353" s="21700"/>
      <c r="ER353" s="17614"/>
      <c r="ES353" s="17615"/>
      <c r="ET353" s="17616"/>
      <c r="EU353" s="17617"/>
      <c r="EV353" s="17618"/>
      <c r="EW353" s="17619"/>
      <c r="EX353" s="4897"/>
      <c r="EY353" s="4898"/>
      <c r="EZ353" s="17620"/>
      <c r="FA353" s="17621"/>
      <c r="FB353" s="4899"/>
      <c r="FC353" s="17622"/>
      <c r="FD353" s="17623"/>
      <c r="FE353" s="17624"/>
      <c r="FF353" s="17625"/>
      <c r="FG353" s="17626"/>
      <c r="FH353" s="5750"/>
      <c r="FI353" s="22974"/>
      <c r="FJ353" s="22975"/>
      <c r="FK353" s="23712"/>
      <c r="FL353" s="23713"/>
      <c r="FM353" s="22976"/>
      <c r="FN353" s="23714"/>
      <c r="FO353" s="23715"/>
      <c r="FP353" s="22977"/>
      <c r="FQ353" s="22978"/>
      <c r="FR353" s="22979"/>
      <c r="FS353" s="23716"/>
      <c r="FT353" s="4900"/>
      <c r="FU353" s="1184" t="s">
        <v>713</v>
      </c>
      <c r="FV353" s="1568"/>
      <c r="FW353" s="1550"/>
      <c r="FX353" s="1550" t="str">
        <f t="shared" si="5"/>
        <v>Добавить значение признака дифференциации</v>
      </c>
      <c r="FY353" s="1550"/>
      <c r="FZ353" s="1550"/>
      <c r="GA353" s="1561">
        <v>0</v>
      </c>
    </row>
    <row r="354" spans="1:183" s="1747" customFormat="1" ht="23.25" customHeight="1">
      <c r="A354" s="1289"/>
      <c r="B354" s="1289"/>
      <c r="C354" s="1289"/>
      <c r="D354" s="1289"/>
      <c r="E354" s="24089"/>
      <c r="F354" s="24089"/>
      <c r="G354" s="24089"/>
      <c r="H354" s="24089"/>
      <c r="I354" s="24091"/>
      <c r="J354" s="24090" t="str">
        <f>I349&amp;".2"</f>
        <v>1.15.1.1.2</v>
      </c>
      <c r="K354" s="1289"/>
      <c r="L354" s="1295" t="s">
        <v>635</v>
      </c>
      <c r="M354" s="1674"/>
      <c r="N354" s="1674"/>
      <c r="O354" s="1674"/>
      <c r="P354" s="24092"/>
      <c r="Q354" s="24206" t="s">
        <v>96</v>
      </c>
      <c r="R354" s="293"/>
      <c r="S354" s="1976" t="str">
        <f>$J354</f>
        <v>1.15.1.1.2</v>
      </c>
      <c r="T354" s="222" t="s">
        <v>636</v>
      </c>
      <c r="U354" s="236"/>
      <c r="V354" s="24076"/>
      <c r="W354" s="24077"/>
      <c r="X354" s="24077"/>
      <c r="Y354" s="24077"/>
      <c r="Z354" s="24077"/>
      <c r="AA354" s="24077"/>
      <c r="AB354" s="24077"/>
      <c r="AC354" s="24077"/>
      <c r="AD354" s="24077"/>
      <c r="AE354" s="24077"/>
      <c r="AF354" s="24078"/>
      <c r="AG354" s="24076" t="s">
        <v>771</v>
      </c>
      <c r="AH354" s="24077"/>
      <c r="AI354" s="24077"/>
      <c r="AJ354" s="24077"/>
      <c r="AK354" s="24077"/>
      <c r="AL354" s="24077"/>
      <c r="AM354" s="24077"/>
      <c r="AN354" s="24077"/>
      <c r="AO354" s="24077"/>
      <c r="AP354" s="24077"/>
      <c r="AQ354" s="24077"/>
      <c r="AR354" s="24179"/>
      <c r="AS354" s="24180"/>
      <c r="AT354" s="24180"/>
      <c r="AU354" s="24180"/>
      <c r="AV354" s="24180"/>
      <c r="AW354" s="24180"/>
      <c r="AX354" s="24180"/>
      <c r="AY354" s="24180"/>
      <c r="AZ354" s="24180"/>
      <c r="BA354" s="24180"/>
      <c r="BB354" s="24181"/>
      <c r="BC354" s="24179"/>
      <c r="BD354" s="24180"/>
      <c r="BE354" s="24180"/>
      <c r="BF354" s="24180"/>
      <c r="BG354" s="24180"/>
      <c r="BH354" s="24180"/>
      <c r="BI354" s="24180"/>
      <c r="BJ354" s="24180"/>
      <c r="BK354" s="24180"/>
      <c r="BL354" s="24180"/>
      <c r="BM354" s="24181"/>
      <c r="BN354" s="24076"/>
      <c r="BO354" s="24077"/>
      <c r="BP354" s="24180"/>
      <c r="BQ354" s="24180"/>
      <c r="BR354" s="24077"/>
      <c r="BS354" s="24180"/>
      <c r="BT354" s="24180"/>
      <c r="BU354" s="24180"/>
      <c r="BV354" s="24180"/>
      <c r="BW354" s="24180"/>
      <c r="BX354" s="24181"/>
      <c r="BY354" s="24179"/>
      <c r="BZ354" s="24180"/>
      <c r="CA354" s="24180"/>
      <c r="CB354" s="24180"/>
      <c r="CC354" s="24180"/>
      <c r="CD354" s="24180"/>
      <c r="CE354" s="24180"/>
      <c r="CF354" s="24180"/>
      <c r="CG354" s="24180"/>
      <c r="CH354" s="24180"/>
      <c r="CI354" s="24181"/>
      <c r="CJ354" s="24179"/>
      <c r="CK354" s="24180"/>
      <c r="CL354" s="24180"/>
      <c r="CM354" s="24180"/>
      <c r="CN354" s="24180"/>
      <c r="CO354" s="24180"/>
      <c r="CP354" s="24180"/>
      <c r="CQ354" s="24180"/>
      <c r="CR354" s="24180"/>
      <c r="CS354" s="24180"/>
      <c r="CT354" s="24181"/>
      <c r="CU354" s="24179"/>
      <c r="CV354" s="24180"/>
      <c r="CW354" s="24180"/>
      <c r="CX354" s="24180"/>
      <c r="CY354" s="24180"/>
      <c r="CZ354" s="24180"/>
      <c r="DA354" s="24180"/>
      <c r="DB354" s="24180"/>
      <c r="DC354" s="24180"/>
      <c r="DD354" s="24180"/>
      <c r="DE354" s="24181"/>
      <c r="DF354" s="24179"/>
      <c r="DG354" s="24180"/>
      <c r="DH354" s="24180"/>
      <c r="DI354" s="24180"/>
      <c r="DJ354" s="24180"/>
      <c r="DK354" s="24180"/>
      <c r="DL354" s="24180"/>
      <c r="DM354" s="24180"/>
      <c r="DN354" s="24180"/>
      <c r="DO354" s="24180"/>
      <c r="DP354" s="24181"/>
      <c r="DQ354" s="24179"/>
      <c r="DR354" s="24180"/>
      <c r="DS354" s="24180"/>
      <c r="DT354" s="24180"/>
      <c r="DU354" s="24180"/>
      <c r="DV354" s="24180"/>
      <c r="DW354" s="24180"/>
      <c r="DX354" s="24180"/>
      <c r="DY354" s="24180"/>
      <c r="DZ354" s="24180"/>
      <c r="EA354" s="24181"/>
      <c r="EB354" s="24179"/>
      <c r="EC354" s="24180"/>
      <c r="ED354" s="24180"/>
      <c r="EE354" s="24180"/>
      <c r="EF354" s="24180"/>
      <c r="EG354" s="24180"/>
      <c r="EH354" s="24180"/>
      <c r="EI354" s="24180"/>
      <c r="EJ354" s="24180"/>
      <c r="EK354" s="24180"/>
      <c r="EL354" s="24181"/>
      <c r="EM354" s="24179"/>
      <c r="EN354" s="24180"/>
      <c r="EO354" s="24180"/>
      <c r="EP354" s="24180"/>
      <c r="EQ354" s="24180"/>
      <c r="ER354" s="24180"/>
      <c r="ES354" s="24180"/>
      <c r="ET354" s="24180"/>
      <c r="EU354" s="24180"/>
      <c r="EV354" s="24180"/>
      <c r="EW354" s="24181"/>
      <c r="EX354" s="24076"/>
      <c r="EY354" s="24077"/>
      <c r="EZ354" s="24180"/>
      <c r="FA354" s="24180"/>
      <c r="FB354" s="24077"/>
      <c r="FC354" s="24180"/>
      <c r="FD354" s="24180"/>
      <c r="FE354" s="24180"/>
      <c r="FF354" s="24180"/>
      <c r="FG354" s="24180"/>
      <c r="FH354" s="24181"/>
      <c r="FI354" s="24076"/>
      <c r="FJ354" s="24077"/>
      <c r="FK354" s="24180"/>
      <c r="FL354" s="24180"/>
      <c r="FM354" s="24077"/>
      <c r="FN354" s="24180"/>
      <c r="FO354" s="24180"/>
      <c r="FP354" s="24077"/>
      <c r="FQ354" s="24077"/>
      <c r="FR354" s="24077"/>
      <c r="FS354" s="24181"/>
      <c r="FT354" s="24078"/>
      <c r="FU354" s="1233" t="s">
        <v>711</v>
      </c>
      <c r="FV354" s="1568"/>
      <c r="FW354" s="1550"/>
      <c r="FX354" s="1550" t="str">
        <f t="shared" si="5"/>
        <v>Группа потребителей</v>
      </c>
      <c r="FY354" s="1550"/>
      <c r="FZ354" s="1550"/>
      <c r="GA354" s="1561">
        <v>0</v>
      </c>
    </row>
    <row r="355" spans="1:183" s="1747" customFormat="1" ht="23.25" customHeight="1">
      <c r="A355" s="1289"/>
      <c r="B355" s="1289"/>
      <c r="C355" s="1289"/>
      <c r="D355" s="1289"/>
      <c r="E355" s="24089"/>
      <c r="F355" s="24089"/>
      <c r="G355" s="24089"/>
      <c r="H355" s="24089"/>
      <c r="I355" s="24091"/>
      <c r="J355" s="24091" t="str">
        <f>I349&amp;".1"</f>
        <v>1.15.1.1.1</v>
      </c>
      <c r="K355" s="24090" t="str">
        <f>J354&amp;".1"</f>
        <v>1.15.1.1.2.1</v>
      </c>
      <c r="L355" s="1295"/>
      <c r="M355" s="1674"/>
      <c r="N355" s="1674"/>
      <c r="O355" s="1674"/>
      <c r="P355" s="24092"/>
      <c r="Q355" s="24092"/>
      <c r="R355" s="293">
        <v>1</v>
      </c>
      <c r="S355" s="1976" t="str">
        <f>$K355</f>
        <v>1.15.1.1.2.1</v>
      </c>
      <c r="T355" s="1363"/>
      <c r="U355" s="236"/>
      <c r="V355" s="1286"/>
      <c r="W355" s="1286"/>
      <c r="X355" s="1286"/>
      <c r="Y355" s="1286"/>
      <c r="Z355" s="1286"/>
      <c r="AA355" s="1286"/>
      <c r="AB355" s="1286"/>
      <c r="AC355" s="24086"/>
      <c r="AD355" s="24085" t="s">
        <v>59</v>
      </c>
      <c r="AE355" s="24086"/>
      <c r="AF355" s="24085" t="s">
        <v>59</v>
      </c>
      <c r="AG355" s="687">
        <v>212.58</v>
      </c>
      <c r="AH355" s="687">
        <v>25.6</v>
      </c>
      <c r="AI355" s="687"/>
      <c r="AJ355" s="687"/>
      <c r="AK355" s="687">
        <v>2687.41</v>
      </c>
      <c r="AL355" s="687"/>
      <c r="AM355" s="687"/>
      <c r="AN355" s="24093" t="s">
        <v>9</v>
      </c>
      <c r="AO355" s="23957" t="s">
        <v>59</v>
      </c>
      <c r="AP355" s="24095" t="s">
        <v>770</v>
      </c>
      <c r="AQ355" s="23957" t="s">
        <v>59</v>
      </c>
      <c r="AR355" s="687">
        <v>233.68</v>
      </c>
      <c r="AS355" s="687">
        <v>28.03</v>
      </c>
      <c r="AT355" s="687"/>
      <c r="AU355" s="687"/>
      <c r="AV355" s="687">
        <v>2956.15</v>
      </c>
      <c r="AW355" s="687"/>
      <c r="AX355" s="687"/>
      <c r="AY355" s="24093" t="s">
        <v>772</v>
      </c>
      <c r="AZ355" s="23957" t="s">
        <v>59</v>
      </c>
      <c r="BA355" s="24093" t="s">
        <v>773</v>
      </c>
      <c r="BB355" s="23957" t="s">
        <v>59</v>
      </c>
      <c r="BC355" s="687">
        <v>233.68</v>
      </c>
      <c r="BD355" s="687">
        <v>28.03</v>
      </c>
      <c r="BE355" s="687"/>
      <c r="BF355" s="687"/>
      <c r="BG355" s="687">
        <v>2956.15</v>
      </c>
      <c r="BH355" s="687"/>
      <c r="BI355" s="687"/>
      <c r="BJ355" s="24093" t="s">
        <v>774</v>
      </c>
      <c r="BK355" s="23957" t="s">
        <v>59</v>
      </c>
      <c r="BL355" s="24093" t="s">
        <v>775</v>
      </c>
      <c r="BM355" s="23957" t="s">
        <v>59</v>
      </c>
      <c r="BN355" s="687">
        <v>261.22000000000003</v>
      </c>
      <c r="BO355" s="687">
        <v>33.64</v>
      </c>
      <c r="BP355" s="687"/>
      <c r="BQ355" s="687"/>
      <c r="BR355" s="687">
        <v>3263.59</v>
      </c>
      <c r="BS355" s="687"/>
      <c r="BT355" s="687"/>
      <c r="BU355" s="24093" t="s">
        <v>776</v>
      </c>
      <c r="BV355" s="23957" t="s">
        <v>59</v>
      </c>
      <c r="BW355" s="24093" t="s">
        <v>777</v>
      </c>
      <c r="BX355" s="23957" t="s">
        <v>59</v>
      </c>
      <c r="BY355" s="687">
        <v>265.66000000000003</v>
      </c>
      <c r="BZ355" s="687">
        <v>34.21</v>
      </c>
      <c r="CA355" s="687"/>
      <c r="CB355" s="687"/>
      <c r="CC355" s="687">
        <v>3338.41</v>
      </c>
      <c r="CD355" s="687"/>
      <c r="CE355" s="687"/>
      <c r="CF355" s="24093" t="s">
        <v>778</v>
      </c>
      <c r="CG355" s="23957" t="s">
        <v>59</v>
      </c>
      <c r="CH355" s="24185">
        <v>46295</v>
      </c>
      <c r="CI355" s="23957" t="s">
        <v>59</v>
      </c>
      <c r="CJ355" s="687">
        <v>297.52999999999997</v>
      </c>
      <c r="CK355" s="687">
        <v>38.31</v>
      </c>
      <c r="CL355" s="687"/>
      <c r="CM355" s="687"/>
      <c r="CN355" s="687">
        <v>3739.02</v>
      </c>
      <c r="CO355" s="687"/>
      <c r="CP355" s="687"/>
      <c r="CQ355" s="24093" t="s">
        <v>792</v>
      </c>
      <c r="CR355" s="23957" t="s">
        <v>59</v>
      </c>
      <c r="CS355" s="24185">
        <v>46296</v>
      </c>
      <c r="CT355" s="23957" t="s">
        <v>59</v>
      </c>
      <c r="CU355" s="687">
        <f>CJ355</f>
        <v>297.52999999999997</v>
      </c>
      <c r="CV355" s="687">
        <f>CK355</f>
        <v>38.31</v>
      </c>
      <c r="CW355" s="687"/>
      <c r="CX355" s="687"/>
      <c r="CY355" s="687">
        <f>CN355</f>
        <v>3739.02</v>
      </c>
      <c r="CZ355" s="687"/>
      <c r="DA355" s="687"/>
      <c r="DB355" s="24093" t="s">
        <v>780</v>
      </c>
      <c r="DC355" s="23957" t="s">
        <v>59</v>
      </c>
      <c r="DD355" s="24093" t="s">
        <v>781</v>
      </c>
      <c r="DE355" s="23957" t="s">
        <v>59</v>
      </c>
      <c r="DF355" s="687">
        <v>323.42</v>
      </c>
      <c r="DG355" s="687">
        <v>41.64</v>
      </c>
      <c r="DH355" s="687"/>
      <c r="DI355" s="687"/>
      <c r="DJ355" s="687">
        <v>4064.31</v>
      </c>
      <c r="DK355" s="687"/>
      <c r="DL355" s="687"/>
      <c r="DM355" s="24093" t="s">
        <v>782</v>
      </c>
      <c r="DN355" s="23957" t="s">
        <v>59</v>
      </c>
      <c r="DO355" s="24093" t="s">
        <v>783</v>
      </c>
      <c r="DP355" s="23957" t="s">
        <v>59</v>
      </c>
      <c r="DQ355" s="687">
        <f>DF355</f>
        <v>323.42</v>
      </c>
      <c r="DR355" s="687">
        <f>DG355</f>
        <v>41.64</v>
      </c>
      <c r="DS355" s="687"/>
      <c r="DT355" s="687"/>
      <c r="DU355" s="687">
        <f>DJ355</f>
        <v>4064.31</v>
      </c>
      <c r="DV355" s="687"/>
      <c r="DW355" s="687"/>
      <c r="DX355" s="24093" t="s">
        <v>784</v>
      </c>
      <c r="DY355" s="23957" t="s">
        <v>59</v>
      </c>
      <c r="DZ355" s="24093" t="s">
        <v>785</v>
      </c>
      <c r="EA355" s="23957" t="s">
        <v>59</v>
      </c>
      <c r="EB355" s="687">
        <v>346.38</v>
      </c>
      <c r="EC355" s="687">
        <v>44.6</v>
      </c>
      <c r="ED355" s="687"/>
      <c r="EE355" s="687"/>
      <c r="EF355" s="687">
        <v>4352.87</v>
      </c>
      <c r="EG355" s="687"/>
      <c r="EH355" s="687"/>
      <c r="EI355" s="24093" t="s">
        <v>786</v>
      </c>
      <c r="EJ355" s="23957" t="s">
        <v>59</v>
      </c>
      <c r="EK355" s="24093" t="s">
        <v>787</v>
      </c>
      <c r="EL355" s="23957" t="s">
        <v>6</v>
      </c>
      <c r="EM355" s="1286"/>
      <c r="EN355" s="1286"/>
      <c r="EO355" s="1286"/>
      <c r="EP355" s="1286"/>
      <c r="EQ355" s="1286"/>
      <c r="ER355" s="1286"/>
      <c r="ES355" s="1286"/>
      <c r="ET355" s="24086"/>
      <c r="EU355" s="24085" t="s">
        <v>59</v>
      </c>
      <c r="EV355" s="24086"/>
      <c r="EW355" s="24085" t="s">
        <v>59</v>
      </c>
      <c r="EX355" s="1286"/>
      <c r="EY355" s="1286"/>
      <c r="EZ355" s="1286"/>
      <c r="FA355" s="1286"/>
      <c r="FB355" s="1286"/>
      <c r="FC355" s="1286"/>
      <c r="FD355" s="1286"/>
      <c r="FE355" s="24086"/>
      <c r="FF355" s="24085" t="s">
        <v>59</v>
      </c>
      <c r="FG355" s="24086"/>
      <c r="FH355" s="24085" t="s">
        <v>59</v>
      </c>
      <c r="FI355" s="1286"/>
      <c r="FJ355" s="1286"/>
      <c r="FK355" s="1286"/>
      <c r="FL355" s="1286"/>
      <c r="FM355" s="1286"/>
      <c r="FN355" s="1286"/>
      <c r="FO355" s="1286"/>
      <c r="FP355" s="24086"/>
      <c r="FQ355" s="24085" t="s">
        <v>59</v>
      </c>
      <c r="FR355" s="24086"/>
      <c r="FS355" s="24085" t="s">
        <v>59</v>
      </c>
      <c r="FT355" s="1364"/>
      <c r="FU35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55" s="1568" t="e">
        <f ca="1">STRCHECKDATE(V356:FT356)</f>
        <v>#NAME?</v>
      </c>
      <c r="FW355" s="1550"/>
      <c r="FX355" s="1550" t="str">
        <f t="shared" si="5"/>
        <v/>
      </c>
      <c r="FY355" s="1550"/>
      <c r="FZ355" s="1550"/>
      <c r="GA355" s="1561">
        <v>0</v>
      </c>
    </row>
    <row r="356" spans="1:183" s="1747" customFormat="1" ht="14.25" customHeight="1">
      <c r="A356" s="1289"/>
      <c r="B356" s="1289"/>
      <c r="C356" s="1289"/>
      <c r="D356" s="1289"/>
      <c r="E356" s="24089"/>
      <c r="F356" s="24089"/>
      <c r="G356" s="24089"/>
      <c r="H356" s="24089"/>
      <c r="I356" s="24091"/>
      <c r="J356" s="24091" t="str">
        <f>I349&amp;".1"</f>
        <v>1.15.1.1.1</v>
      </c>
      <c r="K356" s="24090"/>
      <c r="L356" s="1295"/>
      <c r="M356" s="1674"/>
      <c r="N356" s="1674"/>
      <c r="O356" s="1674"/>
      <c r="P356" s="24092"/>
      <c r="Q356" s="24092"/>
      <c r="R356" s="293"/>
      <c r="S356" s="1982"/>
      <c r="T356" s="236"/>
      <c r="U356" s="236"/>
      <c r="V356" s="1286"/>
      <c r="W356" s="1286"/>
      <c r="X356" s="1286"/>
      <c r="Y356" s="1286"/>
      <c r="Z356" s="1286"/>
      <c r="AA356" s="1286"/>
      <c r="AB356" s="1286"/>
      <c r="AC356" s="24085"/>
      <c r="AD356" s="24085"/>
      <c r="AE356" s="24085"/>
      <c r="AF356" s="24085"/>
      <c r="AG356" s="261"/>
      <c r="AH356" s="261"/>
      <c r="AI356" s="261"/>
      <c r="AJ356" s="261"/>
      <c r="AK356" s="261"/>
      <c r="AL356" s="261"/>
      <c r="AM356" s="261"/>
      <c r="AN356" s="24094"/>
      <c r="AO356" s="23957"/>
      <c r="AP356" s="24096"/>
      <c r="AQ356" s="23957"/>
      <c r="AR356" s="261"/>
      <c r="AS356" s="261"/>
      <c r="AT356" s="261"/>
      <c r="AU356" s="261"/>
      <c r="AV356" s="261"/>
      <c r="AW356" s="261"/>
      <c r="AX356" s="261"/>
      <c r="AY356" s="24094"/>
      <c r="AZ356" s="23957"/>
      <c r="BA356" s="24094"/>
      <c r="BB356" s="23957"/>
      <c r="BC356" s="261"/>
      <c r="BD356" s="261"/>
      <c r="BE356" s="261"/>
      <c r="BF356" s="261"/>
      <c r="BG356" s="261"/>
      <c r="BH356" s="261"/>
      <c r="BI356" s="261"/>
      <c r="BJ356" s="24094"/>
      <c r="BK356" s="23957"/>
      <c r="BL356" s="24094"/>
      <c r="BM356" s="23957"/>
      <c r="BN356" s="261"/>
      <c r="BO356" s="261"/>
      <c r="BP356" s="261"/>
      <c r="BQ356" s="261"/>
      <c r="BR356" s="261"/>
      <c r="BS356" s="261"/>
      <c r="BT356" s="261"/>
      <c r="BU356" s="24094"/>
      <c r="BV356" s="23957"/>
      <c r="BW356" s="24094"/>
      <c r="BX356" s="23957"/>
      <c r="BY356" s="261"/>
      <c r="BZ356" s="261"/>
      <c r="CA356" s="261"/>
      <c r="CB356" s="261"/>
      <c r="CC356" s="261"/>
      <c r="CD356" s="261"/>
      <c r="CE356" s="261"/>
      <c r="CF356" s="24094"/>
      <c r="CG356" s="23957"/>
      <c r="CH356" s="24094"/>
      <c r="CI356" s="23957"/>
      <c r="CJ356" s="261"/>
      <c r="CK356" s="261"/>
      <c r="CL356" s="261"/>
      <c r="CM356" s="261"/>
      <c r="CN356" s="261"/>
      <c r="CO356" s="261"/>
      <c r="CP356" s="261"/>
      <c r="CQ356" s="24094"/>
      <c r="CR356" s="23957"/>
      <c r="CS356" s="24094"/>
      <c r="CT356" s="23957"/>
      <c r="CU356" s="261"/>
      <c r="CV356" s="261"/>
      <c r="CW356" s="261"/>
      <c r="CX356" s="261"/>
      <c r="CY356" s="261"/>
      <c r="CZ356" s="261"/>
      <c r="DA356" s="261"/>
      <c r="DB356" s="24094"/>
      <c r="DC356" s="23957"/>
      <c r="DD356" s="24094"/>
      <c r="DE356" s="23957"/>
      <c r="DF356" s="261"/>
      <c r="DG356" s="261"/>
      <c r="DH356" s="261"/>
      <c r="DI356" s="261"/>
      <c r="DJ356" s="261"/>
      <c r="DK356" s="261"/>
      <c r="DL356" s="261"/>
      <c r="DM356" s="24094"/>
      <c r="DN356" s="23957"/>
      <c r="DO356" s="24094"/>
      <c r="DP356" s="23957"/>
      <c r="DQ356" s="261"/>
      <c r="DR356" s="261"/>
      <c r="DS356" s="261"/>
      <c r="DT356" s="261"/>
      <c r="DU356" s="261"/>
      <c r="DV356" s="261"/>
      <c r="DW356" s="261"/>
      <c r="DX356" s="24094"/>
      <c r="DY356" s="23957"/>
      <c r="DZ356" s="24094"/>
      <c r="EA356" s="23957"/>
      <c r="EB356" s="261"/>
      <c r="EC356" s="261"/>
      <c r="ED356" s="261"/>
      <c r="EE356" s="261"/>
      <c r="EF356" s="261"/>
      <c r="EG356" s="261"/>
      <c r="EH356" s="261"/>
      <c r="EI356" s="24094"/>
      <c r="EJ356" s="23957"/>
      <c r="EK356" s="24094"/>
      <c r="EL356" s="23957"/>
      <c r="EM356" s="1286"/>
      <c r="EN356" s="1286"/>
      <c r="EO356" s="1286"/>
      <c r="EP356" s="1286"/>
      <c r="EQ356" s="1286"/>
      <c r="ER356" s="1286"/>
      <c r="ES356" s="1286"/>
      <c r="ET356" s="24085"/>
      <c r="EU356" s="24085"/>
      <c r="EV356" s="24085"/>
      <c r="EW356" s="24085"/>
      <c r="EX356" s="1286"/>
      <c r="EY356" s="1286"/>
      <c r="EZ356" s="1286"/>
      <c r="FA356" s="1286"/>
      <c r="FB356" s="1286"/>
      <c r="FC356" s="1286"/>
      <c r="FD356" s="1286"/>
      <c r="FE356" s="24085"/>
      <c r="FF356" s="24085"/>
      <c r="FG356" s="24085"/>
      <c r="FH356" s="24085"/>
      <c r="FI356" s="1286"/>
      <c r="FJ356" s="1286"/>
      <c r="FK356" s="1286"/>
      <c r="FL356" s="1286"/>
      <c r="FM356" s="1286"/>
      <c r="FN356" s="1286"/>
      <c r="FO356" s="1286"/>
      <c r="FP356" s="24085"/>
      <c r="FQ356" s="24085"/>
      <c r="FR356" s="24085"/>
      <c r="FS356" s="24085"/>
      <c r="FT356" s="1365"/>
      <c r="FU356" s="24162"/>
      <c r="FV356" s="1568"/>
      <c r="FW356" s="1550"/>
      <c r="FX356" s="1550" t="str">
        <f t="shared" si="5"/>
        <v/>
      </c>
      <c r="FY356" s="1550"/>
      <c r="FZ356" s="1550"/>
      <c r="GA356" s="1561">
        <v>0</v>
      </c>
    </row>
    <row r="357" spans="1:183" s="1747" customFormat="1" ht="21" customHeight="1">
      <c r="A357" s="1289"/>
      <c r="B357" s="1289"/>
      <c r="C357" s="1289"/>
      <c r="D357" s="1289"/>
      <c r="E357" s="24089"/>
      <c r="F357" s="24089"/>
      <c r="G357" s="24089"/>
      <c r="H357" s="24089"/>
      <c r="I357" s="24091"/>
      <c r="J357" s="24090" t="str">
        <f>I349&amp;".1"</f>
        <v>1.15.1.1.1</v>
      </c>
      <c r="K357" s="1289"/>
      <c r="L357" s="1295"/>
      <c r="M357" s="1674"/>
      <c r="N357" s="1674"/>
      <c r="O357" s="1674"/>
      <c r="P357" s="24092"/>
      <c r="Q357" s="24092"/>
      <c r="R357" s="292"/>
      <c r="S357" s="4901"/>
      <c r="T357" s="4902" t="s">
        <v>712</v>
      </c>
      <c r="U357" s="4903"/>
      <c r="V357" s="4904"/>
      <c r="W357" s="4905"/>
      <c r="X357" s="4906"/>
      <c r="Y357" s="4907"/>
      <c r="Z357" s="4908"/>
      <c r="AA357" s="4909"/>
      <c r="AB357" s="4910"/>
      <c r="AC357" s="4911"/>
      <c r="AD357" s="4912"/>
      <c r="AE357" s="4913"/>
      <c r="AF357" s="4914"/>
      <c r="AG357" s="4915"/>
      <c r="AH357" s="4916"/>
      <c r="AI357" s="4917"/>
      <c r="AJ357" s="4918"/>
      <c r="AK357" s="4919"/>
      <c r="AL357" s="4920"/>
      <c r="AM357" s="4921"/>
      <c r="AN357" s="4922"/>
      <c r="AO357" s="4923"/>
      <c r="AP357" s="4924"/>
      <c r="AQ357" s="4925"/>
      <c r="AR357" s="7711"/>
      <c r="AS357" s="7712"/>
      <c r="AT357" s="7713"/>
      <c r="AU357" s="7714"/>
      <c r="AV357" s="7715"/>
      <c r="AW357" s="7716"/>
      <c r="AX357" s="7717"/>
      <c r="AY357" s="7718"/>
      <c r="AZ357" s="7719"/>
      <c r="BA357" s="7720"/>
      <c r="BB357" s="7721"/>
      <c r="BC357" s="7722"/>
      <c r="BD357" s="7723"/>
      <c r="BE357" s="17627"/>
      <c r="BF357" s="17628"/>
      <c r="BG357" s="21915"/>
      <c r="BH357" s="17629"/>
      <c r="BI357" s="17630"/>
      <c r="BJ357" s="17631"/>
      <c r="BK357" s="17632"/>
      <c r="BL357" s="17633"/>
      <c r="BM357" s="17634"/>
      <c r="BN357" s="4926"/>
      <c r="BO357" s="4927"/>
      <c r="BP357" s="17635"/>
      <c r="BQ357" s="17636"/>
      <c r="BR357" s="4928"/>
      <c r="BS357" s="17637"/>
      <c r="BT357" s="17638"/>
      <c r="BU357" s="17639"/>
      <c r="BV357" s="17640"/>
      <c r="BW357" s="17641"/>
      <c r="BX357" s="17642"/>
      <c r="BY357" s="17643"/>
      <c r="BZ357" s="17644"/>
      <c r="CA357" s="17645"/>
      <c r="CB357" s="17646"/>
      <c r="CC357" s="17647"/>
      <c r="CD357" s="17648"/>
      <c r="CE357" s="17649"/>
      <c r="CF357" s="17650"/>
      <c r="CG357" s="17651"/>
      <c r="CH357" s="17652"/>
      <c r="CI357" s="17653"/>
      <c r="CJ357" s="17654"/>
      <c r="CK357" s="17655"/>
      <c r="CL357" s="17656"/>
      <c r="CM357" s="17657"/>
      <c r="CN357" s="17658"/>
      <c r="CO357" s="17659"/>
      <c r="CP357" s="17660"/>
      <c r="CQ357" s="17661"/>
      <c r="CR357" s="17662"/>
      <c r="CS357" s="17663"/>
      <c r="CT357" s="17664"/>
      <c r="CU357" s="17665"/>
      <c r="CV357" s="17666"/>
      <c r="CW357" s="17667"/>
      <c r="CX357" s="17668"/>
      <c r="CY357" s="17669"/>
      <c r="CZ357" s="17670"/>
      <c r="DA357" s="17671"/>
      <c r="DB357" s="17672"/>
      <c r="DC357" s="17673"/>
      <c r="DD357" s="17674"/>
      <c r="DE357" s="17675"/>
      <c r="DF357" s="17676"/>
      <c r="DG357" s="17677"/>
      <c r="DH357" s="17678"/>
      <c r="DI357" s="17679"/>
      <c r="DJ357" s="17680"/>
      <c r="DK357" s="17681"/>
      <c r="DL357" s="17682"/>
      <c r="DM357" s="17683"/>
      <c r="DN357" s="17684"/>
      <c r="DO357" s="17685"/>
      <c r="DP357" s="17686"/>
      <c r="DQ357" s="17687"/>
      <c r="DR357" s="17688"/>
      <c r="DS357" s="17689"/>
      <c r="DT357" s="17690"/>
      <c r="DU357" s="17691"/>
      <c r="DV357" s="17692"/>
      <c r="DW357" s="17693"/>
      <c r="DX357" s="17694"/>
      <c r="DY357" s="17695"/>
      <c r="DZ357" s="17696"/>
      <c r="EA357" s="17697"/>
      <c r="EB357" s="17698"/>
      <c r="EC357" s="17699"/>
      <c r="ED357" s="17700"/>
      <c r="EE357" s="17701"/>
      <c r="EF357" s="17702"/>
      <c r="EG357" s="17703"/>
      <c r="EH357" s="17704"/>
      <c r="EI357" s="17705"/>
      <c r="EJ357" s="17706"/>
      <c r="EK357" s="17707"/>
      <c r="EL357" s="17708"/>
      <c r="EM357" s="21701"/>
      <c r="EN357" s="21702"/>
      <c r="EO357" s="17709"/>
      <c r="EP357" s="17710"/>
      <c r="EQ357" s="21703"/>
      <c r="ER357" s="17711"/>
      <c r="ES357" s="17712"/>
      <c r="ET357" s="17713"/>
      <c r="EU357" s="17714"/>
      <c r="EV357" s="17715"/>
      <c r="EW357" s="17716"/>
      <c r="EX357" s="4929"/>
      <c r="EY357" s="4930"/>
      <c r="EZ357" s="17717"/>
      <c r="FA357" s="17718"/>
      <c r="FB357" s="4931"/>
      <c r="FC357" s="17719"/>
      <c r="FD357" s="17720"/>
      <c r="FE357" s="17721"/>
      <c r="FF357" s="17722"/>
      <c r="FG357" s="17723"/>
      <c r="FH357" s="5751"/>
      <c r="FI357" s="22980"/>
      <c r="FJ357" s="22981"/>
      <c r="FK357" s="23717"/>
      <c r="FL357" s="23718"/>
      <c r="FM357" s="22982"/>
      <c r="FN357" s="23719"/>
      <c r="FO357" s="23720"/>
      <c r="FP357" s="22983"/>
      <c r="FQ357" s="22984"/>
      <c r="FR357" s="22985"/>
      <c r="FS357" s="23721"/>
      <c r="FT357" s="4932"/>
      <c r="FU357" s="1184" t="s">
        <v>713</v>
      </c>
      <c r="FV357" s="1568"/>
      <c r="FW357" s="1550"/>
      <c r="FX357" s="1550" t="str">
        <f t="shared" si="5"/>
        <v>Добавить значение признака дифференциации</v>
      </c>
      <c r="FY357" s="1550"/>
      <c r="FZ357" s="1550"/>
      <c r="GA357" s="1561">
        <v>0</v>
      </c>
    </row>
    <row r="358" spans="1:183" s="1747" customFormat="1" ht="21" customHeight="1">
      <c r="A358" s="1289"/>
      <c r="B358" s="1289"/>
      <c r="C358" s="1289"/>
      <c r="D358" s="1289"/>
      <c r="E358" s="24089"/>
      <c r="F358" s="24089" t="s">
        <v>154</v>
      </c>
      <c r="G358" s="24089"/>
      <c r="H358" s="24089"/>
      <c r="I358" s="24090"/>
      <c r="J358" s="1289"/>
      <c r="K358" s="1289"/>
      <c r="L358" s="1295"/>
      <c r="M358" s="1674"/>
      <c r="N358" s="1674"/>
      <c r="O358" s="1674"/>
      <c r="P358" s="24092"/>
      <c r="Q358" s="1978"/>
      <c r="R358" s="292"/>
      <c r="S358" s="4933"/>
      <c r="T358" s="4934" t="s">
        <v>641</v>
      </c>
      <c r="U358" s="4935"/>
      <c r="V358" s="4936"/>
      <c r="W358" s="4937"/>
      <c r="X358" s="4938"/>
      <c r="Y358" s="4939"/>
      <c r="Z358" s="4940"/>
      <c r="AA358" s="4941"/>
      <c r="AB358" s="4942"/>
      <c r="AC358" s="4943"/>
      <c r="AD358" s="4944"/>
      <c r="AE358" s="4945"/>
      <c r="AF358" s="4946"/>
      <c r="AG358" s="4947"/>
      <c r="AH358" s="4948"/>
      <c r="AI358" s="4949"/>
      <c r="AJ358" s="4950"/>
      <c r="AK358" s="4951"/>
      <c r="AL358" s="4952"/>
      <c r="AM358" s="4953"/>
      <c r="AN358" s="4954"/>
      <c r="AO358" s="4955"/>
      <c r="AP358" s="4956"/>
      <c r="AQ358" s="4957"/>
      <c r="AR358" s="7724"/>
      <c r="AS358" s="7725"/>
      <c r="AT358" s="7726"/>
      <c r="AU358" s="7727"/>
      <c r="AV358" s="7728"/>
      <c r="AW358" s="7729"/>
      <c r="AX358" s="7730"/>
      <c r="AY358" s="7731"/>
      <c r="AZ358" s="7732"/>
      <c r="BA358" s="7733"/>
      <c r="BB358" s="7734"/>
      <c r="BC358" s="7735"/>
      <c r="BD358" s="7736"/>
      <c r="BE358" s="17724"/>
      <c r="BF358" s="17725"/>
      <c r="BG358" s="21916"/>
      <c r="BH358" s="17726"/>
      <c r="BI358" s="17727"/>
      <c r="BJ358" s="17728"/>
      <c r="BK358" s="17729"/>
      <c r="BL358" s="17730"/>
      <c r="BM358" s="17731"/>
      <c r="BN358" s="4958"/>
      <c r="BO358" s="4959"/>
      <c r="BP358" s="17732"/>
      <c r="BQ358" s="17733"/>
      <c r="BR358" s="4960"/>
      <c r="BS358" s="17734"/>
      <c r="BT358" s="17735"/>
      <c r="BU358" s="17736"/>
      <c r="BV358" s="17737"/>
      <c r="BW358" s="17738"/>
      <c r="BX358" s="17739"/>
      <c r="BY358" s="17740"/>
      <c r="BZ358" s="17741"/>
      <c r="CA358" s="17742"/>
      <c r="CB358" s="17743"/>
      <c r="CC358" s="17744"/>
      <c r="CD358" s="17745"/>
      <c r="CE358" s="17746"/>
      <c r="CF358" s="17747"/>
      <c r="CG358" s="17748"/>
      <c r="CH358" s="17749"/>
      <c r="CI358" s="17750"/>
      <c r="CJ358" s="17751"/>
      <c r="CK358" s="17752"/>
      <c r="CL358" s="17753"/>
      <c r="CM358" s="17754"/>
      <c r="CN358" s="17755"/>
      <c r="CO358" s="17756"/>
      <c r="CP358" s="17757"/>
      <c r="CQ358" s="17758"/>
      <c r="CR358" s="17759"/>
      <c r="CS358" s="17760"/>
      <c r="CT358" s="17761"/>
      <c r="CU358" s="17762"/>
      <c r="CV358" s="17763"/>
      <c r="CW358" s="17764"/>
      <c r="CX358" s="17765"/>
      <c r="CY358" s="17766"/>
      <c r="CZ358" s="17767"/>
      <c r="DA358" s="17768"/>
      <c r="DB358" s="17769"/>
      <c r="DC358" s="17770"/>
      <c r="DD358" s="17771"/>
      <c r="DE358" s="17772"/>
      <c r="DF358" s="17773"/>
      <c r="DG358" s="17774"/>
      <c r="DH358" s="17775"/>
      <c r="DI358" s="17776"/>
      <c r="DJ358" s="17777"/>
      <c r="DK358" s="17778"/>
      <c r="DL358" s="17779"/>
      <c r="DM358" s="17780"/>
      <c r="DN358" s="17781"/>
      <c r="DO358" s="17782"/>
      <c r="DP358" s="17783"/>
      <c r="DQ358" s="17784"/>
      <c r="DR358" s="17785"/>
      <c r="DS358" s="17786"/>
      <c r="DT358" s="17787"/>
      <c r="DU358" s="17788"/>
      <c r="DV358" s="17789"/>
      <c r="DW358" s="17790"/>
      <c r="DX358" s="17791"/>
      <c r="DY358" s="17792"/>
      <c r="DZ358" s="17793"/>
      <c r="EA358" s="17794"/>
      <c r="EB358" s="17795"/>
      <c r="EC358" s="17796"/>
      <c r="ED358" s="17797"/>
      <c r="EE358" s="17798"/>
      <c r="EF358" s="17799"/>
      <c r="EG358" s="17800"/>
      <c r="EH358" s="17801"/>
      <c r="EI358" s="17802"/>
      <c r="EJ358" s="17803"/>
      <c r="EK358" s="17804"/>
      <c r="EL358" s="17805"/>
      <c r="EM358" s="21704"/>
      <c r="EN358" s="21705"/>
      <c r="EO358" s="17806"/>
      <c r="EP358" s="17807"/>
      <c r="EQ358" s="21706"/>
      <c r="ER358" s="17808"/>
      <c r="ES358" s="17809"/>
      <c r="ET358" s="17810"/>
      <c r="EU358" s="17811"/>
      <c r="EV358" s="17812"/>
      <c r="EW358" s="17813"/>
      <c r="EX358" s="4961"/>
      <c r="EY358" s="4962"/>
      <c r="EZ358" s="17814"/>
      <c r="FA358" s="17815"/>
      <c r="FB358" s="4963"/>
      <c r="FC358" s="17816"/>
      <c r="FD358" s="17817"/>
      <c r="FE358" s="17818"/>
      <c r="FF358" s="17819"/>
      <c r="FG358" s="17820"/>
      <c r="FH358" s="5752"/>
      <c r="FI358" s="22986"/>
      <c r="FJ358" s="22987"/>
      <c r="FK358" s="23722"/>
      <c r="FL358" s="23723"/>
      <c r="FM358" s="22988"/>
      <c r="FN358" s="23724"/>
      <c r="FO358" s="23725"/>
      <c r="FP358" s="22989"/>
      <c r="FQ358" s="22990"/>
      <c r="FR358" s="22991"/>
      <c r="FS358" s="23726"/>
      <c r="FT358" s="4964"/>
      <c r="FU358" s="4965"/>
      <c r="FV358" s="1568"/>
      <c r="FW358" s="1550"/>
      <c r="FX358" s="1550" t="str">
        <f t="shared" si="5"/>
        <v>Добавить группу потребителей</v>
      </c>
      <c r="FY358" s="1550"/>
      <c r="FZ358" s="1550"/>
      <c r="GA358" s="1561">
        <v>0</v>
      </c>
    </row>
    <row r="359" spans="1:183" s="1747" customFormat="1" ht="21" customHeight="1">
      <c r="A359" s="1289"/>
      <c r="B359" s="1289"/>
      <c r="C359" s="1289"/>
      <c r="D359" s="1289"/>
      <c r="E359" s="24089"/>
      <c r="F359" s="24089" t="s">
        <v>154</v>
      </c>
      <c r="G359" s="24089"/>
      <c r="H359" s="24088"/>
      <c r="I359" s="1289"/>
      <c r="J359" s="1289"/>
      <c r="K359" s="1289"/>
      <c r="L359" s="1295"/>
      <c r="M359" s="1291"/>
      <c r="N359" s="1291"/>
      <c r="O359" s="1292"/>
      <c r="P359" s="1720"/>
      <c r="Q359" s="311"/>
      <c r="R359" s="291"/>
      <c r="S359" s="4966"/>
      <c r="T359" s="4967" t="s">
        <v>714</v>
      </c>
      <c r="U359" s="4968"/>
      <c r="V359" s="4969"/>
      <c r="W359" s="4970"/>
      <c r="X359" s="4971"/>
      <c r="Y359" s="4972"/>
      <c r="Z359" s="4973"/>
      <c r="AA359" s="4974"/>
      <c r="AB359" s="4975"/>
      <c r="AC359" s="4976"/>
      <c r="AD359" s="4977"/>
      <c r="AE359" s="4978"/>
      <c r="AF359" s="4979"/>
      <c r="AG359" s="4980"/>
      <c r="AH359" s="4981"/>
      <c r="AI359" s="4982"/>
      <c r="AJ359" s="4983"/>
      <c r="AK359" s="4984"/>
      <c r="AL359" s="4985"/>
      <c r="AM359" s="4986"/>
      <c r="AN359" s="4987"/>
      <c r="AO359" s="4988"/>
      <c r="AP359" s="4989"/>
      <c r="AQ359" s="4990"/>
      <c r="AR359" s="7737"/>
      <c r="AS359" s="7738"/>
      <c r="AT359" s="7739"/>
      <c r="AU359" s="7740"/>
      <c r="AV359" s="7741"/>
      <c r="AW359" s="7742"/>
      <c r="AX359" s="7743"/>
      <c r="AY359" s="7744"/>
      <c r="AZ359" s="7745"/>
      <c r="BA359" s="7746"/>
      <c r="BB359" s="7747"/>
      <c r="BC359" s="7748"/>
      <c r="BD359" s="7749"/>
      <c r="BE359" s="17821"/>
      <c r="BF359" s="17822"/>
      <c r="BG359" s="21917"/>
      <c r="BH359" s="17823"/>
      <c r="BI359" s="17824"/>
      <c r="BJ359" s="17825"/>
      <c r="BK359" s="17826"/>
      <c r="BL359" s="17827"/>
      <c r="BM359" s="17828"/>
      <c r="BN359" s="4991"/>
      <c r="BO359" s="4992"/>
      <c r="BP359" s="17829"/>
      <c r="BQ359" s="17830"/>
      <c r="BR359" s="4993"/>
      <c r="BS359" s="17831"/>
      <c r="BT359" s="17832"/>
      <c r="BU359" s="17833"/>
      <c r="BV359" s="17834"/>
      <c r="BW359" s="17835"/>
      <c r="BX359" s="17836"/>
      <c r="BY359" s="17837"/>
      <c r="BZ359" s="17838"/>
      <c r="CA359" s="17839"/>
      <c r="CB359" s="17840"/>
      <c r="CC359" s="17841"/>
      <c r="CD359" s="17842"/>
      <c r="CE359" s="17843"/>
      <c r="CF359" s="17844"/>
      <c r="CG359" s="17845"/>
      <c r="CH359" s="17846"/>
      <c r="CI359" s="17847"/>
      <c r="CJ359" s="17848"/>
      <c r="CK359" s="17849"/>
      <c r="CL359" s="17850"/>
      <c r="CM359" s="17851"/>
      <c r="CN359" s="17852"/>
      <c r="CO359" s="17853"/>
      <c r="CP359" s="17854"/>
      <c r="CQ359" s="17855"/>
      <c r="CR359" s="17856"/>
      <c r="CS359" s="17857"/>
      <c r="CT359" s="17858"/>
      <c r="CU359" s="17859"/>
      <c r="CV359" s="17860"/>
      <c r="CW359" s="17861"/>
      <c r="CX359" s="17862"/>
      <c r="CY359" s="17863"/>
      <c r="CZ359" s="17864"/>
      <c r="DA359" s="17865"/>
      <c r="DB359" s="17866"/>
      <c r="DC359" s="17867"/>
      <c r="DD359" s="17868"/>
      <c r="DE359" s="17869"/>
      <c r="DF359" s="17870"/>
      <c r="DG359" s="17871"/>
      <c r="DH359" s="17872"/>
      <c r="DI359" s="17873"/>
      <c r="DJ359" s="17874"/>
      <c r="DK359" s="17875"/>
      <c r="DL359" s="17876"/>
      <c r="DM359" s="17877"/>
      <c r="DN359" s="17878"/>
      <c r="DO359" s="17879"/>
      <c r="DP359" s="17880"/>
      <c r="DQ359" s="17881"/>
      <c r="DR359" s="17882"/>
      <c r="DS359" s="17883"/>
      <c r="DT359" s="17884"/>
      <c r="DU359" s="17885"/>
      <c r="DV359" s="17886"/>
      <c r="DW359" s="17887"/>
      <c r="DX359" s="17888"/>
      <c r="DY359" s="17889"/>
      <c r="DZ359" s="17890"/>
      <c r="EA359" s="17891"/>
      <c r="EB359" s="17892"/>
      <c r="EC359" s="17893"/>
      <c r="ED359" s="17894"/>
      <c r="EE359" s="17895"/>
      <c r="EF359" s="17896"/>
      <c r="EG359" s="17897"/>
      <c r="EH359" s="17898"/>
      <c r="EI359" s="17899"/>
      <c r="EJ359" s="17900"/>
      <c r="EK359" s="17901"/>
      <c r="EL359" s="17902"/>
      <c r="EM359" s="21707"/>
      <c r="EN359" s="21708"/>
      <c r="EO359" s="17903"/>
      <c r="EP359" s="17904"/>
      <c r="EQ359" s="21709"/>
      <c r="ER359" s="17905"/>
      <c r="ES359" s="17906"/>
      <c r="ET359" s="17907"/>
      <c r="EU359" s="17908"/>
      <c r="EV359" s="17909"/>
      <c r="EW359" s="17910"/>
      <c r="EX359" s="4994"/>
      <c r="EY359" s="4995"/>
      <c r="EZ359" s="17911"/>
      <c r="FA359" s="17912"/>
      <c r="FB359" s="4996"/>
      <c r="FC359" s="17913"/>
      <c r="FD359" s="17914"/>
      <c r="FE359" s="17915"/>
      <c r="FF359" s="17916"/>
      <c r="FG359" s="17917"/>
      <c r="FH359" s="5753"/>
      <c r="FI359" s="22992"/>
      <c r="FJ359" s="22993"/>
      <c r="FK359" s="23727"/>
      <c r="FL359" s="23728"/>
      <c r="FM359" s="22994"/>
      <c r="FN359" s="23729"/>
      <c r="FO359" s="23730"/>
      <c r="FP359" s="22995"/>
      <c r="FQ359" s="22996"/>
      <c r="FR359" s="22997"/>
      <c r="FS359" s="23731"/>
      <c r="FT359" s="4997"/>
      <c r="FU359" s="4998"/>
      <c r="FV359" s="1568"/>
      <c r="FW359" s="1550"/>
      <c r="FX359" s="1550" t="str">
        <f t="shared" si="5"/>
        <v>Добавить наименование признака дифференциации</v>
      </c>
      <c r="FY359" s="1550"/>
      <c r="FZ359" s="1550"/>
      <c r="GA359" s="1561">
        <v>0</v>
      </c>
    </row>
    <row r="360" spans="1:183" s="558" customFormat="1" ht="14.25" customHeight="1">
      <c r="A360" s="1269"/>
      <c r="B360" s="1269"/>
      <c r="C360" s="1269"/>
      <c r="D360" s="1269"/>
      <c r="E360" s="24089"/>
      <c r="F360" s="24088" t="s">
        <v>154</v>
      </c>
      <c r="G360" s="1269"/>
      <c r="H360" s="1269"/>
      <c r="I360" s="1269"/>
      <c r="J360" s="1269"/>
      <c r="K360" s="1269"/>
      <c r="L360" s="1471"/>
      <c r="M360" s="1247"/>
      <c r="N360" s="1247"/>
      <c r="O360" s="1568"/>
      <c r="P360" s="1242"/>
      <c r="Q360" s="1270"/>
      <c r="R360" s="1242"/>
      <c r="S360" s="1248"/>
      <c r="T360" s="1251" t="s">
        <v>370</v>
      </c>
      <c r="U360" s="1250"/>
      <c r="V360" s="1250"/>
      <c r="W360" s="1250"/>
      <c r="X360" s="1250"/>
      <c r="Y360" s="1250"/>
      <c r="Z360" s="1250"/>
      <c r="AA360" s="1250"/>
      <c r="AB360" s="1250"/>
      <c r="AC360" s="1250"/>
      <c r="AD360" s="1250"/>
      <c r="AE360" s="1250"/>
      <c r="AF360" s="1250"/>
      <c r="AG360" s="1250"/>
      <c r="AH360" s="1250"/>
      <c r="AI360" s="1250"/>
      <c r="AJ360" s="1250"/>
      <c r="AK360" s="1250"/>
      <c r="AL360" s="1250"/>
      <c r="AM360" s="1250"/>
      <c r="AN360" s="1250"/>
      <c r="AO360" s="1250"/>
      <c r="AP360" s="1250"/>
      <c r="AQ360" s="1250"/>
      <c r="AR360" s="1250"/>
      <c r="AS360" s="1250"/>
      <c r="AT360" s="1250"/>
      <c r="AU360" s="1250"/>
      <c r="AV360" s="1250"/>
      <c r="AW360" s="1250"/>
      <c r="AX360" s="1250"/>
      <c r="AY360" s="1250"/>
      <c r="AZ360" s="1250"/>
      <c r="BA360" s="1250"/>
      <c r="BB360" s="1250"/>
      <c r="BC360" s="1250"/>
      <c r="BD360" s="1250"/>
      <c r="BE360" s="1250"/>
      <c r="BF360" s="1250"/>
      <c r="BG360" s="1250"/>
      <c r="BH360" s="1250"/>
      <c r="BI360" s="1250"/>
      <c r="BJ360" s="1250"/>
      <c r="BK360" s="1250"/>
      <c r="BL360" s="1250"/>
      <c r="BM360" s="1250"/>
      <c r="BN360" s="1250"/>
      <c r="BO360" s="1250"/>
      <c r="BP360" s="1250"/>
      <c r="BQ360" s="1250"/>
      <c r="BR360" s="1250"/>
      <c r="BS360" s="1250"/>
      <c r="BT360" s="1250"/>
      <c r="BU360" s="1250"/>
      <c r="BV360" s="1250"/>
      <c r="BW360" s="1250"/>
      <c r="BX360" s="1250"/>
      <c r="BY360" s="1250"/>
      <c r="BZ360" s="1250"/>
      <c r="CA360" s="1250"/>
      <c r="CB360" s="1250"/>
      <c r="CC360" s="1250"/>
      <c r="CD360" s="1250"/>
      <c r="CE360" s="1250"/>
      <c r="CF360" s="1250"/>
      <c r="CG360" s="1250"/>
      <c r="CH360" s="1250"/>
      <c r="CI360" s="1250"/>
      <c r="CJ360" s="1250"/>
      <c r="CK360" s="1250"/>
      <c r="CL360" s="1250"/>
      <c r="CM360" s="1250"/>
      <c r="CN360" s="1250"/>
      <c r="CO360" s="1250"/>
      <c r="CP360" s="1250"/>
      <c r="CQ360" s="1250"/>
      <c r="CR360" s="1250"/>
      <c r="CS360" s="1250"/>
      <c r="CT360" s="1250"/>
      <c r="CU360" s="1250"/>
      <c r="CV360" s="1250"/>
      <c r="CW360" s="1250"/>
      <c r="CX360" s="1250"/>
      <c r="CY360" s="1250"/>
      <c r="CZ360" s="1250"/>
      <c r="DA360" s="1250"/>
      <c r="DB360" s="1250"/>
      <c r="DC360" s="1250"/>
      <c r="DD360" s="1250"/>
      <c r="DE360" s="1250"/>
      <c r="DF360" s="1250"/>
      <c r="DG360" s="1250"/>
      <c r="DH360" s="1250"/>
      <c r="DI360" s="1250"/>
      <c r="DJ360" s="1250"/>
      <c r="DK360" s="1250"/>
      <c r="DL360" s="1250"/>
      <c r="DM360" s="1250"/>
      <c r="DN360" s="1250"/>
      <c r="DO360" s="1250"/>
      <c r="DP360" s="1250"/>
      <c r="DQ360" s="1250"/>
      <c r="DR360" s="1250"/>
      <c r="DS360" s="1250"/>
      <c r="DT360" s="1250"/>
      <c r="DU360" s="1250"/>
      <c r="DV360" s="1250"/>
      <c r="DW360" s="1250"/>
      <c r="DX360" s="1250"/>
      <c r="DY360" s="1250"/>
      <c r="DZ360" s="1250"/>
      <c r="EA360" s="1250"/>
      <c r="EB360" s="1250"/>
      <c r="EC360" s="1250"/>
      <c r="ED360" s="1250"/>
      <c r="EE360" s="1250"/>
      <c r="EF360" s="1250"/>
      <c r="EG360" s="1250"/>
      <c r="EH360" s="1250"/>
      <c r="EI360" s="1250"/>
      <c r="EJ360" s="1250"/>
      <c r="EK360" s="1250"/>
      <c r="EL360" s="1250"/>
      <c r="EM360" s="1250"/>
      <c r="EN360" s="1250"/>
      <c r="EO360" s="1250"/>
      <c r="EP360" s="1250"/>
      <c r="EQ360" s="1250"/>
      <c r="ER360" s="1250"/>
      <c r="ES360" s="1250"/>
      <c r="ET360" s="1250"/>
      <c r="EU360" s="1250"/>
      <c r="EV360" s="1250"/>
      <c r="EW360" s="1250"/>
      <c r="EX360" s="1250"/>
      <c r="EY360" s="1250"/>
      <c r="EZ360" s="1250"/>
      <c r="FA360" s="1250"/>
      <c r="FB360" s="1250"/>
      <c r="FC360" s="1250"/>
      <c r="FD360" s="1250"/>
      <c r="FE360" s="1250"/>
      <c r="FF360" s="1250"/>
      <c r="FG360" s="1250"/>
      <c r="FH360" s="1250"/>
      <c r="FI360" s="1250"/>
      <c r="FJ360" s="1250"/>
      <c r="FK360" s="1250"/>
      <c r="FL360" s="1250"/>
      <c r="FM360" s="1250"/>
      <c r="FN360" s="1250"/>
      <c r="FO360" s="1250"/>
      <c r="FP360" s="1250"/>
      <c r="FQ360" s="1250"/>
      <c r="FR360" s="1250"/>
      <c r="FS360" s="1250"/>
      <c r="FT360" s="1250"/>
      <c r="FU360" s="1250"/>
      <c r="FV360" s="1568"/>
      <c r="FW360" s="1550"/>
      <c r="FX360" s="1550" t="str">
        <f t="shared" si="5"/>
        <v>Добавить централизованную систему для дифференциации</v>
      </c>
      <c r="FY360" s="1550"/>
      <c r="FZ360" s="1550"/>
      <c r="GA360" s="1568">
        <v>0</v>
      </c>
    </row>
    <row r="361" spans="1:183" s="1747" customFormat="1" ht="23.25" customHeight="1">
      <c r="A361" s="1289"/>
      <c r="B361" s="1289" t="s">
        <v>443</v>
      </c>
      <c r="C361" s="1289"/>
      <c r="D361" s="1289"/>
      <c r="E361" s="24089"/>
      <c r="F361" s="24088" t="s">
        <v>105</v>
      </c>
      <c r="G361" s="1289"/>
      <c r="H361" s="1289"/>
      <c r="I361" s="1289"/>
      <c r="J361" s="1289"/>
      <c r="K361" s="1289"/>
      <c r="L361" s="1295"/>
      <c r="M361" s="1291"/>
      <c r="N361" s="1291"/>
      <c r="O361" s="1291"/>
      <c r="P361" s="1971"/>
      <c r="Q361" s="288"/>
      <c r="R361" s="289"/>
      <c r="S361" s="1976" t="str">
        <f>INDEX(PT_DIFFERENTIATION_NUM_TER,MATCH(B361,PT_DIFFERENTIATION_TER_ID,0))</f>
        <v>1.16</v>
      </c>
      <c r="T361" s="1448" t="s">
        <v>626</v>
      </c>
      <c r="U361" s="236"/>
      <c r="V361" s="24082"/>
      <c r="W361" s="24083"/>
      <c r="X361" s="24083"/>
      <c r="Y361" s="24083"/>
      <c r="Z361" s="24083"/>
      <c r="AA361" s="24083"/>
      <c r="AB361" s="24083"/>
      <c r="AC361" s="24083"/>
      <c r="AD361" s="24083"/>
      <c r="AE361" s="24083"/>
      <c r="AF361" s="24084"/>
      <c r="AG361" s="24082" t="str">
        <f>INDEX(PT_DIFFERENTIATION_TER,MATCH(B361,PT_DIFFERENTIATION_TER_ID,0))</f>
        <v>Территория 16</v>
      </c>
      <c r="AH361" s="24083"/>
      <c r="AI361" s="24083"/>
      <c r="AJ361" s="24083"/>
      <c r="AK361" s="24083"/>
      <c r="AL361" s="24083"/>
      <c r="AM361" s="24083"/>
      <c r="AN361" s="24083"/>
      <c r="AO361" s="24083"/>
      <c r="AP361" s="24083"/>
      <c r="AQ361" s="24083"/>
      <c r="AR361" s="24173"/>
      <c r="AS361" s="24174"/>
      <c r="AT361" s="24174"/>
      <c r="AU361" s="24174"/>
      <c r="AV361" s="24174"/>
      <c r="AW361" s="24174"/>
      <c r="AX361" s="24174"/>
      <c r="AY361" s="24174"/>
      <c r="AZ361" s="24174"/>
      <c r="BA361" s="24174"/>
      <c r="BB361" s="24175"/>
      <c r="BC361" s="24173"/>
      <c r="BD361" s="24174"/>
      <c r="BE361" s="24174"/>
      <c r="BF361" s="24174"/>
      <c r="BG361" s="24174"/>
      <c r="BH361" s="24174"/>
      <c r="BI361" s="24174"/>
      <c r="BJ361" s="24174"/>
      <c r="BK361" s="24174"/>
      <c r="BL361" s="24174"/>
      <c r="BM361" s="24175"/>
      <c r="BN361" s="24082"/>
      <c r="BO361" s="24083"/>
      <c r="BP361" s="24174"/>
      <c r="BQ361" s="24174"/>
      <c r="BR361" s="24083"/>
      <c r="BS361" s="24174"/>
      <c r="BT361" s="24174"/>
      <c r="BU361" s="24174"/>
      <c r="BV361" s="24174"/>
      <c r="BW361" s="24174"/>
      <c r="BX361" s="24175"/>
      <c r="BY361" s="24173"/>
      <c r="BZ361" s="24174"/>
      <c r="CA361" s="24174"/>
      <c r="CB361" s="24174"/>
      <c r="CC361" s="24174"/>
      <c r="CD361" s="24174"/>
      <c r="CE361" s="24174"/>
      <c r="CF361" s="24174"/>
      <c r="CG361" s="24174"/>
      <c r="CH361" s="24174"/>
      <c r="CI361" s="24175"/>
      <c r="CJ361" s="24173"/>
      <c r="CK361" s="24174"/>
      <c r="CL361" s="24174"/>
      <c r="CM361" s="24174"/>
      <c r="CN361" s="24174"/>
      <c r="CO361" s="24174"/>
      <c r="CP361" s="24174"/>
      <c r="CQ361" s="24174"/>
      <c r="CR361" s="24174"/>
      <c r="CS361" s="24174"/>
      <c r="CT361" s="24175"/>
      <c r="CU361" s="24173"/>
      <c r="CV361" s="24174"/>
      <c r="CW361" s="24174"/>
      <c r="CX361" s="24174"/>
      <c r="CY361" s="24174"/>
      <c r="CZ361" s="24174"/>
      <c r="DA361" s="24174"/>
      <c r="DB361" s="24174"/>
      <c r="DC361" s="24174"/>
      <c r="DD361" s="24174"/>
      <c r="DE361" s="24175"/>
      <c r="DF361" s="24173"/>
      <c r="DG361" s="24174"/>
      <c r="DH361" s="24174"/>
      <c r="DI361" s="24174"/>
      <c r="DJ361" s="24174"/>
      <c r="DK361" s="24174"/>
      <c r="DL361" s="24174"/>
      <c r="DM361" s="24174"/>
      <c r="DN361" s="24174"/>
      <c r="DO361" s="24174"/>
      <c r="DP361" s="24175"/>
      <c r="DQ361" s="24173"/>
      <c r="DR361" s="24174"/>
      <c r="DS361" s="24174"/>
      <c r="DT361" s="24174"/>
      <c r="DU361" s="24174"/>
      <c r="DV361" s="24174"/>
      <c r="DW361" s="24174"/>
      <c r="DX361" s="24174"/>
      <c r="DY361" s="24174"/>
      <c r="DZ361" s="24174"/>
      <c r="EA361" s="24175"/>
      <c r="EB361" s="24173"/>
      <c r="EC361" s="24174"/>
      <c r="ED361" s="24174"/>
      <c r="EE361" s="24174"/>
      <c r="EF361" s="24174"/>
      <c r="EG361" s="24174"/>
      <c r="EH361" s="24174"/>
      <c r="EI361" s="24174"/>
      <c r="EJ361" s="24174"/>
      <c r="EK361" s="24174"/>
      <c r="EL361" s="24175"/>
      <c r="EM361" s="24173"/>
      <c r="EN361" s="24174"/>
      <c r="EO361" s="24174"/>
      <c r="EP361" s="24174"/>
      <c r="EQ361" s="24174"/>
      <c r="ER361" s="24174"/>
      <c r="ES361" s="24174"/>
      <c r="ET361" s="24174"/>
      <c r="EU361" s="24174"/>
      <c r="EV361" s="24174"/>
      <c r="EW361" s="24175"/>
      <c r="EX361" s="24082"/>
      <c r="EY361" s="24083"/>
      <c r="EZ361" s="24174"/>
      <c r="FA361" s="24174"/>
      <c r="FB361" s="24083"/>
      <c r="FC361" s="24174"/>
      <c r="FD361" s="24174"/>
      <c r="FE361" s="24174"/>
      <c r="FF361" s="24174"/>
      <c r="FG361" s="24174"/>
      <c r="FH361" s="24175"/>
      <c r="FI361" s="24082"/>
      <c r="FJ361" s="24083"/>
      <c r="FK361" s="24174"/>
      <c r="FL361" s="24174"/>
      <c r="FM361" s="24083"/>
      <c r="FN361" s="24174"/>
      <c r="FO361" s="24174"/>
      <c r="FP361" s="24083"/>
      <c r="FQ361" s="24083"/>
      <c r="FR361" s="24083"/>
      <c r="FS361" s="24175"/>
      <c r="FT361" s="24084"/>
      <c r="FU361" s="1184" t="s">
        <v>627</v>
      </c>
      <c r="FV361" s="1568"/>
      <c r="FW361" s="1550"/>
      <c r="FX361" s="1550" t="str">
        <f t="shared" si="5"/>
        <v>Территория действия тарифа</v>
      </c>
      <c r="FY361" s="1550"/>
      <c r="FZ361" s="1550"/>
      <c r="GA361" s="1561">
        <v>0</v>
      </c>
    </row>
    <row r="362" spans="1:183" s="1747" customFormat="1" ht="23.25" customHeight="1">
      <c r="A362" s="1289"/>
      <c r="B362" s="1289"/>
      <c r="C362" s="1289" t="s">
        <v>444</v>
      </c>
      <c r="D362" s="1289"/>
      <c r="E362" s="24089"/>
      <c r="F362" s="24089" t="s">
        <v>160</v>
      </c>
      <c r="G362" s="24088">
        <v>1</v>
      </c>
      <c r="H362" s="1289"/>
      <c r="I362" s="1289"/>
      <c r="J362" s="1289"/>
      <c r="K362" s="1289"/>
      <c r="L362" s="1295"/>
      <c r="M362" s="1291"/>
      <c r="N362" s="1291"/>
      <c r="O362" s="1291"/>
      <c r="P362" s="290"/>
      <c r="Q362" s="288"/>
      <c r="R362" s="289"/>
      <c r="S362" s="1976" t="str">
        <f>INDEX(PT_DIFFERENTIATION_NUM_CS,MATCH(C362,PT_DIFFERENTIATION_CS_ID,0))</f>
        <v>1.16.1</v>
      </c>
      <c r="T362" s="245" t="s">
        <v>756</v>
      </c>
      <c r="U362" s="236"/>
      <c r="V362" s="24082"/>
      <c r="W362" s="24083"/>
      <c r="X362" s="24083"/>
      <c r="Y362" s="24083"/>
      <c r="Z362" s="24083"/>
      <c r="AA362" s="24083"/>
      <c r="AB362" s="24083"/>
      <c r="AC362" s="24083"/>
      <c r="AD362" s="24083"/>
      <c r="AE362" s="24083"/>
      <c r="AF362" s="24084"/>
      <c r="AG362" s="24082" t="str">
        <f>INDEX(PT_DIFFERENTIATION_CS,MATCH(C362,PT_DIFFERENTIATION_CS_ID,0))</f>
        <v>г. Ярцево Ярцевского муниципального  округа Смоленской области</v>
      </c>
      <c r="AH362" s="24083"/>
      <c r="AI362" s="24083"/>
      <c r="AJ362" s="24083"/>
      <c r="AK362" s="24083"/>
      <c r="AL362" s="24083"/>
      <c r="AM362" s="24083"/>
      <c r="AN362" s="24083"/>
      <c r="AO362" s="24083"/>
      <c r="AP362" s="24083"/>
      <c r="AQ362" s="24083"/>
      <c r="AR362" s="24173"/>
      <c r="AS362" s="24174"/>
      <c r="AT362" s="24174"/>
      <c r="AU362" s="24174"/>
      <c r="AV362" s="24174"/>
      <c r="AW362" s="24174"/>
      <c r="AX362" s="24174"/>
      <c r="AY362" s="24174"/>
      <c r="AZ362" s="24174"/>
      <c r="BA362" s="24174"/>
      <c r="BB362" s="24175"/>
      <c r="BC362" s="24173"/>
      <c r="BD362" s="24174"/>
      <c r="BE362" s="24174"/>
      <c r="BF362" s="24174"/>
      <c r="BG362" s="24174"/>
      <c r="BH362" s="24174"/>
      <c r="BI362" s="24174"/>
      <c r="BJ362" s="24174"/>
      <c r="BK362" s="24174"/>
      <c r="BL362" s="24174"/>
      <c r="BM362" s="24175"/>
      <c r="BN362" s="24082"/>
      <c r="BO362" s="24083"/>
      <c r="BP362" s="24174"/>
      <c r="BQ362" s="24174"/>
      <c r="BR362" s="24083"/>
      <c r="BS362" s="24174"/>
      <c r="BT362" s="24174"/>
      <c r="BU362" s="24174"/>
      <c r="BV362" s="24174"/>
      <c r="BW362" s="24174"/>
      <c r="BX362" s="24175"/>
      <c r="BY362" s="24173"/>
      <c r="BZ362" s="24174"/>
      <c r="CA362" s="24174"/>
      <c r="CB362" s="24174"/>
      <c r="CC362" s="24174"/>
      <c r="CD362" s="24174"/>
      <c r="CE362" s="24174"/>
      <c r="CF362" s="24174"/>
      <c r="CG362" s="24174"/>
      <c r="CH362" s="24174"/>
      <c r="CI362" s="24175"/>
      <c r="CJ362" s="24173"/>
      <c r="CK362" s="24174"/>
      <c r="CL362" s="24174"/>
      <c r="CM362" s="24174"/>
      <c r="CN362" s="24174"/>
      <c r="CO362" s="24174"/>
      <c r="CP362" s="24174"/>
      <c r="CQ362" s="24174"/>
      <c r="CR362" s="24174"/>
      <c r="CS362" s="24174"/>
      <c r="CT362" s="24175"/>
      <c r="CU362" s="24173"/>
      <c r="CV362" s="24174"/>
      <c r="CW362" s="24174"/>
      <c r="CX362" s="24174"/>
      <c r="CY362" s="24174"/>
      <c r="CZ362" s="24174"/>
      <c r="DA362" s="24174"/>
      <c r="DB362" s="24174"/>
      <c r="DC362" s="24174"/>
      <c r="DD362" s="24174"/>
      <c r="DE362" s="24175"/>
      <c r="DF362" s="24173"/>
      <c r="DG362" s="24174"/>
      <c r="DH362" s="24174"/>
      <c r="DI362" s="24174"/>
      <c r="DJ362" s="24174"/>
      <c r="DK362" s="24174"/>
      <c r="DL362" s="24174"/>
      <c r="DM362" s="24174"/>
      <c r="DN362" s="24174"/>
      <c r="DO362" s="24174"/>
      <c r="DP362" s="24175"/>
      <c r="DQ362" s="24173"/>
      <c r="DR362" s="24174"/>
      <c r="DS362" s="24174"/>
      <c r="DT362" s="24174"/>
      <c r="DU362" s="24174"/>
      <c r="DV362" s="24174"/>
      <c r="DW362" s="24174"/>
      <c r="DX362" s="24174"/>
      <c r="DY362" s="24174"/>
      <c r="DZ362" s="24174"/>
      <c r="EA362" s="24175"/>
      <c r="EB362" s="24173"/>
      <c r="EC362" s="24174"/>
      <c r="ED362" s="24174"/>
      <c r="EE362" s="24174"/>
      <c r="EF362" s="24174"/>
      <c r="EG362" s="24174"/>
      <c r="EH362" s="24174"/>
      <c r="EI362" s="24174"/>
      <c r="EJ362" s="24174"/>
      <c r="EK362" s="24174"/>
      <c r="EL362" s="24175"/>
      <c r="EM362" s="24173"/>
      <c r="EN362" s="24174"/>
      <c r="EO362" s="24174"/>
      <c r="EP362" s="24174"/>
      <c r="EQ362" s="24174"/>
      <c r="ER362" s="24174"/>
      <c r="ES362" s="24174"/>
      <c r="ET362" s="24174"/>
      <c r="EU362" s="24174"/>
      <c r="EV362" s="24174"/>
      <c r="EW362" s="24175"/>
      <c r="EX362" s="24082"/>
      <c r="EY362" s="24083"/>
      <c r="EZ362" s="24174"/>
      <c r="FA362" s="24174"/>
      <c r="FB362" s="24083"/>
      <c r="FC362" s="24174"/>
      <c r="FD362" s="24174"/>
      <c r="FE362" s="24174"/>
      <c r="FF362" s="24174"/>
      <c r="FG362" s="24174"/>
      <c r="FH362" s="24175"/>
      <c r="FI362" s="24082"/>
      <c r="FJ362" s="24083"/>
      <c r="FK362" s="24174"/>
      <c r="FL362" s="24174"/>
      <c r="FM362" s="24083"/>
      <c r="FN362" s="24174"/>
      <c r="FO362" s="24174"/>
      <c r="FP362" s="24083"/>
      <c r="FQ362" s="24083"/>
      <c r="FR362" s="24083"/>
      <c r="FS362" s="24175"/>
      <c r="FT362" s="24084"/>
      <c r="FU362" s="1184" t="s">
        <v>757</v>
      </c>
      <c r="FV362" s="1568"/>
      <c r="FW362" s="1550"/>
      <c r="FX362" s="1550" t="str">
        <f t="shared" ref="FX362:FX425" si="6">IF(T362="","",T362)</f>
        <v>Наименование централизованной системы горячего водоснабжения</v>
      </c>
      <c r="FY362" s="1550"/>
      <c r="FZ362" s="1550"/>
      <c r="GA362" s="1561">
        <v>0</v>
      </c>
    </row>
    <row r="363" spans="1:183" s="1747" customFormat="1" ht="23.25" customHeight="1">
      <c r="A363" s="1289"/>
      <c r="B363" s="1289"/>
      <c r="C363" s="1289"/>
      <c r="D363" s="1289"/>
      <c r="E363" s="24089"/>
      <c r="F363" s="24089" t="s">
        <v>160</v>
      </c>
      <c r="G363" s="24089"/>
      <c r="H363" s="24089"/>
      <c r="I363" s="24090" t="str">
        <f>S362&amp;".1"</f>
        <v>1.16.1.1</v>
      </c>
      <c r="J363" s="1289"/>
      <c r="K363" s="1289"/>
      <c r="L363" s="1295"/>
      <c r="M363" s="1674"/>
      <c r="N363" s="1674"/>
      <c r="O363" s="1674"/>
      <c r="P363" s="24092">
        <v>1</v>
      </c>
      <c r="Q363" s="1978"/>
      <c r="R363" s="292"/>
      <c r="S363" s="1976" t="str">
        <f>$I363</f>
        <v>1.16.1.1</v>
      </c>
      <c r="T363" s="221" t="s">
        <v>709</v>
      </c>
      <c r="U363" s="236"/>
      <c r="V363" s="24156"/>
      <c r="W363" s="24157"/>
      <c r="X363" s="24157"/>
      <c r="Y363" s="24157"/>
      <c r="Z363" s="24157"/>
      <c r="AA363" s="24157"/>
      <c r="AB363" s="24157"/>
      <c r="AC363" s="24157"/>
      <c r="AD363" s="24157"/>
      <c r="AE363" s="24157"/>
      <c r="AF363" s="24158"/>
      <c r="AG363" s="24159"/>
      <c r="AH363" s="24160"/>
      <c r="AI363" s="24160"/>
      <c r="AJ363" s="24160"/>
      <c r="AK363" s="24160"/>
      <c r="AL363" s="24160"/>
      <c r="AM363" s="24160"/>
      <c r="AN363" s="24160"/>
      <c r="AO363" s="24160"/>
      <c r="AP363" s="24160"/>
      <c r="AQ363" s="24160"/>
      <c r="AR363" s="24176"/>
      <c r="AS363" s="24177"/>
      <c r="AT363" s="24177"/>
      <c r="AU363" s="24177"/>
      <c r="AV363" s="24177"/>
      <c r="AW363" s="24177"/>
      <c r="AX363" s="24177"/>
      <c r="AY363" s="24177"/>
      <c r="AZ363" s="24177"/>
      <c r="BA363" s="24177"/>
      <c r="BB363" s="24178"/>
      <c r="BC363" s="24176"/>
      <c r="BD363" s="24177"/>
      <c r="BE363" s="24177"/>
      <c r="BF363" s="24177"/>
      <c r="BG363" s="24177"/>
      <c r="BH363" s="24177"/>
      <c r="BI363" s="24177"/>
      <c r="BJ363" s="24177"/>
      <c r="BK363" s="24177"/>
      <c r="BL363" s="24177"/>
      <c r="BM363" s="24178"/>
      <c r="BN363" s="24156"/>
      <c r="BO363" s="24157"/>
      <c r="BP363" s="24177"/>
      <c r="BQ363" s="24177"/>
      <c r="BR363" s="24157"/>
      <c r="BS363" s="24177"/>
      <c r="BT363" s="24177"/>
      <c r="BU363" s="24177"/>
      <c r="BV363" s="24177"/>
      <c r="BW363" s="24177"/>
      <c r="BX363" s="24178"/>
      <c r="BY363" s="24176"/>
      <c r="BZ363" s="24177"/>
      <c r="CA363" s="24177"/>
      <c r="CB363" s="24177"/>
      <c r="CC363" s="24177"/>
      <c r="CD363" s="24177"/>
      <c r="CE363" s="24177"/>
      <c r="CF363" s="24177"/>
      <c r="CG363" s="24177"/>
      <c r="CH363" s="24177"/>
      <c r="CI363" s="24178"/>
      <c r="CJ363" s="24176"/>
      <c r="CK363" s="24177"/>
      <c r="CL363" s="24177"/>
      <c r="CM363" s="24177"/>
      <c r="CN363" s="24177"/>
      <c r="CO363" s="24177"/>
      <c r="CP363" s="24177"/>
      <c r="CQ363" s="24177"/>
      <c r="CR363" s="24177"/>
      <c r="CS363" s="24177"/>
      <c r="CT363" s="24178"/>
      <c r="CU363" s="24176"/>
      <c r="CV363" s="24177"/>
      <c r="CW363" s="24177"/>
      <c r="CX363" s="24177"/>
      <c r="CY363" s="24177"/>
      <c r="CZ363" s="24177"/>
      <c r="DA363" s="24177"/>
      <c r="DB363" s="24177"/>
      <c r="DC363" s="24177"/>
      <c r="DD363" s="24177"/>
      <c r="DE363" s="24178"/>
      <c r="DF363" s="24176"/>
      <c r="DG363" s="24177"/>
      <c r="DH363" s="24177"/>
      <c r="DI363" s="24177"/>
      <c r="DJ363" s="24177"/>
      <c r="DK363" s="24177"/>
      <c r="DL363" s="24177"/>
      <c r="DM363" s="24177"/>
      <c r="DN363" s="24177"/>
      <c r="DO363" s="24177"/>
      <c r="DP363" s="24178"/>
      <c r="DQ363" s="24176"/>
      <c r="DR363" s="24177"/>
      <c r="DS363" s="24177"/>
      <c r="DT363" s="24177"/>
      <c r="DU363" s="24177"/>
      <c r="DV363" s="24177"/>
      <c r="DW363" s="24177"/>
      <c r="DX363" s="24177"/>
      <c r="DY363" s="24177"/>
      <c r="DZ363" s="24177"/>
      <c r="EA363" s="24178"/>
      <c r="EB363" s="24176"/>
      <c r="EC363" s="24177"/>
      <c r="ED363" s="24177"/>
      <c r="EE363" s="24177"/>
      <c r="EF363" s="24177"/>
      <c r="EG363" s="24177"/>
      <c r="EH363" s="24177"/>
      <c r="EI363" s="24177"/>
      <c r="EJ363" s="24177"/>
      <c r="EK363" s="24177"/>
      <c r="EL363" s="24178"/>
      <c r="EM363" s="24176"/>
      <c r="EN363" s="24177"/>
      <c r="EO363" s="24177"/>
      <c r="EP363" s="24177"/>
      <c r="EQ363" s="24177"/>
      <c r="ER363" s="24177"/>
      <c r="ES363" s="24177"/>
      <c r="ET363" s="24177"/>
      <c r="EU363" s="24177"/>
      <c r="EV363" s="24177"/>
      <c r="EW363" s="24178"/>
      <c r="EX363" s="24156"/>
      <c r="EY363" s="24157"/>
      <c r="EZ363" s="24177"/>
      <c r="FA363" s="24177"/>
      <c r="FB363" s="24157"/>
      <c r="FC363" s="24177"/>
      <c r="FD363" s="24177"/>
      <c r="FE363" s="24177"/>
      <c r="FF363" s="24177"/>
      <c r="FG363" s="24177"/>
      <c r="FH363" s="24178"/>
      <c r="FI363" s="24156"/>
      <c r="FJ363" s="24157"/>
      <c r="FK363" s="24177"/>
      <c r="FL363" s="24177"/>
      <c r="FM363" s="24157"/>
      <c r="FN363" s="24177"/>
      <c r="FO363" s="24177"/>
      <c r="FP363" s="24157"/>
      <c r="FQ363" s="24157"/>
      <c r="FR363" s="24157"/>
      <c r="FS363" s="24178"/>
      <c r="FT363" s="24161"/>
      <c r="FU363" s="1184" t="s">
        <v>710</v>
      </c>
      <c r="FV363" s="1568"/>
      <c r="FW363" s="1550"/>
      <c r="FX363" s="1550" t="str">
        <f t="shared" si="6"/>
        <v>Наименование признака дифференциации</v>
      </c>
      <c r="FY363" s="1550"/>
      <c r="FZ363" s="1550"/>
      <c r="GA363" s="1561">
        <v>0</v>
      </c>
    </row>
    <row r="364" spans="1:183" s="1747" customFormat="1" ht="23.25" customHeight="1">
      <c r="A364" s="1289"/>
      <c r="B364" s="1289"/>
      <c r="C364" s="1289"/>
      <c r="D364" s="1289"/>
      <c r="E364" s="24089"/>
      <c r="F364" s="24089" t="s">
        <v>160</v>
      </c>
      <c r="G364" s="24089"/>
      <c r="H364" s="24089"/>
      <c r="I364" s="24091"/>
      <c r="J364" s="24090" t="str">
        <f>I363&amp;".1"</f>
        <v>1.16.1.1.1</v>
      </c>
      <c r="K364" s="1289"/>
      <c r="L364" s="1295" t="s">
        <v>635</v>
      </c>
      <c r="M364" s="1674"/>
      <c r="N364" s="1674"/>
      <c r="O364" s="1674"/>
      <c r="P364" s="24092"/>
      <c r="Q364" s="24092">
        <v>1</v>
      </c>
      <c r="R364" s="293"/>
      <c r="S364" s="1976" t="str">
        <f>$J364</f>
        <v>1.16.1.1.1</v>
      </c>
      <c r="T364" s="222" t="s">
        <v>636</v>
      </c>
      <c r="U364" s="236"/>
      <c r="V364" s="24076"/>
      <c r="W364" s="24077"/>
      <c r="X364" s="24077"/>
      <c r="Y364" s="24077"/>
      <c r="Z364" s="24077"/>
      <c r="AA364" s="24077"/>
      <c r="AB364" s="24077"/>
      <c r="AC364" s="24077"/>
      <c r="AD364" s="24077"/>
      <c r="AE364" s="24077"/>
      <c r="AF364" s="24078"/>
      <c r="AG364" s="24076" t="s">
        <v>769</v>
      </c>
      <c r="AH364" s="24077"/>
      <c r="AI364" s="24077"/>
      <c r="AJ364" s="24077"/>
      <c r="AK364" s="24077"/>
      <c r="AL364" s="24077"/>
      <c r="AM364" s="24077"/>
      <c r="AN364" s="24077"/>
      <c r="AO364" s="24077"/>
      <c r="AP364" s="24077"/>
      <c r="AQ364" s="24077"/>
      <c r="AR364" s="24179"/>
      <c r="AS364" s="24180"/>
      <c r="AT364" s="24180"/>
      <c r="AU364" s="24180"/>
      <c r="AV364" s="24180"/>
      <c r="AW364" s="24180"/>
      <c r="AX364" s="24180"/>
      <c r="AY364" s="24180"/>
      <c r="AZ364" s="24180"/>
      <c r="BA364" s="24180"/>
      <c r="BB364" s="24181"/>
      <c r="BC364" s="24179"/>
      <c r="BD364" s="24180"/>
      <c r="BE364" s="24180"/>
      <c r="BF364" s="24180"/>
      <c r="BG364" s="24180"/>
      <c r="BH364" s="24180"/>
      <c r="BI364" s="24180"/>
      <c r="BJ364" s="24180"/>
      <c r="BK364" s="24180"/>
      <c r="BL364" s="24180"/>
      <c r="BM364" s="24181"/>
      <c r="BN364" s="24076"/>
      <c r="BO364" s="24077"/>
      <c r="BP364" s="24180"/>
      <c r="BQ364" s="24180"/>
      <c r="BR364" s="24077"/>
      <c r="BS364" s="24180"/>
      <c r="BT364" s="24180"/>
      <c r="BU364" s="24180"/>
      <c r="BV364" s="24180"/>
      <c r="BW364" s="24180"/>
      <c r="BX364" s="24181"/>
      <c r="BY364" s="24179"/>
      <c r="BZ364" s="24180"/>
      <c r="CA364" s="24180"/>
      <c r="CB364" s="24180"/>
      <c r="CC364" s="24180"/>
      <c r="CD364" s="24180"/>
      <c r="CE364" s="24180"/>
      <c r="CF364" s="24180"/>
      <c r="CG364" s="24180"/>
      <c r="CH364" s="24180"/>
      <c r="CI364" s="24181"/>
      <c r="CJ364" s="24179"/>
      <c r="CK364" s="24180"/>
      <c r="CL364" s="24180"/>
      <c r="CM364" s="24180"/>
      <c r="CN364" s="24180"/>
      <c r="CO364" s="24180"/>
      <c r="CP364" s="24180"/>
      <c r="CQ364" s="24180"/>
      <c r="CR364" s="24180"/>
      <c r="CS364" s="24180"/>
      <c r="CT364" s="24181"/>
      <c r="CU364" s="24179"/>
      <c r="CV364" s="24180"/>
      <c r="CW364" s="24180"/>
      <c r="CX364" s="24180"/>
      <c r="CY364" s="24180"/>
      <c r="CZ364" s="24180"/>
      <c r="DA364" s="24180"/>
      <c r="DB364" s="24180"/>
      <c r="DC364" s="24180"/>
      <c r="DD364" s="24180"/>
      <c r="DE364" s="24181"/>
      <c r="DF364" s="24179"/>
      <c r="DG364" s="24180"/>
      <c r="DH364" s="24180"/>
      <c r="DI364" s="24180"/>
      <c r="DJ364" s="24180"/>
      <c r="DK364" s="24180"/>
      <c r="DL364" s="24180"/>
      <c r="DM364" s="24180"/>
      <c r="DN364" s="24180"/>
      <c r="DO364" s="24180"/>
      <c r="DP364" s="24181"/>
      <c r="DQ364" s="24179"/>
      <c r="DR364" s="24180"/>
      <c r="DS364" s="24180"/>
      <c r="DT364" s="24180"/>
      <c r="DU364" s="24180"/>
      <c r="DV364" s="24180"/>
      <c r="DW364" s="24180"/>
      <c r="DX364" s="24180"/>
      <c r="DY364" s="24180"/>
      <c r="DZ364" s="24180"/>
      <c r="EA364" s="24181"/>
      <c r="EB364" s="24179"/>
      <c r="EC364" s="24180"/>
      <c r="ED364" s="24180"/>
      <c r="EE364" s="24180"/>
      <c r="EF364" s="24180"/>
      <c r="EG364" s="24180"/>
      <c r="EH364" s="24180"/>
      <c r="EI364" s="24180"/>
      <c r="EJ364" s="24180"/>
      <c r="EK364" s="24180"/>
      <c r="EL364" s="24181"/>
      <c r="EM364" s="24179"/>
      <c r="EN364" s="24180"/>
      <c r="EO364" s="24180"/>
      <c r="EP364" s="24180"/>
      <c r="EQ364" s="24180"/>
      <c r="ER364" s="24180"/>
      <c r="ES364" s="24180"/>
      <c r="ET364" s="24180"/>
      <c r="EU364" s="24180"/>
      <c r="EV364" s="24180"/>
      <c r="EW364" s="24181"/>
      <c r="EX364" s="24076"/>
      <c r="EY364" s="24077"/>
      <c r="EZ364" s="24180"/>
      <c r="FA364" s="24180"/>
      <c r="FB364" s="24077"/>
      <c r="FC364" s="24180"/>
      <c r="FD364" s="24180"/>
      <c r="FE364" s="24180"/>
      <c r="FF364" s="24180"/>
      <c r="FG364" s="24180"/>
      <c r="FH364" s="24181"/>
      <c r="FI364" s="24076"/>
      <c r="FJ364" s="24077"/>
      <c r="FK364" s="24180"/>
      <c r="FL364" s="24180"/>
      <c r="FM364" s="24077"/>
      <c r="FN364" s="24180"/>
      <c r="FO364" s="24180"/>
      <c r="FP364" s="24077"/>
      <c r="FQ364" s="24077"/>
      <c r="FR364" s="24077"/>
      <c r="FS364" s="24181"/>
      <c r="FT364" s="24078"/>
      <c r="FU364" s="1233" t="s">
        <v>711</v>
      </c>
      <c r="FV364" s="1568"/>
      <c r="FW364" s="1550"/>
      <c r="FX364" s="1550" t="str">
        <f t="shared" si="6"/>
        <v>Группа потребителей</v>
      </c>
      <c r="FY364" s="1550"/>
      <c r="FZ364" s="1550"/>
      <c r="GA364" s="1561">
        <v>0</v>
      </c>
    </row>
    <row r="365" spans="1:183" s="1747" customFormat="1" ht="23.25" customHeight="1">
      <c r="A365" s="1289"/>
      <c r="B365" s="1289"/>
      <c r="C365" s="1289"/>
      <c r="D365" s="1289"/>
      <c r="E365" s="24089"/>
      <c r="F365" s="24089" t="s">
        <v>160</v>
      </c>
      <c r="G365" s="24089"/>
      <c r="H365" s="24089"/>
      <c r="I365" s="24091"/>
      <c r="J365" s="24091"/>
      <c r="K365" s="24090" t="str">
        <f>J364&amp;".1"</f>
        <v>1.16.1.1.1.1</v>
      </c>
      <c r="L365" s="1295"/>
      <c r="M365" s="1674"/>
      <c r="N365" s="1674"/>
      <c r="O365" s="1674"/>
      <c r="P365" s="24092"/>
      <c r="Q365" s="24092"/>
      <c r="R365" s="293">
        <v>1</v>
      </c>
      <c r="S365" s="1976" t="str">
        <f>$K365</f>
        <v>1.16.1.1.1.1</v>
      </c>
      <c r="T365" s="1363"/>
      <c r="U365" s="236"/>
      <c r="V365" s="1286"/>
      <c r="W365" s="1286"/>
      <c r="X365" s="1286"/>
      <c r="Y365" s="1286"/>
      <c r="Z365" s="1286"/>
      <c r="AA365" s="1286"/>
      <c r="AB365" s="1286"/>
      <c r="AC365" s="24086"/>
      <c r="AD365" s="24085" t="s">
        <v>59</v>
      </c>
      <c r="AE365" s="24086"/>
      <c r="AF365" s="24085" t="s">
        <v>59</v>
      </c>
      <c r="AG365" s="687">
        <v>242.69</v>
      </c>
      <c r="AH365" s="687">
        <v>28.21</v>
      </c>
      <c r="AI365" s="687"/>
      <c r="AJ365" s="687"/>
      <c r="AK365" s="687">
        <v>3047.43</v>
      </c>
      <c r="AL365" s="687"/>
      <c r="AM365" s="687"/>
      <c r="AN365" s="24093" t="s">
        <v>9</v>
      </c>
      <c r="AO365" s="23957" t="s">
        <v>59</v>
      </c>
      <c r="AP365" s="24095" t="s">
        <v>770</v>
      </c>
      <c r="AQ365" s="23957" t="s">
        <v>59</v>
      </c>
      <c r="AR365" s="687">
        <v>270.61</v>
      </c>
      <c r="AS365" s="687">
        <v>31.04</v>
      </c>
      <c r="AT365" s="687"/>
      <c r="AU365" s="687"/>
      <c r="AV365" s="687">
        <v>3403.98</v>
      </c>
      <c r="AW365" s="687"/>
      <c r="AX365" s="687"/>
      <c r="AY365" s="24093" t="s">
        <v>772</v>
      </c>
      <c r="AZ365" s="23957" t="s">
        <v>59</v>
      </c>
      <c r="BA365" s="24093" t="s">
        <v>773</v>
      </c>
      <c r="BB365" s="23957" t="s">
        <v>59</v>
      </c>
      <c r="BC365" s="687">
        <v>270.61</v>
      </c>
      <c r="BD365" s="687">
        <v>31.04</v>
      </c>
      <c r="BE365" s="687"/>
      <c r="BF365" s="687"/>
      <c r="BG365" s="687">
        <v>3403.98</v>
      </c>
      <c r="BH365" s="687"/>
      <c r="BI365" s="687"/>
      <c r="BJ365" s="24093" t="s">
        <v>774</v>
      </c>
      <c r="BK365" s="23957" t="s">
        <v>59</v>
      </c>
      <c r="BL365" s="24093" t="s">
        <v>775</v>
      </c>
      <c r="BM365" s="23957" t="s">
        <v>59</v>
      </c>
      <c r="BN365" s="687">
        <v>304.72000000000003</v>
      </c>
      <c r="BO365" s="687">
        <v>36.64</v>
      </c>
      <c r="BP365" s="687"/>
      <c r="BQ365" s="687"/>
      <c r="BR365" s="687">
        <v>3809.05</v>
      </c>
      <c r="BS365" s="687"/>
      <c r="BT365" s="687"/>
      <c r="BU365" s="24093" t="s">
        <v>776</v>
      </c>
      <c r="BV365" s="23957" t="s">
        <v>59</v>
      </c>
      <c r="BW365" s="24093" t="s">
        <v>777</v>
      </c>
      <c r="BX365" s="23957" t="s">
        <v>59</v>
      </c>
      <c r="BY365" s="687">
        <v>304.72000000000003</v>
      </c>
      <c r="BZ365" s="687">
        <v>36.64</v>
      </c>
      <c r="CA365" s="687"/>
      <c r="CB365" s="687"/>
      <c r="CC365" s="687">
        <v>3809.05</v>
      </c>
      <c r="CD365" s="687"/>
      <c r="CE365" s="687"/>
      <c r="CF365" s="24093" t="s">
        <v>778</v>
      </c>
      <c r="CG365" s="23957" t="s">
        <v>59</v>
      </c>
      <c r="CH365" s="24185">
        <v>46295</v>
      </c>
      <c r="CI365" s="23957" t="s">
        <v>59</v>
      </c>
      <c r="CJ365" s="687">
        <v>338.09</v>
      </c>
      <c r="CK365" s="687">
        <v>41.04</v>
      </c>
      <c r="CL365" s="687"/>
      <c r="CM365" s="687"/>
      <c r="CN365" s="687">
        <v>4220.6099999999997</v>
      </c>
      <c r="CO365" s="687"/>
      <c r="CP365" s="687"/>
      <c r="CQ365" s="24185">
        <v>46296</v>
      </c>
      <c r="CR365" s="23957" t="s">
        <v>59</v>
      </c>
      <c r="CS365" s="24093" t="s">
        <v>779</v>
      </c>
      <c r="CT365" s="23957" t="s">
        <v>59</v>
      </c>
      <c r="CU365" s="687">
        <v>336.37</v>
      </c>
      <c r="CV365" s="687">
        <v>39.32</v>
      </c>
      <c r="CW365" s="687"/>
      <c r="CX365" s="687"/>
      <c r="CY365" s="687">
        <v>4220.6099999999997</v>
      </c>
      <c r="CZ365" s="687"/>
      <c r="DA365" s="687"/>
      <c r="DB365" s="24093" t="s">
        <v>780</v>
      </c>
      <c r="DC365" s="23957" t="s">
        <v>59</v>
      </c>
      <c r="DD365" s="24093" t="s">
        <v>781</v>
      </c>
      <c r="DE365" s="23957" t="s">
        <v>59</v>
      </c>
      <c r="DF365" s="687">
        <v>360.39</v>
      </c>
      <c r="DG365" s="687">
        <v>39.32</v>
      </c>
      <c r="DH365" s="687"/>
      <c r="DI365" s="687"/>
      <c r="DJ365" s="687">
        <v>4561.99</v>
      </c>
      <c r="DK365" s="687"/>
      <c r="DL365" s="687"/>
      <c r="DM365" s="24093" t="s">
        <v>782</v>
      </c>
      <c r="DN365" s="23957" t="s">
        <v>59</v>
      </c>
      <c r="DO365" s="24093" t="s">
        <v>783</v>
      </c>
      <c r="DP365" s="23957" t="s">
        <v>59</v>
      </c>
      <c r="DQ365" s="687">
        <v>321.07</v>
      </c>
      <c r="DR365" s="687">
        <v>0</v>
      </c>
      <c r="DS365" s="687"/>
      <c r="DT365" s="687"/>
      <c r="DU365" s="687">
        <v>4561.99</v>
      </c>
      <c r="DV365" s="687"/>
      <c r="DW365" s="687"/>
      <c r="DX365" s="24093" t="s">
        <v>784</v>
      </c>
      <c r="DY365" s="23957" t="s">
        <v>59</v>
      </c>
      <c r="DZ365" s="24093" t="s">
        <v>785</v>
      </c>
      <c r="EA365" s="23957" t="s">
        <v>59</v>
      </c>
      <c r="EB365" s="687">
        <v>343.87</v>
      </c>
      <c r="EC365" s="687">
        <v>0</v>
      </c>
      <c r="ED365" s="687"/>
      <c r="EE365" s="687"/>
      <c r="EF365" s="687">
        <v>4885.88</v>
      </c>
      <c r="EG365" s="687"/>
      <c r="EH365" s="687"/>
      <c r="EI365" s="24093" t="s">
        <v>786</v>
      </c>
      <c r="EJ365" s="23957" t="s">
        <v>59</v>
      </c>
      <c r="EK365" s="24093" t="s">
        <v>787</v>
      </c>
      <c r="EL365" s="23957" t="s">
        <v>6</v>
      </c>
      <c r="EM365" s="1286"/>
      <c r="EN365" s="1286"/>
      <c r="EO365" s="1286"/>
      <c r="EP365" s="1286"/>
      <c r="EQ365" s="1286"/>
      <c r="ER365" s="1286"/>
      <c r="ES365" s="1286"/>
      <c r="ET365" s="24086"/>
      <c r="EU365" s="24085" t="s">
        <v>59</v>
      </c>
      <c r="EV365" s="24086"/>
      <c r="EW365" s="24085" t="s">
        <v>59</v>
      </c>
      <c r="EX365" s="1286"/>
      <c r="EY365" s="1286"/>
      <c r="EZ365" s="1286"/>
      <c r="FA365" s="1286"/>
      <c r="FB365" s="1286"/>
      <c r="FC365" s="1286"/>
      <c r="FD365" s="1286"/>
      <c r="FE365" s="24086"/>
      <c r="FF365" s="24085" t="s">
        <v>59</v>
      </c>
      <c r="FG365" s="24086"/>
      <c r="FH365" s="24085" t="s">
        <v>59</v>
      </c>
      <c r="FI365" s="1286"/>
      <c r="FJ365" s="1286"/>
      <c r="FK365" s="1286"/>
      <c r="FL365" s="1286"/>
      <c r="FM365" s="1286"/>
      <c r="FN365" s="1286"/>
      <c r="FO365" s="1286"/>
      <c r="FP365" s="24086"/>
      <c r="FQ365" s="24085" t="s">
        <v>59</v>
      </c>
      <c r="FR365" s="24086"/>
      <c r="FS365" s="24085" t="s">
        <v>59</v>
      </c>
      <c r="FT365" s="1364"/>
      <c r="FU36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65" s="1568" t="e">
        <f ca="1">STRCHECKDATE(V366:FT366)</f>
        <v>#NAME?</v>
      </c>
      <c r="FW365" s="1550"/>
      <c r="FX365" s="1550" t="str">
        <f t="shared" si="6"/>
        <v/>
      </c>
      <c r="FY365" s="1550"/>
      <c r="FZ365" s="1550"/>
      <c r="GA365" s="1561">
        <v>0</v>
      </c>
    </row>
    <row r="366" spans="1:183" s="1747" customFormat="1" ht="14.25" customHeight="1">
      <c r="A366" s="1289"/>
      <c r="B366" s="1289"/>
      <c r="C366" s="1289"/>
      <c r="D366" s="1289"/>
      <c r="E366" s="24089"/>
      <c r="F366" s="24089" t="s">
        <v>160</v>
      </c>
      <c r="G366" s="24089"/>
      <c r="H366" s="24089"/>
      <c r="I366" s="24091"/>
      <c r="J366" s="24091"/>
      <c r="K366" s="24090"/>
      <c r="L366" s="1295"/>
      <c r="M366" s="1674"/>
      <c r="N366" s="1674"/>
      <c r="O366" s="1674"/>
      <c r="P366" s="24092"/>
      <c r="Q366" s="24092"/>
      <c r="R366" s="293"/>
      <c r="S366" s="1982"/>
      <c r="T366" s="236"/>
      <c r="U366" s="236"/>
      <c r="V366" s="1286"/>
      <c r="W366" s="1286"/>
      <c r="X366" s="1286"/>
      <c r="Y366" s="1286"/>
      <c r="Z366" s="1286"/>
      <c r="AA366" s="1286"/>
      <c r="AB366" s="1286"/>
      <c r="AC366" s="24085"/>
      <c r="AD366" s="24085"/>
      <c r="AE366" s="24085"/>
      <c r="AF366" s="24085"/>
      <c r="AG366" s="261"/>
      <c r="AH366" s="261"/>
      <c r="AI366" s="261"/>
      <c r="AJ366" s="261"/>
      <c r="AK366" s="261"/>
      <c r="AL366" s="261"/>
      <c r="AM366" s="261"/>
      <c r="AN366" s="24094"/>
      <c r="AO366" s="23957"/>
      <c r="AP366" s="24096"/>
      <c r="AQ366" s="23957"/>
      <c r="AR366" s="261"/>
      <c r="AS366" s="261"/>
      <c r="AT366" s="261"/>
      <c r="AU366" s="261"/>
      <c r="AV366" s="261"/>
      <c r="AW366" s="261"/>
      <c r="AX366" s="261"/>
      <c r="AY366" s="24094"/>
      <c r="AZ366" s="23957"/>
      <c r="BA366" s="24094"/>
      <c r="BB366" s="23957"/>
      <c r="BC366" s="261"/>
      <c r="BD366" s="261"/>
      <c r="BE366" s="261"/>
      <c r="BF366" s="261"/>
      <c r="BG366" s="261"/>
      <c r="BH366" s="261"/>
      <c r="BI366" s="261"/>
      <c r="BJ366" s="24094"/>
      <c r="BK366" s="23957"/>
      <c r="BL366" s="24094"/>
      <c r="BM366" s="23957"/>
      <c r="BN366" s="261"/>
      <c r="BO366" s="261"/>
      <c r="BP366" s="261"/>
      <c r="BQ366" s="261"/>
      <c r="BR366" s="261"/>
      <c r="BS366" s="261"/>
      <c r="BT366" s="261"/>
      <c r="BU366" s="24094"/>
      <c r="BV366" s="23957"/>
      <c r="BW366" s="24094"/>
      <c r="BX366" s="23957"/>
      <c r="BY366" s="261"/>
      <c r="BZ366" s="261"/>
      <c r="CA366" s="261"/>
      <c r="CB366" s="261"/>
      <c r="CC366" s="261"/>
      <c r="CD366" s="261"/>
      <c r="CE366" s="261"/>
      <c r="CF366" s="24094"/>
      <c r="CG366" s="23957"/>
      <c r="CH366" s="24094"/>
      <c r="CI366" s="23957"/>
      <c r="CJ366" s="261"/>
      <c r="CK366" s="261"/>
      <c r="CL366" s="261"/>
      <c r="CM366" s="261"/>
      <c r="CN366" s="261"/>
      <c r="CO366" s="261"/>
      <c r="CP366" s="261"/>
      <c r="CQ366" s="24094"/>
      <c r="CR366" s="23957"/>
      <c r="CS366" s="24094"/>
      <c r="CT366" s="23957"/>
      <c r="CU366" s="261"/>
      <c r="CV366" s="261"/>
      <c r="CW366" s="261"/>
      <c r="CX366" s="261"/>
      <c r="CY366" s="261"/>
      <c r="CZ366" s="261"/>
      <c r="DA366" s="261"/>
      <c r="DB366" s="24094"/>
      <c r="DC366" s="23957"/>
      <c r="DD366" s="24094"/>
      <c r="DE366" s="23957"/>
      <c r="DF366" s="261"/>
      <c r="DG366" s="261"/>
      <c r="DH366" s="261"/>
      <c r="DI366" s="261"/>
      <c r="DJ366" s="261"/>
      <c r="DK366" s="261"/>
      <c r="DL366" s="261"/>
      <c r="DM366" s="24094"/>
      <c r="DN366" s="23957"/>
      <c r="DO366" s="24094"/>
      <c r="DP366" s="23957"/>
      <c r="DQ366" s="261"/>
      <c r="DR366" s="261"/>
      <c r="DS366" s="261"/>
      <c r="DT366" s="261"/>
      <c r="DU366" s="261"/>
      <c r="DV366" s="261"/>
      <c r="DW366" s="261"/>
      <c r="DX366" s="24094"/>
      <c r="DY366" s="23957"/>
      <c r="DZ366" s="24094"/>
      <c r="EA366" s="23957"/>
      <c r="EB366" s="261"/>
      <c r="EC366" s="261"/>
      <c r="ED366" s="261"/>
      <c r="EE366" s="261"/>
      <c r="EF366" s="261"/>
      <c r="EG366" s="261"/>
      <c r="EH366" s="261"/>
      <c r="EI366" s="24094"/>
      <c r="EJ366" s="23957"/>
      <c r="EK366" s="24094"/>
      <c r="EL366" s="23957"/>
      <c r="EM366" s="1286"/>
      <c r="EN366" s="1286"/>
      <c r="EO366" s="1286"/>
      <c r="EP366" s="1286"/>
      <c r="EQ366" s="1286"/>
      <c r="ER366" s="1286"/>
      <c r="ES366" s="1286"/>
      <c r="ET366" s="24085"/>
      <c r="EU366" s="24085"/>
      <c r="EV366" s="24085"/>
      <c r="EW366" s="24085"/>
      <c r="EX366" s="1286"/>
      <c r="EY366" s="1286"/>
      <c r="EZ366" s="1286"/>
      <c r="FA366" s="1286"/>
      <c r="FB366" s="1286"/>
      <c r="FC366" s="1286"/>
      <c r="FD366" s="1286"/>
      <c r="FE366" s="24085"/>
      <c r="FF366" s="24085"/>
      <c r="FG366" s="24085"/>
      <c r="FH366" s="24085"/>
      <c r="FI366" s="1286"/>
      <c r="FJ366" s="1286"/>
      <c r="FK366" s="1286"/>
      <c r="FL366" s="1286"/>
      <c r="FM366" s="1286"/>
      <c r="FN366" s="1286"/>
      <c r="FO366" s="1286"/>
      <c r="FP366" s="24085"/>
      <c r="FQ366" s="24085"/>
      <c r="FR366" s="24085"/>
      <c r="FS366" s="24085"/>
      <c r="FT366" s="1365"/>
      <c r="FU366" s="24162"/>
      <c r="FV366" s="1568"/>
      <c r="FW366" s="1550"/>
      <c r="FX366" s="1550" t="str">
        <f t="shared" si="6"/>
        <v/>
      </c>
      <c r="FY366" s="1550"/>
      <c r="FZ366" s="1550"/>
      <c r="GA366" s="1561">
        <v>0</v>
      </c>
    </row>
    <row r="367" spans="1:183" s="1747" customFormat="1" ht="21" customHeight="1">
      <c r="A367" s="1289"/>
      <c r="B367" s="1289"/>
      <c r="C367" s="1289"/>
      <c r="D367" s="1289"/>
      <c r="E367" s="24089"/>
      <c r="F367" s="24089" t="s">
        <v>160</v>
      </c>
      <c r="G367" s="24089"/>
      <c r="H367" s="24089"/>
      <c r="I367" s="24091"/>
      <c r="J367" s="24090"/>
      <c r="K367" s="1289"/>
      <c r="L367" s="1295"/>
      <c r="M367" s="1674"/>
      <c r="N367" s="1674"/>
      <c r="O367" s="1674"/>
      <c r="P367" s="24092"/>
      <c r="Q367" s="24092"/>
      <c r="R367" s="292"/>
      <c r="S367" s="4999"/>
      <c r="T367" s="5000" t="s">
        <v>712</v>
      </c>
      <c r="U367" s="5001"/>
      <c r="V367" s="5002"/>
      <c r="W367" s="5003"/>
      <c r="X367" s="5004"/>
      <c r="Y367" s="5005"/>
      <c r="Z367" s="5006"/>
      <c r="AA367" s="5007"/>
      <c r="AB367" s="5008"/>
      <c r="AC367" s="5009"/>
      <c r="AD367" s="5010"/>
      <c r="AE367" s="5011"/>
      <c r="AF367" s="5012"/>
      <c r="AG367" s="5013"/>
      <c r="AH367" s="5014"/>
      <c r="AI367" s="5015"/>
      <c r="AJ367" s="5016"/>
      <c r="AK367" s="5017"/>
      <c r="AL367" s="5018"/>
      <c r="AM367" s="5019"/>
      <c r="AN367" s="5020"/>
      <c r="AO367" s="5021"/>
      <c r="AP367" s="5022"/>
      <c r="AQ367" s="5023"/>
      <c r="AR367" s="7750"/>
      <c r="AS367" s="7751"/>
      <c r="AT367" s="7752"/>
      <c r="AU367" s="7753"/>
      <c r="AV367" s="7754"/>
      <c r="AW367" s="7755"/>
      <c r="AX367" s="7756"/>
      <c r="AY367" s="7757"/>
      <c r="AZ367" s="7758"/>
      <c r="BA367" s="7759"/>
      <c r="BB367" s="7760"/>
      <c r="BC367" s="7761"/>
      <c r="BD367" s="7762"/>
      <c r="BE367" s="17918"/>
      <c r="BF367" s="17919"/>
      <c r="BG367" s="21918"/>
      <c r="BH367" s="17920"/>
      <c r="BI367" s="17921"/>
      <c r="BJ367" s="17922"/>
      <c r="BK367" s="17923"/>
      <c r="BL367" s="17924"/>
      <c r="BM367" s="17925"/>
      <c r="BN367" s="5024"/>
      <c r="BO367" s="5025"/>
      <c r="BP367" s="17926"/>
      <c r="BQ367" s="17927"/>
      <c r="BR367" s="5026"/>
      <c r="BS367" s="17928"/>
      <c r="BT367" s="17929"/>
      <c r="BU367" s="17930"/>
      <c r="BV367" s="17931"/>
      <c r="BW367" s="17932"/>
      <c r="BX367" s="17933"/>
      <c r="BY367" s="17934"/>
      <c r="BZ367" s="17935"/>
      <c r="CA367" s="17936"/>
      <c r="CB367" s="17937"/>
      <c r="CC367" s="17938"/>
      <c r="CD367" s="17939"/>
      <c r="CE367" s="17940"/>
      <c r="CF367" s="17941"/>
      <c r="CG367" s="17942"/>
      <c r="CH367" s="17943"/>
      <c r="CI367" s="17944"/>
      <c r="CJ367" s="17945"/>
      <c r="CK367" s="17946"/>
      <c r="CL367" s="17947"/>
      <c r="CM367" s="17948"/>
      <c r="CN367" s="17949"/>
      <c r="CO367" s="17950"/>
      <c r="CP367" s="17951"/>
      <c r="CQ367" s="17952"/>
      <c r="CR367" s="17953"/>
      <c r="CS367" s="17954"/>
      <c r="CT367" s="17955"/>
      <c r="CU367" s="17956"/>
      <c r="CV367" s="17957"/>
      <c r="CW367" s="17958"/>
      <c r="CX367" s="17959"/>
      <c r="CY367" s="17960"/>
      <c r="CZ367" s="17961"/>
      <c r="DA367" s="17962"/>
      <c r="DB367" s="17963"/>
      <c r="DC367" s="17964"/>
      <c r="DD367" s="17965"/>
      <c r="DE367" s="17966"/>
      <c r="DF367" s="17967"/>
      <c r="DG367" s="17968"/>
      <c r="DH367" s="17969"/>
      <c r="DI367" s="17970"/>
      <c r="DJ367" s="17971"/>
      <c r="DK367" s="17972"/>
      <c r="DL367" s="17973"/>
      <c r="DM367" s="17974"/>
      <c r="DN367" s="17975"/>
      <c r="DO367" s="17976"/>
      <c r="DP367" s="17977"/>
      <c r="DQ367" s="17978"/>
      <c r="DR367" s="17979"/>
      <c r="DS367" s="17980"/>
      <c r="DT367" s="17981"/>
      <c r="DU367" s="17982"/>
      <c r="DV367" s="17983"/>
      <c r="DW367" s="17984"/>
      <c r="DX367" s="17985"/>
      <c r="DY367" s="17986"/>
      <c r="DZ367" s="17987"/>
      <c r="EA367" s="17988"/>
      <c r="EB367" s="17989"/>
      <c r="EC367" s="17990"/>
      <c r="ED367" s="17991"/>
      <c r="EE367" s="17992"/>
      <c r="EF367" s="17993"/>
      <c r="EG367" s="17994"/>
      <c r="EH367" s="17995"/>
      <c r="EI367" s="17996"/>
      <c r="EJ367" s="17997"/>
      <c r="EK367" s="17998"/>
      <c r="EL367" s="17999"/>
      <c r="EM367" s="21710"/>
      <c r="EN367" s="21711"/>
      <c r="EO367" s="18000"/>
      <c r="EP367" s="18001"/>
      <c r="EQ367" s="21712"/>
      <c r="ER367" s="18002"/>
      <c r="ES367" s="18003"/>
      <c r="ET367" s="18004"/>
      <c r="EU367" s="18005"/>
      <c r="EV367" s="18006"/>
      <c r="EW367" s="18007"/>
      <c r="EX367" s="5027"/>
      <c r="EY367" s="5028"/>
      <c r="EZ367" s="18008"/>
      <c r="FA367" s="18009"/>
      <c r="FB367" s="5029"/>
      <c r="FC367" s="18010"/>
      <c r="FD367" s="18011"/>
      <c r="FE367" s="18012"/>
      <c r="FF367" s="18013"/>
      <c r="FG367" s="18014"/>
      <c r="FH367" s="5754"/>
      <c r="FI367" s="22998"/>
      <c r="FJ367" s="22999"/>
      <c r="FK367" s="23732"/>
      <c r="FL367" s="23733"/>
      <c r="FM367" s="23000"/>
      <c r="FN367" s="23734"/>
      <c r="FO367" s="23735"/>
      <c r="FP367" s="23001"/>
      <c r="FQ367" s="23002"/>
      <c r="FR367" s="23003"/>
      <c r="FS367" s="23736"/>
      <c r="FT367" s="5030"/>
      <c r="FU367" s="1184" t="s">
        <v>713</v>
      </c>
      <c r="FV367" s="1568"/>
      <c r="FW367" s="1550"/>
      <c r="FX367" s="1550" t="str">
        <f t="shared" si="6"/>
        <v>Добавить значение признака дифференциации</v>
      </c>
      <c r="FY367" s="1550"/>
      <c r="FZ367" s="1550"/>
      <c r="GA367" s="1561">
        <v>0</v>
      </c>
    </row>
    <row r="368" spans="1:183" s="1747" customFormat="1" ht="23.25" customHeight="1">
      <c r="A368" s="1289"/>
      <c r="B368" s="1289"/>
      <c r="C368" s="1289"/>
      <c r="D368" s="1289"/>
      <c r="E368" s="24089"/>
      <c r="F368" s="24089"/>
      <c r="G368" s="24089"/>
      <c r="H368" s="24089"/>
      <c r="I368" s="24091"/>
      <c r="J368" s="24090" t="str">
        <f>I363&amp;".2"</f>
        <v>1.16.1.1.2</v>
      </c>
      <c r="K368" s="1289"/>
      <c r="L368" s="1295" t="s">
        <v>635</v>
      </c>
      <c r="M368" s="1674"/>
      <c r="N368" s="1674"/>
      <c r="O368" s="1674"/>
      <c r="P368" s="24092"/>
      <c r="Q368" s="24206" t="s">
        <v>96</v>
      </c>
      <c r="R368" s="293"/>
      <c r="S368" s="1976" t="str">
        <f>$J368</f>
        <v>1.16.1.1.2</v>
      </c>
      <c r="T368" s="222" t="s">
        <v>636</v>
      </c>
      <c r="U368" s="236"/>
      <c r="V368" s="24076"/>
      <c r="W368" s="24077"/>
      <c r="X368" s="24077"/>
      <c r="Y368" s="24077"/>
      <c r="Z368" s="24077"/>
      <c r="AA368" s="24077"/>
      <c r="AB368" s="24077"/>
      <c r="AC368" s="24077"/>
      <c r="AD368" s="24077"/>
      <c r="AE368" s="24077"/>
      <c r="AF368" s="24078"/>
      <c r="AG368" s="24076" t="s">
        <v>771</v>
      </c>
      <c r="AH368" s="24077"/>
      <c r="AI368" s="24077"/>
      <c r="AJ368" s="24077"/>
      <c r="AK368" s="24077"/>
      <c r="AL368" s="24077"/>
      <c r="AM368" s="24077"/>
      <c r="AN368" s="24077"/>
      <c r="AO368" s="24077"/>
      <c r="AP368" s="24077"/>
      <c r="AQ368" s="24077"/>
      <c r="AR368" s="24179"/>
      <c r="AS368" s="24180"/>
      <c r="AT368" s="24180"/>
      <c r="AU368" s="24180"/>
      <c r="AV368" s="24180"/>
      <c r="AW368" s="24180"/>
      <c r="AX368" s="24180"/>
      <c r="AY368" s="24180"/>
      <c r="AZ368" s="24180"/>
      <c r="BA368" s="24180"/>
      <c r="BB368" s="24181"/>
      <c r="BC368" s="24179"/>
      <c r="BD368" s="24180"/>
      <c r="BE368" s="24180"/>
      <c r="BF368" s="24180"/>
      <c r="BG368" s="24180"/>
      <c r="BH368" s="24180"/>
      <c r="BI368" s="24180"/>
      <c r="BJ368" s="24180"/>
      <c r="BK368" s="24180"/>
      <c r="BL368" s="24180"/>
      <c r="BM368" s="24181"/>
      <c r="BN368" s="24076"/>
      <c r="BO368" s="24077"/>
      <c r="BP368" s="24180"/>
      <c r="BQ368" s="24180"/>
      <c r="BR368" s="24077"/>
      <c r="BS368" s="24180"/>
      <c r="BT368" s="24180"/>
      <c r="BU368" s="24180"/>
      <c r="BV368" s="24180"/>
      <c r="BW368" s="24180"/>
      <c r="BX368" s="24181"/>
      <c r="BY368" s="24179"/>
      <c r="BZ368" s="24180"/>
      <c r="CA368" s="24180"/>
      <c r="CB368" s="24180"/>
      <c r="CC368" s="24180"/>
      <c r="CD368" s="24180"/>
      <c r="CE368" s="24180"/>
      <c r="CF368" s="24180"/>
      <c r="CG368" s="24180"/>
      <c r="CH368" s="24180"/>
      <c r="CI368" s="24181"/>
      <c r="CJ368" s="24179"/>
      <c r="CK368" s="24180"/>
      <c r="CL368" s="24180"/>
      <c r="CM368" s="24180"/>
      <c r="CN368" s="24180"/>
      <c r="CO368" s="24180"/>
      <c r="CP368" s="24180"/>
      <c r="CQ368" s="24180"/>
      <c r="CR368" s="24180"/>
      <c r="CS368" s="24180"/>
      <c r="CT368" s="24181"/>
      <c r="CU368" s="24179"/>
      <c r="CV368" s="24180"/>
      <c r="CW368" s="24180"/>
      <c r="CX368" s="24180"/>
      <c r="CY368" s="24180"/>
      <c r="CZ368" s="24180"/>
      <c r="DA368" s="24180"/>
      <c r="DB368" s="24180"/>
      <c r="DC368" s="24180"/>
      <c r="DD368" s="24180"/>
      <c r="DE368" s="24181"/>
      <c r="DF368" s="24179"/>
      <c r="DG368" s="24180"/>
      <c r="DH368" s="24180"/>
      <c r="DI368" s="24180"/>
      <c r="DJ368" s="24180"/>
      <c r="DK368" s="24180"/>
      <c r="DL368" s="24180"/>
      <c r="DM368" s="24180"/>
      <c r="DN368" s="24180"/>
      <c r="DO368" s="24180"/>
      <c r="DP368" s="24181"/>
      <c r="DQ368" s="24179"/>
      <c r="DR368" s="24180"/>
      <c r="DS368" s="24180"/>
      <c r="DT368" s="24180"/>
      <c r="DU368" s="24180"/>
      <c r="DV368" s="24180"/>
      <c r="DW368" s="24180"/>
      <c r="DX368" s="24180"/>
      <c r="DY368" s="24180"/>
      <c r="DZ368" s="24180"/>
      <c r="EA368" s="24181"/>
      <c r="EB368" s="24179"/>
      <c r="EC368" s="24180"/>
      <c r="ED368" s="24180"/>
      <c r="EE368" s="24180"/>
      <c r="EF368" s="24180"/>
      <c r="EG368" s="24180"/>
      <c r="EH368" s="24180"/>
      <c r="EI368" s="24180"/>
      <c r="EJ368" s="24180"/>
      <c r="EK368" s="24180"/>
      <c r="EL368" s="24181"/>
      <c r="EM368" s="24179"/>
      <c r="EN368" s="24180"/>
      <c r="EO368" s="24180"/>
      <c r="EP368" s="24180"/>
      <c r="EQ368" s="24180"/>
      <c r="ER368" s="24180"/>
      <c r="ES368" s="24180"/>
      <c r="ET368" s="24180"/>
      <c r="EU368" s="24180"/>
      <c r="EV368" s="24180"/>
      <c r="EW368" s="24181"/>
      <c r="EX368" s="24076"/>
      <c r="EY368" s="24077"/>
      <c r="EZ368" s="24180"/>
      <c r="FA368" s="24180"/>
      <c r="FB368" s="24077"/>
      <c r="FC368" s="24180"/>
      <c r="FD368" s="24180"/>
      <c r="FE368" s="24180"/>
      <c r="FF368" s="24180"/>
      <c r="FG368" s="24180"/>
      <c r="FH368" s="24181"/>
      <c r="FI368" s="24076"/>
      <c r="FJ368" s="24077"/>
      <c r="FK368" s="24180"/>
      <c r="FL368" s="24180"/>
      <c r="FM368" s="24077"/>
      <c r="FN368" s="24180"/>
      <c r="FO368" s="24180"/>
      <c r="FP368" s="24077"/>
      <c r="FQ368" s="24077"/>
      <c r="FR368" s="24077"/>
      <c r="FS368" s="24181"/>
      <c r="FT368" s="24078"/>
      <c r="FU368" s="1233" t="s">
        <v>711</v>
      </c>
      <c r="FV368" s="1568"/>
      <c r="FW368" s="1550"/>
      <c r="FX368" s="1550" t="str">
        <f t="shared" si="6"/>
        <v>Группа потребителей</v>
      </c>
      <c r="FY368" s="1550"/>
      <c r="FZ368" s="1550"/>
      <c r="GA368" s="1561">
        <v>0</v>
      </c>
    </row>
    <row r="369" spans="1:183" s="1747" customFormat="1" ht="23.25" customHeight="1">
      <c r="A369" s="1289"/>
      <c r="B369" s="1289"/>
      <c r="C369" s="1289"/>
      <c r="D369" s="1289"/>
      <c r="E369" s="24089"/>
      <c r="F369" s="24089"/>
      <c r="G369" s="24089"/>
      <c r="H369" s="24089"/>
      <c r="I369" s="24091"/>
      <c r="J369" s="24091" t="str">
        <f>I363&amp;".1"</f>
        <v>1.16.1.1.1</v>
      </c>
      <c r="K369" s="24090" t="str">
        <f>J368&amp;".1"</f>
        <v>1.16.1.1.2.1</v>
      </c>
      <c r="L369" s="1295"/>
      <c r="M369" s="1674"/>
      <c r="N369" s="1674"/>
      <c r="O369" s="1674"/>
      <c r="P369" s="24092"/>
      <c r="Q369" s="24092"/>
      <c r="R369" s="293">
        <v>1</v>
      </c>
      <c r="S369" s="1976" t="str">
        <f>$K369</f>
        <v>1.16.1.1.2.1</v>
      </c>
      <c r="T369" s="1363"/>
      <c r="U369" s="236"/>
      <c r="V369" s="1286"/>
      <c r="W369" s="1286"/>
      <c r="X369" s="1286"/>
      <c r="Y369" s="1286"/>
      <c r="Z369" s="1286"/>
      <c r="AA369" s="1286"/>
      <c r="AB369" s="1286"/>
      <c r="AC369" s="24086"/>
      <c r="AD369" s="24085" t="s">
        <v>59</v>
      </c>
      <c r="AE369" s="24086"/>
      <c r="AF369" s="24085" t="s">
        <v>59</v>
      </c>
      <c r="AG369" s="687">
        <v>221.02</v>
      </c>
      <c r="AH369" s="687">
        <v>33.85</v>
      </c>
      <c r="AI369" s="687"/>
      <c r="AJ369" s="687"/>
      <c r="AK369" s="687">
        <v>2659.36</v>
      </c>
      <c r="AL369" s="687"/>
      <c r="AM369" s="687"/>
      <c r="AN369" s="24093" t="s">
        <v>9</v>
      </c>
      <c r="AO369" s="23957" t="s">
        <v>59</v>
      </c>
      <c r="AP369" s="24095" t="s">
        <v>770</v>
      </c>
      <c r="AQ369" s="23957" t="s">
        <v>59</v>
      </c>
      <c r="AR369" s="687">
        <v>243.13</v>
      </c>
      <c r="AS369" s="687">
        <v>37.25</v>
      </c>
      <c r="AT369" s="687"/>
      <c r="AU369" s="687"/>
      <c r="AV369" s="687">
        <v>2925.29</v>
      </c>
      <c r="AW369" s="687"/>
      <c r="AX369" s="687"/>
      <c r="AY369" s="24093" t="s">
        <v>772</v>
      </c>
      <c r="AZ369" s="23957" t="s">
        <v>59</v>
      </c>
      <c r="BA369" s="24093" t="s">
        <v>773</v>
      </c>
      <c r="BB369" s="23957" t="s">
        <v>59</v>
      </c>
      <c r="BC369" s="687">
        <v>243.13</v>
      </c>
      <c r="BD369" s="687">
        <v>37.25</v>
      </c>
      <c r="BE369" s="687"/>
      <c r="BF369" s="687"/>
      <c r="BG369" s="687">
        <v>2925.29</v>
      </c>
      <c r="BH369" s="687"/>
      <c r="BI369" s="687"/>
      <c r="BJ369" s="24093" t="s">
        <v>774</v>
      </c>
      <c r="BK369" s="23957" t="s">
        <v>59</v>
      </c>
      <c r="BL369" s="24093" t="s">
        <v>775</v>
      </c>
      <c r="BM369" s="23957" t="s">
        <v>59</v>
      </c>
      <c r="BN369" s="687">
        <v>267.55</v>
      </c>
      <c r="BO369" s="687">
        <v>43.97</v>
      </c>
      <c r="BP369" s="687"/>
      <c r="BQ369" s="687"/>
      <c r="BR369" s="687">
        <v>3176.87</v>
      </c>
      <c r="BS369" s="687"/>
      <c r="BT369" s="687"/>
      <c r="BU369" s="24093" t="s">
        <v>776</v>
      </c>
      <c r="BV369" s="23957" t="s">
        <v>59</v>
      </c>
      <c r="BW369" s="24093" t="s">
        <v>777</v>
      </c>
      <c r="BX369" s="23957" t="s">
        <v>59</v>
      </c>
      <c r="BY369" s="687">
        <v>272.10000000000002</v>
      </c>
      <c r="BZ369" s="687">
        <v>44.7</v>
      </c>
      <c r="CA369" s="687"/>
      <c r="CB369" s="687"/>
      <c r="CC369" s="687">
        <v>3230.93</v>
      </c>
      <c r="CD369" s="687"/>
      <c r="CE369" s="687"/>
      <c r="CF369" s="24093" t="s">
        <v>778</v>
      </c>
      <c r="CG369" s="23957" t="s">
        <v>59</v>
      </c>
      <c r="CH369" s="24185">
        <v>46295</v>
      </c>
      <c r="CI369" s="23957" t="s">
        <v>59</v>
      </c>
      <c r="CJ369" s="687">
        <v>304.74</v>
      </c>
      <c r="CK369" s="687">
        <v>50.07</v>
      </c>
      <c r="CL369" s="687"/>
      <c r="CM369" s="687"/>
      <c r="CN369" s="687">
        <v>3618.64</v>
      </c>
      <c r="CO369" s="687"/>
      <c r="CP369" s="687"/>
      <c r="CQ369" s="24185">
        <v>46296</v>
      </c>
      <c r="CR369" s="23957" t="s">
        <v>59</v>
      </c>
      <c r="CS369" s="24093" t="s">
        <v>779</v>
      </c>
      <c r="CT369" s="23957" t="s">
        <v>59</v>
      </c>
      <c r="CU369" s="687">
        <v>302.64999999999998</v>
      </c>
      <c r="CV369" s="687">
        <v>47.97</v>
      </c>
      <c r="CW369" s="687"/>
      <c r="CX369" s="687"/>
      <c r="CY369" s="687">
        <f>CN369</f>
        <v>3618.64</v>
      </c>
      <c r="CZ369" s="687"/>
      <c r="DA369" s="687"/>
      <c r="DB369" s="24093" t="s">
        <v>780</v>
      </c>
      <c r="DC369" s="23957" t="s">
        <v>59</v>
      </c>
      <c r="DD369" s="24093" t="s">
        <v>781</v>
      </c>
      <c r="DE369" s="23957" t="s">
        <v>59</v>
      </c>
      <c r="DF369" s="687">
        <v>324.81</v>
      </c>
      <c r="DG369" s="687">
        <f>CV369</f>
        <v>47.97</v>
      </c>
      <c r="DH369" s="687"/>
      <c r="DI369" s="687"/>
      <c r="DJ369" s="687">
        <v>3933.46</v>
      </c>
      <c r="DK369" s="687"/>
      <c r="DL369" s="687"/>
      <c r="DM369" s="24093" t="s">
        <v>782</v>
      </c>
      <c r="DN369" s="23957" t="s">
        <v>59</v>
      </c>
      <c r="DO369" s="24093" t="s">
        <v>783</v>
      </c>
      <c r="DP369" s="23957" t="s">
        <v>59</v>
      </c>
      <c r="DQ369" s="687">
        <v>276.83999999999997</v>
      </c>
      <c r="DR369" s="687">
        <v>0</v>
      </c>
      <c r="DS369" s="687"/>
      <c r="DT369" s="687"/>
      <c r="DU369" s="687">
        <v>3933.46</v>
      </c>
      <c r="DV369" s="687"/>
      <c r="DW369" s="687"/>
      <c r="DX369" s="24093" t="s">
        <v>784</v>
      </c>
      <c r="DY369" s="23957" t="s">
        <v>59</v>
      </c>
      <c r="DZ369" s="24093" t="s">
        <v>785</v>
      </c>
      <c r="EA369" s="23957" t="s">
        <v>59</v>
      </c>
      <c r="EB369" s="687">
        <v>296.5</v>
      </c>
      <c r="EC369" s="687">
        <v>0</v>
      </c>
      <c r="ED369" s="687"/>
      <c r="EE369" s="687"/>
      <c r="EF369" s="687">
        <v>4212.7299999999996</v>
      </c>
      <c r="EG369" s="687"/>
      <c r="EH369" s="687"/>
      <c r="EI369" s="24093" t="s">
        <v>786</v>
      </c>
      <c r="EJ369" s="23957" t="s">
        <v>59</v>
      </c>
      <c r="EK369" s="24093" t="s">
        <v>787</v>
      </c>
      <c r="EL369" s="23957" t="s">
        <v>6</v>
      </c>
      <c r="EM369" s="1286"/>
      <c r="EN369" s="1286"/>
      <c r="EO369" s="1286"/>
      <c r="EP369" s="1286"/>
      <c r="EQ369" s="1286"/>
      <c r="ER369" s="1286"/>
      <c r="ES369" s="1286"/>
      <c r="ET369" s="24086"/>
      <c r="EU369" s="24085" t="s">
        <v>59</v>
      </c>
      <c r="EV369" s="24086"/>
      <c r="EW369" s="24085" t="s">
        <v>59</v>
      </c>
      <c r="EX369" s="1286"/>
      <c r="EY369" s="1286"/>
      <c r="EZ369" s="1286"/>
      <c r="FA369" s="1286"/>
      <c r="FB369" s="1286"/>
      <c r="FC369" s="1286"/>
      <c r="FD369" s="1286"/>
      <c r="FE369" s="24086"/>
      <c r="FF369" s="24085" t="s">
        <v>59</v>
      </c>
      <c r="FG369" s="24086"/>
      <c r="FH369" s="24085" t="s">
        <v>59</v>
      </c>
      <c r="FI369" s="1286"/>
      <c r="FJ369" s="1286"/>
      <c r="FK369" s="1286"/>
      <c r="FL369" s="1286"/>
      <c r="FM369" s="1286"/>
      <c r="FN369" s="1286"/>
      <c r="FO369" s="1286"/>
      <c r="FP369" s="24086"/>
      <c r="FQ369" s="24085" t="s">
        <v>59</v>
      </c>
      <c r="FR369" s="24086"/>
      <c r="FS369" s="24085" t="s">
        <v>59</v>
      </c>
      <c r="FT369" s="1364"/>
      <c r="FU36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69" s="1568" t="e">
        <f ca="1">STRCHECKDATE(V370:FT370)</f>
        <v>#NAME?</v>
      </c>
      <c r="FW369" s="1550"/>
      <c r="FX369" s="1550" t="str">
        <f t="shared" si="6"/>
        <v/>
      </c>
      <c r="FY369" s="1550"/>
      <c r="FZ369" s="1550"/>
      <c r="GA369" s="1561">
        <v>0</v>
      </c>
    </row>
    <row r="370" spans="1:183" s="1747" customFormat="1" ht="14.25" customHeight="1">
      <c r="A370" s="1289"/>
      <c r="B370" s="1289"/>
      <c r="C370" s="1289"/>
      <c r="D370" s="1289"/>
      <c r="E370" s="24089"/>
      <c r="F370" s="24089"/>
      <c r="G370" s="24089"/>
      <c r="H370" s="24089"/>
      <c r="I370" s="24091"/>
      <c r="J370" s="24091" t="str">
        <f>I363&amp;".1"</f>
        <v>1.16.1.1.1</v>
      </c>
      <c r="K370" s="24090"/>
      <c r="L370" s="1295"/>
      <c r="M370" s="1674"/>
      <c r="N370" s="1674"/>
      <c r="O370" s="1674"/>
      <c r="P370" s="24092"/>
      <c r="Q370" s="24092"/>
      <c r="R370" s="293"/>
      <c r="S370" s="1982"/>
      <c r="T370" s="236"/>
      <c r="U370" s="236"/>
      <c r="V370" s="1286"/>
      <c r="W370" s="1286"/>
      <c r="X370" s="1286"/>
      <c r="Y370" s="1286"/>
      <c r="Z370" s="1286"/>
      <c r="AA370" s="1286"/>
      <c r="AB370" s="1286"/>
      <c r="AC370" s="24085"/>
      <c r="AD370" s="24085"/>
      <c r="AE370" s="24085"/>
      <c r="AF370" s="24085"/>
      <c r="AG370" s="261"/>
      <c r="AH370" s="261"/>
      <c r="AI370" s="261"/>
      <c r="AJ370" s="261"/>
      <c r="AK370" s="261"/>
      <c r="AL370" s="261"/>
      <c r="AM370" s="261"/>
      <c r="AN370" s="24094"/>
      <c r="AO370" s="23957"/>
      <c r="AP370" s="24096"/>
      <c r="AQ370" s="23957"/>
      <c r="AR370" s="261"/>
      <c r="AS370" s="261"/>
      <c r="AT370" s="261"/>
      <c r="AU370" s="261"/>
      <c r="AV370" s="261"/>
      <c r="AW370" s="261"/>
      <c r="AX370" s="261"/>
      <c r="AY370" s="24094"/>
      <c r="AZ370" s="23957"/>
      <c r="BA370" s="24094"/>
      <c r="BB370" s="23957"/>
      <c r="BC370" s="261"/>
      <c r="BD370" s="261"/>
      <c r="BE370" s="261"/>
      <c r="BF370" s="261"/>
      <c r="BG370" s="261"/>
      <c r="BH370" s="261"/>
      <c r="BI370" s="261"/>
      <c r="BJ370" s="24094"/>
      <c r="BK370" s="23957"/>
      <c r="BL370" s="24094"/>
      <c r="BM370" s="23957"/>
      <c r="BN370" s="261"/>
      <c r="BO370" s="261"/>
      <c r="BP370" s="261"/>
      <c r="BQ370" s="261"/>
      <c r="BR370" s="261"/>
      <c r="BS370" s="261"/>
      <c r="BT370" s="261"/>
      <c r="BU370" s="24094"/>
      <c r="BV370" s="23957"/>
      <c r="BW370" s="24094"/>
      <c r="BX370" s="23957"/>
      <c r="BY370" s="261"/>
      <c r="BZ370" s="261"/>
      <c r="CA370" s="261"/>
      <c r="CB370" s="261"/>
      <c r="CC370" s="261"/>
      <c r="CD370" s="261"/>
      <c r="CE370" s="261"/>
      <c r="CF370" s="24094"/>
      <c r="CG370" s="23957"/>
      <c r="CH370" s="24094"/>
      <c r="CI370" s="23957"/>
      <c r="CJ370" s="261"/>
      <c r="CK370" s="261"/>
      <c r="CL370" s="261"/>
      <c r="CM370" s="261"/>
      <c r="CN370" s="261"/>
      <c r="CO370" s="261"/>
      <c r="CP370" s="261"/>
      <c r="CQ370" s="24094"/>
      <c r="CR370" s="23957"/>
      <c r="CS370" s="24094"/>
      <c r="CT370" s="23957"/>
      <c r="CU370" s="261"/>
      <c r="CV370" s="261"/>
      <c r="CW370" s="261"/>
      <c r="CX370" s="261"/>
      <c r="CY370" s="261"/>
      <c r="CZ370" s="261"/>
      <c r="DA370" s="261"/>
      <c r="DB370" s="24094"/>
      <c r="DC370" s="23957"/>
      <c r="DD370" s="24094"/>
      <c r="DE370" s="23957"/>
      <c r="DF370" s="261"/>
      <c r="DG370" s="261"/>
      <c r="DH370" s="261"/>
      <c r="DI370" s="261"/>
      <c r="DJ370" s="261"/>
      <c r="DK370" s="261"/>
      <c r="DL370" s="261"/>
      <c r="DM370" s="24094"/>
      <c r="DN370" s="23957"/>
      <c r="DO370" s="24094"/>
      <c r="DP370" s="23957"/>
      <c r="DQ370" s="261"/>
      <c r="DR370" s="261"/>
      <c r="DS370" s="261"/>
      <c r="DT370" s="261"/>
      <c r="DU370" s="261"/>
      <c r="DV370" s="261"/>
      <c r="DW370" s="261"/>
      <c r="DX370" s="24094"/>
      <c r="DY370" s="23957"/>
      <c r="DZ370" s="24094"/>
      <c r="EA370" s="23957"/>
      <c r="EB370" s="261"/>
      <c r="EC370" s="261"/>
      <c r="ED370" s="261"/>
      <c r="EE370" s="261"/>
      <c r="EF370" s="261"/>
      <c r="EG370" s="261"/>
      <c r="EH370" s="261"/>
      <c r="EI370" s="24094"/>
      <c r="EJ370" s="23957"/>
      <c r="EK370" s="24094"/>
      <c r="EL370" s="23957"/>
      <c r="EM370" s="1286"/>
      <c r="EN370" s="1286"/>
      <c r="EO370" s="1286"/>
      <c r="EP370" s="1286"/>
      <c r="EQ370" s="1286"/>
      <c r="ER370" s="1286"/>
      <c r="ES370" s="1286"/>
      <c r="ET370" s="24085"/>
      <c r="EU370" s="24085"/>
      <c r="EV370" s="24085"/>
      <c r="EW370" s="24085"/>
      <c r="EX370" s="1286"/>
      <c r="EY370" s="1286"/>
      <c r="EZ370" s="1286"/>
      <c r="FA370" s="1286"/>
      <c r="FB370" s="1286"/>
      <c r="FC370" s="1286"/>
      <c r="FD370" s="1286"/>
      <c r="FE370" s="24085"/>
      <c r="FF370" s="24085"/>
      <c r="FG370" s="24085"/>
      <c r="FH370" s="24085"/>
      <c r="FI370" s="1286"/>
      <c r="FJ370" s="1286"/>
      <c r="FK370" s="1286"/>
      <c r="FL370" s="1286"/>
      <c r="FM370" s="1286"/>
      <c r="FN370" s="1286"/>
      <c r="FO370" s="1286"/>
      <c r="FP370" s="24085"/>
      <c r="FQ370" s="24085"/>
      <c r="FR370" s="24085"/>
      <c r="FS370" s="24085"/>
      <c r="FT370" s="1365"/>
      <c r="FU370" s="24162"/>
      <c r="FV370" s="1568"/>
      <c r="FW370" s="1550"/>
      <c r="FX370" s="1550" t="str">
        <f t="shared" si="6"/>
        <v/>
      </c>
      <c r="FY370" s="1550"/>
      <c r="FZ370" s="1550"/>
      <c r="GA370" s="1561">
        <v>0</v>
      </c>
    </row>
    <row r="371" spans="1:183" s="1747" customFormat="1" ht="21" customHeight="1">
      <c r="A371" s="1289"/>
      <c r="B371" s="1289"/>
      <c r="C371" s="1289"/>
      <c r="D371" s="1289"/>
      <c r="E371" s="24089"/>
      <c r="F371" s="24089"/>
      <c r="G371" s="24089"/>
      <c r="H371" s="24089"/>
      <c r="I371" s="24091"/>
      <c r="J371" s="24090" t="str">
        <f>I363&amp;".1"</f>
        <v>1.16.1.1.1</v>
      </c>
      <c r="K371" s="1289"/>
      <c r="L371" s="1295"/>
      <c r="M371" s="1674"/>
      <c r="N371" s="1674"/>
      <c r="O371" s="1674"/>
      <c r="P371" s="24092"/>
      <c r="Q371" s="24092"/>
      <c r="R371" s="292"/>
      <c r="S371" s="5031"/>
      <c r="T371" s="5032" t="s">
        <v>712</v>
      </c>
      <c r="U371" s="5033"/>
      <c r="V371" s="5034"/>
      <c r="W371" s="5035"/>
      <c r="X371" s="5036"/>
      <c r="Y371" s="5037"/>
      <c r="Z371" s="5038"/>
      <c r="AA371" s="5039"/>
      <c r="AB371" s="5040"/>
      <c r="AC371" s="5041"/>
      <c r="AD371" s="5042"/>
      <c r="AE371" s="5043"/>
      <c r="AF371" s="5044"/>
      <c r="AG371" s="5045"/>
      <c r="AH371" s="5046"/>
      <c r="AI371" s="5047"/>
      <c r="AJ371" s="5048"/>
      <c r="AK371" s="5049"/>
      <c r="AL371" s="5050"/>
      <c r="AM371" s="5051"/>
      <c r="AN371" s="5052"/>
      <c r="AO371" s="5053"/>
      <c r="AP371" s="5054"/>
      <c r="AQ371" s="5055"/>
      <c r="AR371" s="7763"/>
      <c r="AS371" s="7764"/>
      <c r="AT371" s="7765"/>
      <c r="AU371" s="7766"/>
      <c r="AV371" s="7767"/>
      <c r="AW371" s="7768"/>
      <c r="AX371" s="7769"/>
      <c r="AY371" s="7770"/>
      <c r="AZ371" s="7771"/>
      <c r="BA371" s="7772"/>
      <c r="BB371" s="7773"/>
      <c r="BC371" s="7774"/>
      <c r="BD371" s="7775"/>
      <c r="BE371" s="18015"/>
      <c r="BF371" s="18016"/>
      <c r="BG371" s="21919"/>
      <c r="BH371" s="18017"/>
      <c r="BI371" s="18018"/>
      <c r="BJ371" s="18019"/>
      <c r="BK371" s="18020"/>
      <c r="BL371" s="18021"/>
      <c r="BM371" s="18022"/>
      <c r="BN371" s="5056"/>
      <c r="BO371" s="5057"/>
      <c r="BP371" s="18023"/>
      <c r="BQ371" s="18024"/>
      <c r="BR371" s="5058"/>
      <c r="BS371" s="18025"/>
      <c r="BT371" s="18026"/>
      <c r="BU371" s="18027"/>
      <c r="BV371" s="18028"/>
      <c r="BW371" s="18029"/>
      <c r="BX371" s="18030"/>
      <c r="BY371" s="18031"/>
      <c r="BZ371" s="18032"/>
      <c r="CA371" s="18033"/>
      <c r="CB371" s="18034"/>
      <c r="CC371" s="18035"/>
      <c r="CD371" s="18036"/>
      <c r="CE371" s="18037"/>
      <c r="CF371" s="18038"/>
      <c r="CG371" s="18039"/>
      <c r="CH371" s="18040"/>
      <c r="CI371" s="18041"/>
      <c r="CJ371" s="18042"/>
      <c r="CK371" s="18043"/>
      <c r="CL371" s="18044"/>
      <c r="CM371" s="18045"/>
      <c r="CN371" s="18046"/>
      <c r="CO371" s="18047"/>
      <c r="CP371" s="18048"/>
      <c r="CQ371" s="18049"/>
      <c r="CR371" s="18050"/>
      <c r="CS371" s="18051"/>
      <c r="CT371" s="18052"/>
      <c r="CU371" s="18053"/>
      <c r="CV371" s="18054"/>
      <c r="CW371" s="18055"/>
      <c r="CX371" s="18056"/>
      <c r="CY371" s="18057"/>
      <c r="CZ371" s="18058"/>
      <c r="DA371" s="18059"/>
      <c r="DB371" s="18060"/>
      <c r="DC371" s="18061"/>
      <c r="DD371" s="18062"/>
      <c r="DE371" s="18063"/>
      <c r="DF371" s="18064"/>
      <c r="DG371" s="18065"/>
      <c r="DH371" s="18066"/>
      <c r="DI371" s="18067"/>
      <c r="DJ371" s="18068"/>
      <c r="DK371" s="18069"/>
      <c r="DL371" s="18070"/>
      <c r="DM371" s="18071"/>
      <c r="DN371" s="18072"/>
      <c r="DO371" s="18073"/>
      <c r="DP371" s="18074"/>
      <c r="DQ371" s="18075"/>
      <c r="DR371" s="18076"/>
      <c r="DS371" s="18077"/>
      <c r="DT371" s="18078"/>
      <c r="DU371" s="18079"/>
      <c r="DV371" s="18080"/>
      <c r="DW371" s="18081"/>
      <c r="DX371" s="18082"/>
      <c r="DY371" s="18083"/>
      <c r="DZ371" s="18084"/>
      <c r="EA371" s="18085"/>
      <c r="EB371" s="18086"/>
      <c r="EC371" s="18087"/>
      <c r="ED371" s="18088"/>
      <c r="EE371" s="18089"/>
      <c r="EF371" s="18090"/>
      <c r="EG371" s="18091"/>
      <c r="EH371" s="18092"/>
      <c r="EI371" s="18093"/>
      <c r="EJ371" s="18094"/>
      <c r="EK371" s="18095"/>
      <c r="EL371" s="18096"/>
      <c r="EM371" s="21713"/>
      <c r="EN371" s="21714"/>
      <c r="EO371" s="18097"/>
      <c r="EP371" s="18098"/>
      <c r="EQ371" s="21715"/>
      <c r="ER371" s="18099"/>
      <c r="ES371" s="18100"/>
      <c r="ET371" s="18101"/>
      <c r="EU371" s="18102"/>
      <c r="EV371" s="18103"/>
      <c r="EW371" s="18104"/>
      <c r="EX371" s="5059"/>
      <c r="EY371" s="5060"/>
      <c r="EZ371" s="18105"/>
      <c r="FA371" s="18106"/>
      <c r="FB371" s="5061"/>
      <c r="FC371" s="18107"/>
      <c r="FD371" s="18108"/>
      <c r="FE371" s="18109"/>
      <c r="FF371" s="18110"/>
      <c r="FG371" s="18111"/>
      <c r="FH371" s="5755"/>
      <c r="FI371" s="23004"/>
      <c r="FJ371" s="23005"/>
      <c r="FK371" s="23737"/>
      <c r="FL371" s="23738"/>
      <c r="FM371" s="23006"/>
      <c r="FN371" s="23739"/>
      <c r="FO371" s="23740"/>
      <c r="FP371" s="23007"/>
      <c r="FQ371" s="23008"/>
      <c r="FR371" s="23009"/>
      <c r="FS371" s="23741"/>
      <c r="FT371" s="5062"/>
      <c r="FU371" s="1184" t="s">
        <v>713</v>
      </c>
      <c r="FV371" s="1568"/>
      <c r="FW371" s="1550"/>
      <c r="FX371" s="1550" t="str">
        <f t="shared" si="6"/>
        <v>Добавить значение признака дифференциации</v>
      </c>
      <c r="FY371" s="1550"/>
      <c r="FZ371" s="1550"/>
      <c r="GA371" s="1561">
        <v>0</v>
      </c>
    </row>
    <row r="372" spans="1:183" s="1747" customFormat="1" ht="21" customHeight="1">
      <c r="A372" s="1289"/>
      <c r="B372" s="1289"/>
      <c r="C372" s="1289"/>
      <c r="D372" s="1289"/>
      <c r="E372" s="24089"/>
      <c r="F372" s="24089" t="s">
        <v>160</v>
      </c>
      <c r="G372" s="24089"/>
      <c r="H372" s="24089"/>
      <c r="I372" s="24090"/>
      <c r="J372" s="1289"/>
      <c r="K372" s="1289"/>
      <c r="L372" s="1295"/>
      <c r="M372" s="1674"/>
      <c r="N372" s="1674"/>
      <c r="O372" s="1674"/>
      <c r="P372" s="24092"/>
      <c r="Q372" s="1978"/>
      <c r="R372" s="292"/>
      <c r="S372" s="5063"/>
      <c r="T372" s="5064" t="s">
        <v>641</v>
      </c>
      <c r="U372" s="5065"/>
      <c r="V372" s="5066"/>
      <c r="W372" s="5067"/>
      <c r="X372" s="5068"/>
      <c r="Y372" s="5069"/>
      <c r="Z372" s="5070"/>
      <c r="AA372" s="5071"/>
      <c r="AB372" s="5072"/>
      <c r="AC372" s="5073"/>
      <c r="AD372" s="5074"/>
      <c r="AE372" s="5075"/>
      <c r="AF372" s="5076"/>
      <c r="AG372" s="5077"/>
      <c r="AH372" s="5078"/>
      <c r="AI372" s="5079"/>
      <c r="AJ372" s="5080"/>
      <c r="AK372" s="5081"/>
      <c r="AL372" s="5082"/>
      <c r="AM372" s="5083"/>
      <c r="AN372" s="5084"/>
      <c r="AO372" s="5085"/>
      <c r="AP372" s="5086"/>
      <c r="AQ372" s="5087"/>
      <c r="AR372" s="7776"/>
      <c r="AS372" s="7777"/>
      <c r="AT372" s="7778"/>
      <c r="AU372" s="7779"/>
      <c r="AV372" s="7780"/>
      <c r="AW372" s="7781"/>
      <c r="AX372" s="7782"/>
      <c r="AY372" s="7783"/>
      <c r="AZ372" s="7784"/>
      <c r="BA372" s="7785"/>
      <c r="BB372" s="7786"/>
      <c r="BC372" s="7787"/>
      <c r="BD372" s="7788"/>
      <c r="BE372" s="18112"/>
      <c r="BF372" s="18113"/>
      <c r="BG372" s="21920"/>
      <c r="BH372" s="18114"/>
      <c r="BI372" s="18115"/>
      <c r="BJ372" s="18116"/>
      <c r="BK372" s="18117"/>
      <c r="BL372" s="18118"/>
      <c r="BM372" s="18119"/>
      <c r="BN372" s="5088"/>
      <c r="BO372" s="5089"/>
      <c r="BP372" s="18120"/>
      <c r="BQ372" s="18121"/>
      <c r="BR372" s="5090"/>
      <c r="BS372" s="18122"/>
      <c r="BT372" s="18123"/>
      <c r="BU372" s="18124"/>
      <c r="BV372" s="18125"/>
      <c r="BW372" s="18126"/>
      <c r="BX372" s="18127"/>
      <c r="BY372" s="18128"/>
      <c r="BZ372" s="18129"/>
      <c r="CA372" s="18130"/>
      <c r="CB372" s="18131"/>
      <c r="CC372" s="18132"/>
      <c r="CD372" s="18133"/>
      <c r="CE372" s="18134"/>
      <c r="CF372" s="18135"/>
      <c r="CG372" s="18136"/>
      <c r="CH372" s="18137"/>
      <c r="CI372" s="18138"/>
      <c r="CJ372" s="18139"/>
      <c r="CK372" s="18140"/>
      <c r="CL372" s="18141"/>
      <c r="CM372" s="18142"/>
      <c r="CN372" s="18143"/>
      <c r="CO372" s="18144"/>
      <c r="CP372" s="18145"/>
      <c r="CQ372" s="18146"/>
      <c r="CR372" s="18147"/>
      <c r="CS372" s="18148"/>
      <c r="CT372" s="18149"/>
      <c r="CU372" s="18150"/>
      <c r="CV372" s="18151"/>
      <c r="CW372" s="18152"/>
      <c r="CX372" s="18153"/>
      <c r="CY372" s="18154"/>
      <c r="CZ372" s="18155"/>
      <c r="DA372" s="18156"/>
      <c r="DB372" s="18157"/>
      <c r="DC372" s="18158"/>
      <c r="DD372" s="18159"/>
      <c r="DE372" s="18160"/>
      <c r="DF372" s="18161"/>
      <c r="DG372" s="18162"/>
      <c r="DH372" s="18163"/>
      <c r="DI372" s="18164"/>
      <c r="DJ372" s="18165"/>
      <c r="DK372" s="18166"/>
      <c r="DL372" s="18167"/>
      <c r="DM372" s="18168"/>
      <c r="DN372" s="18169"/>
      <c r="DO372" s="18170"/>
      <c r="DP372" s="18171"/>
      <c r="DQ372" s="18172"/>
      <c r="DR372" s="18173"/>
      <c r="DS372" s="18174"/>
      <c r="DT372" s="18175"/>
      <c r="DU372" s="18176"/>
      <c r="DV372" s="18177"/>
      <c r="DW372" s="18178"/>
      <c r="DX372" s="18179"/>
      <c r="DY372" s="18180"/>
      <c r="DZ372" s="18181"/>
      <c r="EA372" s="18182"/>
      <c r="EB372" s="18183"/>
      <c r="EC372" s="18184"/>
      <c r="ED372" s="18185"/>
      <c r="EE372" s="18186"/>
      <c r="EF372" s="18187"/>
      <c r="EG372" s="18188"/>
      <c r="EH372" s="18189"/>
      <c r="EI372" s="18190"/>
      <c r="EJ372" s="18191"/>
      <c r="EK372" s="18192"/>
      <c r="EL372" s="18193"/>
      <c r="EM372" s="21716"/>
      <c r="EN372" s="21717"/>
      <c r="EO372" s="18194"/>
      <c r="EP372" s="18195"/>
      <c r="EQ372" s="21718"/>
      <c r="ER372" s="18196"/>
      <c r="ES372" s="18197"/>
      <c r="ET372" s="18198"/>
      <c r="EU372" s="18199"/>
      <c r="EV372" s="18200"/>
      <c r="EW372" s="18201"/>
      <c r="EX372" s="5091"/>
      <c r="EY372" s="5092"/>
      <c r="EZ372" s="18202"/>
      <c r="FA372" s="18203"/>
      <c r="FB372" s="5093"/>
      <c r="FC372" s="18204"/>
      <c r="FD372" s="18205"/>
      <c r="FE372" s="18206"/>
      <c r="FF372" s="18207"/>
      <c r="FG372" s="18208"/>
      <c r="FH372" s="5756"/>
      <c r="FI372" s="23010"/>
      <c r="FJ372" s="23011"/>
      <c r="FK372" s="23742"/>
      <c r="FL372" s="23743"/>
      <c r="FM372" s="23012"/>
      <c r="FN372" s="23744"/>
      <c r="FO372" s="23745"/>
      <c r="FP372" s="23013"/>
      <c r="FQ372" s="23014"/>
      <c r="FR372" s="23015"/>
      <c r="FS372" s="23746"/>
      <c r="FT372" s="5094"/>
      <c r="FU372" s="5095"/>
      <c r="FV372" s="1568"/>
      <c r="FW372" s="1550"/>
      <c r="FX372" s="1550" t="str">
        <f t="shared" si="6"/>
        <v>Добавить группу потребителей</v>
      </c>
      <c r="FY372" s="1550"/>
      <c r="FZ372" s="1550"/>
      <c r="GA372" s="1561">
        <v>0</v>
      </c>
    </row>
    <row r="373" spans="1:183" s="1747" customFormat="1" ht="21" customHeight="1">
      <c r="A373" s="1289"/>
      <c r="B373" s="1289"/>
      <c r="C373" s="1289"/>
      <c r="D373" s="1289"/>
      <c r="E373" s="24089"/>
      <c r="F373" s="24089" t="s">
        <v>160</v>
      </c>
      <c r="G373" s="24089"/>
      <c r="H373" s="24088"/>
      <c r="I373" s="1289"/>
      <c r="J373" s="1289"/>
      <c r="K373" s="1289"/>
      <c r="L373" s="1295"/>
      <c r="M373" s="1291"/>
      <c r="N373" s="1291"/>
      <c r="O373" s="1292"/>
      <c r="P373" s="1720"/>
      <c r="Q373" s="311"/>
      <c r="R373" s="291"/>
      <c r="S373" s="5096"/>
      <c r="T373" s="5097" t="s">
        <v>714</v>
      </c>
      <c r="U373" s="5098"/>
      <c r="V373" s="5099"/>
      <c r="W373" s="5100"/>
      <c r="X373" s="5101"/>
      <c r="Y373" s="5102"/>
      <c r="Z373" s="5103"/>
      <c r="AA373" s="5104"/>
      <c r="AB373" s="5105"/>
      <c r="AC373" s="5106"/>
      <c r="AD373" s="5107"/>
      <c r="AE373" s="5108"/>
      <c r="AF373" s="5109"/>
      <c r="AG373" s="5110"/>
      <c r="AH373" s="5111"/>
      <c r="AI373" s="5112"/>
      <c r="AJ373" s="5113"/>
      <c r="AK373" s="5114"/>
      <c r="AL373" s="5115"/>
      <c r="AM373" s="5116"/>
      <c r="AN373" s="5117"/>
      <c r="AO373" s="5118"/>
      <c r="AP373" s="5119"/>
      <c r="AQ373" s="5120"/>
      <c r="AR373" s="7789"/>
      <c r="AS373" s="7790"/>
      <c r="AT373" s="7791"/>
      <c r="AU373" s="7792"/>
      <c r="AV373" s="7793"/>
      <c r="AW373" s="7794"/>
      <c r="AX373" s="7795"/>
      <c r="AY373" s="7796"/>
      <c r="AZ373" s="7797"/>
      <c r="BA373" s="7798"/>
      <c r="BB373" s="7799"/>
      <c r="BC373" s="7800"/>
      <c r="BD373" s="7801"/>
      <c r="BE373" s="18209"/>
      <c r="BF373" s="18210"/>
      <c r="BG373" s="21921"/>
      <c r="BH373" s="18211"/>
      <c r="BI373" s="18212"/>
      <c r="BJ373" s="18213"/>
      <c r="BK373" s="18214"/>
      <c r="BL373" s="18215"/>
      <c r="BM373" s="18216"/>
      <c r="BN373" s="5121"/>
      <c r="BO373" s="5122"/>
      <c r="BP373" s="18217"/>
      <c r="BQ373" s="18218"/>
      <c r="BR373" s="5123"/>
      <c r="BS373" s="18219"/>
      <c r="BT373" s="18220"/>
      <c r="BU373" s="18221"/>
      <c r="BV373" s="18222"/>
      <c r="BW373" s="18223"/>
      <c r="BX373" s="18224"/>
      <c r="BY373" s="18225"/>
      <c r="BZ373" s="18226"/>
      <c r="CA373" s="18227"/>
      <c r="CB373" s="18228"/>
      <c r="CC373" s="18229"/>
      <c r="CD373" s="18230"/>
      <c r="CE373" s="18231"/>
      <c r="CF373" s="18232"/>
      <c r="CG373" s="18233"/>
      <c r="CH373" s="18234"/>
      <c r="CI373" s="18235"/>
      <c r="CJ373" s="18236"/>
      <c r="CK373" s="18237"/>
      <c r="CL373" s="18238"/>
      <c r="CM373" s="18239"/>
      <c r="CN373" s="18240"/>
      <c r="CO373" s="18241"/>
      <c r="CP373" s="18242"/>
      <c r="CQ373" s="18243"/>
      <c r="CR373" s="18244"/>
      <c r="CS373" s="18245"/>
      <c r="CT373" s="18246"/>
      <c r="CU373" s="18247"/>
      <c r="CV373" s="18248"/>
      <c r="CW373" s="18249"/>
      <c r="CX373" s="18250"/>
      <c r="CY373" s="18251"/>
      <c r="CZ373" s="18252"/>
      <c r="DA373" s="18253"/>
      <c r="DB373" s="18254"/>
      <c r="DC373" s="18255"/>
      <c r="DD373" s="18256"/>
      <c r="DE373" s="18257"/>
      <c r="DF373" s="18258"/>
      <c r="DG373" s="18259"/>
      <c r="DH373" s="18260"/>
      <c r="DI373" s="18261"/>
      <c r="DJ373" s="18262"/>
      <c r="DK373" s="18263"/>
      <c r="DL373" s="18264"/>
      <c r="DM373" s="18265"/>
      <c r="DN373" s="18266"/>
      <c r="DO373" s="18267"/>
      <c r="DP373" s="18268"/>
      <c r="DQ373" s="18269"/>
      <c r="DR373" s="18270"/>
      <c r="DS373" s="18271"/>
      <c r="DT373" s="18272"/>
      <c r="DU373" s="18273"/>
      <c r="DV373" s="18274"/>
      <c r="DW373" s="18275"/>
      <c r="DX373" s="18276"/>
      <c r="DY373" s="18277"/>
      <c r="DZ373" s="18278"/>
      <c r="EA373" s="18279"/>
      <c r="EB373" s="18280"/>
      <c r="EC373" s="18281"/>
      <c r="ED373" s="18282"/>
      <c r="EE373" s="18283"/>
      <c r="EF373" s="18284"/>
      <c r="EG373" s="18285"/>
      <c r="EH373" s="18286"/>
      <c r="EI373" s="18287"/>
      <c r="EJ373" s="18288"/>
      <c r="EK373" s="18289"/>
      <c r="EL373" s="18290"/>
      <c r="EM373" s="21719"/>
      <c r="EN373" s="21720"/>
      <c r="EO373" s="18291"/>
      <c r="EP373" s="18292"/>
      <c r="EQ373" s="21721"/>
      <c r="ER373" s="18293"/>
      <c r="ES373" s="18294"/>
      <c r="ET373" s="18295"/>
      <c r="EU373" s="18296"/>
      <c r="EV373" s="18297"/>
      <c r="EW373" s="18298"/>
      <c r="EX373" s="5124"/>
      <c r="EY373" s="5125"/>
      <c r="EZ373" s="18299"/>
      <c r="FA373" s="18300"/>
      <c r="FB373" s="5126"/>
      <c r="FC373" s="18301"/>
      <c r="FD373" s="18302"/>
      <c r="FE373" s="18303"/>
      <c r="FF373" s="18304"/>
      <c r="FG373" s="18305"/>
      <c r="FH373" s="5757"/>
      <c r="FI373" s="23016"/>
      <c r="FJ373" s="23017"/>
      <c r="FK373" s="23747"/>
      <c r="FL373" s="23748"/>
      <c r="FM373" s="23018"/>
      <c r="FN373" s="23749"/>
      <c r="FO373" s="23750"/>
      <c r="FP373" s="23019"/>
      <c r="FQ373" s="23020"/>
      <c r="FR373" s="23021"/>
      <c r="FS373" s="23751"/>
      <c r="FT373" s="5127"/>
      <c r="FU373" s="5128"/>
      <c r="FV373" s="1568"/>
      <c r="FW373" s="1550"/>
      <c r="FX373" s="1550" t="str">
        <f t="shared" si="6"/>
        <v>Добавить наименование признака дифференциации</v>
      </c>
      <c r="FY373" s="1550"/>
      <c r="FZ373" s="1550"/>
      <c r="GA373" s="1561">
        <v>0</v>
      </c>
    </row>
    <row r="374" spans="1:183" s="558" customFormat="1" ht="14.25" customHeight="1">
      <c r="A374" s="1269"/>
      <c r="B374" s="1269"/>
      <c r="C374" s="1269"/>
      <c r="D374" s="1269"/>
      <c r="E374" s="24089"/>
      <c r="F374" s="24088" t="s">
        <v>160</v>
      </c>
      <c r="G374" s="1269"/>
      <c r="H374" s="1269"/>
      <c r="I374" s="1269"/>
      <c r="J374" s="1269"/>
      <c r="K374" s="1269"/>
      <c r="L374" s="1471"/>
      <c r="M374" s="1247"/>
      <c r="N374" s="1247"/>
      <c r="O374" s="1568"/>
      <c r="P374" s="1242"/>
      <c r="Q374" s="1270"/>
      <c r="R374" s="1242"/>
      <c r="S374" s="1248"/>
      <c r="T374" s="1251" t="s">
        <v>370</v>
      </c>
      <c r="U374" s="1250"/>
      <c r="V374" s="1250"/>
      <c r="W374" s="1250"/>
      <c r="X374" s="1250"/>
      <c r="Y374" s="1250"/>
      <c r="Z374" s="1250"/>
      <c r="AA374" s="1250"/>
      <c r="AB374" s="1250"/>
      <c r="AC374" s="1250"/>
      <c r="AD374" s="1250"/>
      <c r="AE374" s="1250"/>
      <c r="AF374" s="1250"/>
      <c r="AG374" s="1250"/>
      <c r="AH374" s="1250"/>
      <c r="AI374" s="1250"/>
      <c r="AJ374" s="1250"/>
      <c r="AK374" s="1250"/>
      <c r="AL374" s="1250"/>
      <c r="AM374" s="1250"/>
      <c r="AN374" s="1250"/>
      <c r="AO374" s="1250"/>
      <c r="AP374" s="1250"/>
      <c r="AQ374" s="1250"/>
      <c r="AR374" s="1250"/>
      <c r="AS374" s="1250"/>
      <c r="AT374" s="1250"/>
      <c r="AU374" s="1250"/>
      <c r="AV374" s="1250"/>
      <c r="AW374" s="1250"/>
      <c r="AX374" s="1250"/>
      <c r="AY374" s="1250"/>
      <c r="AZ374" s="1250"/>
      <c r="BA374" s="1250"/>
      <c r="BB374" s="1250"/>
      <c r="BC374" s="1250"/>
      <c r="BD374" s="1250"/>
      <c r="BE374" s="1250"/>
      <c r="BF374" s="1250"/>
      <c r="BG374" s="1250"/>
      <c r="BH374" s="1250"/>
      <c r="BI374" s="1250"/>
      <c r="BJ374" s="1250"/>
      <c r="BK374" s="1250"/>
      <c r="BL374" s="1250"/>
      <c r="BM374" s="1250"/>
      <c r="BN374" s="1250"/>
      <c r="BO374" s="1250"/>
      <c r="BP374" s="1250"/>
      <c r="BQ374" s="1250"/>
      <c r="BR374" s="1250"/>
      <c r="BS374" s="1250"/>
      <c r="BT374" s="1250"/>
      <c r="BU374" s="1250"/>
      <c r="BV374" s="1250"/>
      <c r="BW374" s="1250"/>
      <c r="BX374" s="1250"/>
      <c r="BY374" s="1250"/>
      <c r="BZ374" s="1250"/>
      <c r="CA374" s="1250"/>
      <c r="CB374" s="1250"/>
      <c r="CC374" s="1250"/>
      <c r="CD374" s="1250"/>
      <c r="CE374" s="1250"/>
      <c r="CF374" s="1250"/>
      <c r="CG374" s="1250"/>
      <c r="CH374" s="1250"/>
      <c r="CI374" s="1250"/>
      <c r="CJ374" s="1250"/>
      <c r="CK374" s="1250"/>
      <c r="CL374" s="1250"/>
      <c r="CM374" s="1250"/>
      <c r="CN374" s="1250"/>
      <c r="CO374" s="1250"/>
      <c r="CP374" s="1250"/>
      <c r="CQ374" s="1250"/>
      <c r="CR374" s="1250"/>
      <c r="CS374" s="1250"/>
      <c r="CT374" s="1250"/>
      <c r="CU374" s="1250"/>
      <c r="CV374" s="1250"/>
      <c r="CW374" s="1250"/>
      <c r="CX374" s="1250"/>
      <c r="CY374" s="1250"/>
      <c r="CZ374" s="1250"/>
      <c r="DA374" s="1250"/>
      <c r="DB374" s="1250"/>
      <c r="DC374" s="1250"/>
      <c r="DD374" s="1250"/>
      <c r="DE374" s="1250"/>
      <c r="DF374" s="1250"/>
      <c r="DG374" s="1250"/>
      <c r="DH374" s="1250"/>
      <c r="DI374" s="1250"/>
      <c r="DJ374" s="1250"/>
      <c r="DK374" s="1250"/>
      <c r="DL374" s="1250"/>
      <c r="DM374" s="1250"/>
      <c r="DN374" s="1250"/>
      <c r="DO374" s="1250"/>
      <c r="DP374" s="1250"/>
      <c r="DQ374" s="1250"/>
      <c r="DR374" s="1250"/>
      <c r="DS374" s="1250"/>
      <c r="DT374" s="1250"/>
      <c r="DU374" s="1250"/>
      <c r="DV374" s="1250"/>
      <c r="DW374" s="1250"/>
      <c r="DX374" s="1250"/>
      <c r="DY374" s="1250"/>
      <c r="DZ374" s="1250"/>
      <c r="EA374" s="1250"/>
      <c r="EB374" s="1250"/>
      <c r="EC374" s="1250"/>
      <c r="ED374" s="1250"/>
      <c r="EE374" s="1250"/>
      <c r="EF374" s="1250"/>
      <c r="EG374" s="1250"/>
      <c r="EH374" s="1250"/>
      <c r="EI374" s="1250"/>
      <c r="EJ374" s="1250"/>
      <c r="EK374" s="1250"/>
      <c r="EL374" s="1250"/>
      <c r="EM374" s="1250"/>
      <c r="EN374" s="1250"/>
      <c r="EO374" s="1250"/>
      <c r="EP374" s="1250"/>
      <c r="EQ374" s="1250"/>
      <c r="ER374" s="1250"/>
      <c r="ES374" s="1250"/>
      <c r="ET374" s="1250"/>
      <c r="EU374" s="1250"/>
      <c r="EV374" s="1250"/>
      <c r="EW374" s="1250"/>
      <c r="EX374" s="1250"/>
      <c r="EY374" s="1250"/>
      <c r="EZ374" s="1250"/>
      <c r="FA374" s="1250"/>
      <c r="FB374" s="1250"/>
      <c r="FC374" s="1250"/>
      <c r="FD374" s="1250"/>
      <c r="FE374" s="1250"/>
      <c r="FF374" s="1250"/>
      <c r="FG374" s="1250"/>
      <c r="FH374" s="1250"/>
      <c r="FI374" s="1250"/>
      <c r="FJ374" s="1250"/>
      <c r="FK374" s="1250"/>
      <c r="FL374" s="1250"/>
      <c r="FM374" s="1250"/>
      <c r="FN374" s="1250"/>
      <c r="FO374" s="1250"/>
      <c r="FP374" s="1250"/>
      <c r="FQ374" s="1250"/>
      <c r="FR374" s="1250"/>
      <c r="FS374" s="1250"/>
      <c r="FT374" s="1250"/>
      <c r="FU374" s="1250"/>
      <c r="FV374" s="1568"/>
      <c r="FW374" s="1550"/>
      <c r="FX374" s="1550" t="str">
        <f t="shared" si="6"/>
        <v>Добавить централизованную систему для дифференциации</v>
      </c>
      <c r="FY374" s="1550"/>
      <c r="FZ374" s="1550"/>
      <c r="GA374" s="1568">
        <v>0</v>
      </c>
    </row>
    <row r="375" spans="1:183" s="1747" customFormat="1" ht="23.25" customHeight="1">
      <c r="A375" s="1289"/>
      <c r="B375" s="1289" t="s">
        <v>447</v>
      </c>
      <c r="C375" s="1289"/>
      <c r="D375" s="1289"/>
      <c r="E375" s="24089"/>
      <c r="F375" s="24088" t="s">
        <v>171</v>
      </c>
      <c r="G375" s="1289"/>
      <c r="H375" s="1289"/>
      <c r="I375" s="1289"/>
      <c r="J375" s="1289"/>
      <c r="K375" s="1289"/>
      <c r="L375" s="1295"/>
      <c r="M375" s="1291"/>
      <c r="N375" s="1291"/>
      <c r="O375" s="1291"/>
      <c r="P375" s="1971"/>
      <c r="Q375" s="288"/>
      <c r="R375" s="289"/>
      <c r="S375" s="1976" t="str">
        <f>INDEX(PT_DIFFERENTIATION_NUM_TER,MATCH(B375,PT_DIFFERENTIATION_TER_ID,0))</f>
        <v>1.17</v>
      </c>
      <c r="T375" s="1448" t="s">
        <v>626</v>
      </c>
      <c r="U375" s="236"/>
      <c r="V375" s="24082"/>
      <c r="W375" s="24083"/>
      <c r="X375" s="24083"/>
      <c r="Y375" s="24083"/>
      <c r="Z375" s="24083"/>
      <c r="AA375" s="24083"/>
      <c r="AB375" s="24083"/>
      <c r="AC375" s="24083"/>
      <c r="AD375" s="24083"/>
      <c r="AE375" s="24083"/>
      <c r="AF375" s="24084"/>
      <c r="AG375" s="24082" t="str">
        <f>INDEX(PT_DIFFERENTIATION_TER,MATCH(B375,PT_DIFFERENTIATION_TER_ID,0))</f>
        <v>Территория 17</v>
      </c>
      <c r="AH375" s="24083"/>
      <c r="AI375" s="24083"/>
      <c r="AJ375" s="24083"/>
      <c r="AK375" s="24083"/>
      <c r="AL375" s="24083"/>
      <c r="AM375" s="24083"/>
      <c r="AN375" s="24083"/>
      <c r="AO375" s="24083"/>
      <c r="AP375" s="24083"/>
      <c r="AQ375" s="24083"/>
      <c r="AR375" s="24173"/>
      <c r="AS375" s="24174"/>
      <c r="AT375" s="24174"/>
      <c r="AU375" s="24174"/>
      <c r="AV375" s="24174"/>
      <c r="AW375" s="24174"/>
      <c r="AX375" s="24174"/>
      <c r="AY375" s="24174"/>
      <c r="AZ375" s="24174"/>
      <c r="BA375" s="24174"/>
      <c r="BB375" s="24175"/>
      <c r="BC375" s="24173"/>
      <c r="BD375" s="24174"/>
      <c r="BE375" s="24174"/>
      <c r="BF375" s="24174"/>
      <c r="BG375" s="24174"/>
      <c r="BH375" s="24174"/>
      <c r="BI375" s="24174"/>
      <c r="BJ375" s="24174"/>
      <c r="BK375" s="24174"/>
      <c r="BL375" s="24174"/>
      <c r="BM375" s="24175"/>
      <c r="BN375" s="24082"/>
      <c r="BO375" s="24083"/>
      <c r="BP375" s="24174"/>
      <c r="BQ375" s="24174"/>
      <c r="BR375" s="24083"/>
      <c r="BS375" s="24174"/>
      <c r="BT375" s="24174"/>
      <c r="BU375" s="24174"/>
      <c r="BV375" s="24174"/>
      <c r="BW375" s="24174"/>
      <c r="BX375" s="24175"/>
      <c r="BY375" s="24173"/>
      <c r="BZ375" s="24174"/>
      <c r="CA375" s="24174"/>
      <c r="CB375" s="24174"/>
      <c r="CC375" s="24174"/>
      <c r="CD375" s="24174"/>
      <c r="CE375" s="24174"/>
      <c r="CF375" s="24174"/>
      <c r="CG375" s="24174"/>
      <c r="CH375" s="24174"/>
      <c r="CI375" s="24175"/>
      <c r="CJ375" s="24173"/>
      <c r="CK375" s="24174"/>
      <c r="CL375" s="24174"/>
      <c r="CM375" s="24174"/>
      <c r="CN375" s="24174"/>
      <c r="CO375" s="24174"/>
      <c r="CP375" s="24174"/>
      <c r="CQ375" s="24174"/>
      <c r="CR375" s="24174"/>
      <c r="CS375" s="24174"/>
      <c r="CT375" s="24175"/>
      <c r="CU375" s="24173"/>
      <c r="CV375" s="24174"/>
      <c r="CW375" s="24174"/>
      <c r="CX375" s="24174"/>
      <c r="CY375" s="24174"/>
      <c r="CZ375" s="24174"/>
      <c r="DA375" s="24174"/>
      <c r="DB375" s="24174"/>
      <c r="DC375" s="24174"/>
      <c r="DD375" s="24174"/>
      <c r="DE375" s="24175"/>
      <c r="DF375" s="24173"/>
      <c r="DG375" s="24174"/>
      <c r="DH375" s="24174"/>
      <c r="DI375" s="24174"/>
      <c r="DJ375" s="24174"/>
      <c r="DK375" s="24174"/>
      <c r="DL375" s="24174"/>
      <c r="DM375" s="24174"/>
      <c r="DN375" s="24174"/>
      <c r="DO375" s="24174"/>
      <c r="DP375" s="24175"/>
      <c r="DQ375" s="24173"/>
      <c r="DR375" s="24174"/>
      <c r="DS375" s="24174"/>
      <c r="DT375" s="24174"/>
      <c r="DU375" s="24174"/>
      <c r="DV375" s="24174"/>
      <c r="DW375" s="24174"/>
      <c r="DX375" s="24174"/>
      <c r="DY375" s="24174"/>
      <c r="DZ375" s="24174"/>
      <c r="EA375" s="24175"/>
      <c r="EB375" s="24173"/>
      <c r="EC375" s="24174"/>
      <c r="ED375" s="24174"/>
      <c r="EE375" s="24174"/>
      <c r="EF375" s="24174"/>
      <c r="EG375" s="24174"/>
      <c r="EH375" s="24174"/>
      <c r="EI375" s="24174"/>
      <c r="EJ375" s="24174"/>
      <c r="EK375" s="24174"/>
      <c r="EL375" s="24175"/>
      <c r="EM375" s="24173"/>
      <c r="EN375" s="24174"/>
      <c r="EO375" s="24174"/>
      <c r="EP375" s="24174"/>
      <c r="EQ375" s="24174"/>
      <c r="ER375" s="24174"/>
      <c r="ES375" s="24174"/>
      <c r="ET375" s="24174"/>
      <c r="EU375" s="24174"/>
      <c r="EV375" s="24174"/>
      <c r="EW375" s="24175"/>
      <c r="EX375" s="24082"/>
      <c r="EY375" s="24083"/>
      <c r="EZ375" s="24174"/>
      <c r="FA375" s="24174"/>
      <c r="FB375" s="24083"/>
      <c r="FC375" s="24174"/>
      <c r="FD375" s="24174"/>
      <c r="FE375" s="24174"/>
      <c r="FF375" s="24174"/>
      <c r="FG375" s="24174"/>
      <c r="FH375" s="24175"/>
      <c r="FI375" s="24082"/>
      <c r="FJ375" s="24083"/>
      <c r="FK375" s="24174"/>
      <c r="FL375" s="24174"/>
      <c r="FM375" s="24083"/>
      <c r="FN375" s="24174"/>
      <c r="FO375" s="24174"/>
      <c r="FP375" s="24083"/>
      <c r="FQ375" s="24083"/>
      <c r="FR375" s="24083"/>
      <c r="FS375" s="24175"/>
      <c r="FT375" s="24084"/>
      <c r="FU375" s="1184" t="s">
        <v>627</v>
      </c>
      <c r="FV375" s="1568"/>
      <c r="FW375" s="1550"/>
      <c r="FX375" s="1550" t="str">
        <f t="shared" si="6"/>
        <v>Территория действия тарифа</v>
      </c>
      <c r="FY375" s="1550"/>
      <c r="FZ375" s="1550"/>
      <c r="GA375" s="1561">
        <v>0</v>
      </c>
    </row>
    <row r="376" spans="1:183" s="1747" customFormat="1" ht="23.25" customHeight="1">
      <c r="A376" s="1289"/>
      <c r="B376" s="1289"/>
      <c r="C376" s="1289" t="s">
        <v>448</v>
      </c>
      <c r="D376" s="1289"/>
      <c r="E376" s="24089"/>
      <c r="F376" s="24089" t="s">
        <v>105</v>
      </c>
      <c r="G376" s="24088">
        <v>1</v>
      </c>
      <c r="H376" s="1289"/>
      <c r="I376" s="1289"/>
      <c r="J376" s="1289"/>
      <c r="K376" s="1289"/>
      <c r="L376" s="1295"/>
      <c r="M376" s="1291"/>
      <c r="N376" s="1291"/>
      <c r="O376" s="1291"/>
      <c r="P376" s="290"/>
      <c r="Q376" s="288"/>
      <c r="R376" s="289"/>
      <c r="S376" s="1976" t="str">
        <f>INDEX(PT_DIFFERENTIATION_NUM_CS,MATCH(C376,PT_DIFFERENTIATION_CS_ID,0))</f>
        <v>1.17.1</v>
      </c>
      <c r="T376" s="245" t="s">
        <v>756</v>
      </c>
      <c r="U376" s="236"/>
      <c r="V376" s="24082"/>
      <c r="W376" s="24083"/>
      <c r="X376" s="24083"/>
      <c r="Y376" s="24083"/>
      <c r="Z376" s="24083"/>
      <c r="AA376" s="24083"/>
      <c r="AB376" s="24083"/>
      <c r="AC376" s="24083"/>
      <c r="AD376" s="24083"/>
      <c r="AE376" s="24083"/>
      <c r="AF376" s="24084"/>
      <c r="AG376" s="24082" t="str">
        <f>INDEX(PT_DIFFERENTIATION_CS,MATCH(C376,PT_DIFFERENTIATION_CS_ID,0))</f>
        <v>г. Дорогобуж (для потребителей, теплоснабжение которых осуществляется от котельной №1 расположенной по адресу: дер. Ново-Михайловское Дорогобужского муниципального округа)</v>
      </c>
      <c r="AH376" s="24083"/>
      <c r="AI376" s="24083"/>
      <c r="AJ376" s="24083"/>
      <c r="AK376" s="24083"/>
      <c r="AL376" s="24083"/>
      <c r="AM376" s="24083"/>
      <c r="AN376" s="24083"/>
      <c r="AO376" s="24083"/>
      <c r="AP376" s="24083"/>
      <c r="AQ376" s="24083"/>
      <c r="AR376" s="24173"/>
      <c r="AS376" s="24174"/>
      <c r="AT376" s="24174"/>
      <c r="AU376" s="24174"/>
      <c r="AV376" s="24174"/>
      <c r="AW376" s="24174"/>
      <c r="AX376" s="24174"/>
      <c r="AY376" s="24174"/>
      <c r="AZ376" s="24174"/>
      <c r="BA376" s="24174"/>
      <c r="BB376" s="24175"/>
      <c r="BC376" s="24173"/>
      <c r="BD376" s="24174"/>
      <c r="BE376" s="24174"/>
      <c r="BF376" s="24174"/>
      <c r="BG376" s="24174"/>
      <c r="BH376" s="24174"/>
      <c r="BI376" s="24174"/>
      <c r="BJ376" s="24174"/>
      <c r="BK376" s="24174"/>
      <c r="BL376" s="24174"/>
      <c r="BM376" s="24175"/>
      <c r="BN376" s="24082"/>
      <c r="BO376" s="24083"/>
      <c r="BP376" s="24174"/>
      <c r="BQ376" s="24174"/>
      <c r="BR376" s="24083"/>
      <c r="BS376" s="24174"/>
      <c r="BT376" s="24174"/>
      <c r="BU376" s="24174"/>
      <c r="BV376" s="24174"/>
      <c r="BW376" s="24174"/>
      <c r="BX376" s="24175"/>
      <c r="BY376" s="24173"/>
      <c r="BZ376" s="24174"/>
      <c r="CA376" s="24174"/>
      <c r="CB376" s="24174"/>
      <c r="CC376" s="24174"/>
      <c r="CD376" s="24174"/>
      <c r="CE376" s="24174"/>
      <c r="CF376" s="24174"/>
      <c r="CG376" s="24174"/>
      <c r="CH376" s="24174"/>
      <c r="CI376" s="24175"/>
      <c r="CJ376" s="24173"/>
      <c r="CK376" s="24174"/>
      <c r="CL376" s="24174"/>
      <c r="CM376" s="24174"/>
      <c r="CN376" s="24174"/>
      <c r="CO376" s="24174"/>
      <c r="CP376" s="24174"/>
      <c r="CQ376" s="24174"/>
      <c r="CR376" s="24174"/>
      <c r="CS376" s="24174"/>
      <c r="CT376" s="24175"/>
      <c r="CU376" s="24173"/>
      <c r="CV376" s="24174"/>
      <c r="CW376" s="24174"/>
      <c r="CX376" s="24174"/>
      <c r="CY376" s="24174"/>
      <c r="CZ376" s="24174"/>
      <c r="DA376" s="24174"/>
      <c r="DB376" s="24174"/>
      <c r="DC376" s="24174"/>
      <c r="DD376" s="24174"/>
      <c r="DE376" s="24175"/>
      <c r="DF376" s="24173"/>
      <c r="DG376" s="24174"/>
      <c r="DH376" s="24174"/>
      <c r="DI376" s="24174"/>
      <c r="DJ376" s="24174"/>
      <c r="DK376" s="24174"/>
      <c r="DL376" s="24174"/>
      <c r="DM376" s="24174"/>
      <c r="DN376" s="24174"/>
      <c r="DO376" s="24174"/>
      <c r="DP376" s="24175"/>
      <c r="DQ376" s="24173"/>
      <c r="DR376" s="24174"/>
      <c r="DS376" s="24174"/>
      <c r="DT376" s="24174"/>
      <c r="DU376" s="24174"/>
      <c r="DV376" s="24174"/>
      <c r="DW376" s="24174"/>
      <c r="DX376" s="24174"/>
      <c r="DY376" s="24174"/>
      <c r="DZ376" s="24174"/>
      <c r="EA376" s="24175"/>
      <c r="EB376" s="24173"/>
      <c r="EC376" s="24174"/>
      <c r="ED376" s="24174"/>
      <c r="EE376" s="24174"/>
      <c r="EF376" s="24174"/>
      <c r="EG376" s="24174"/>
      <c r="EH376" s="24174"/>
      <c r="EI376" s="24174"/>
      <c r="EJ376" s="24174"/>
      <c r="EK376" s="24174"/>
      <c r="EL376" s="24175"/>
      <c r="EM376" s="24173"/>
      <c r="EN376" s="24174"/>
      <c r="EO376" s="24174"/>
      <c r="EP376" s="24174"/>
      <c r="EQ376" s="24174"/>
      <c r="ER376" s="24174"/>
      <c r="ES376" s="24174"/>
      <c r="ET376" s="24174"/>
      <c r="EU376" s="24174"/>
      <c r="EV376" s="24174"/>
      <c r="EW376" s="24175"/>
      <c r="EX376" s="24082"/>
      <c r="EY376" s="24083"/>
      <c r="EZ376" s="24174"/>
      <c r="FA376" s="24174"/>
      <c r="FB376" s="24083"/>
      <c r="FC376" s="24174"/>
      <c r="FD376" s="24174"/>
      <c r="FE376" s="24174"/>
      <c r="FF376" s="24174"/>
      <c r="FG376" s="24174"/>
      <c r="FH376" s="24175"/>
      <c r="FI376" s="24082"/>
      <c r="FJ376" s="24083"/>
      <c r="FK376" s="24174"/>
      <c r="FL376" s="24174"/>
      <c r="FM376" s="24083"/>
      <c r="FN376" s="24174"/>
      <c r="FO376" s="24174"/>
      <c r="FP376" s="24083"/>
      <c r="FQ376" s="24083"/>
      <c r="FR376" s="24083"/>
      <c r="FS376" s="24175"/>
      <c r="FT376" s="24084"/>
      <c r="FU376" s="1184" t="s">
        <v>757</v>
      </c>
      <c r="FV376" s="1568"/>
      <c r="FW376" s="1550"/>
      <c r="FX376" s="1550" t="str">
        <f t="shared" si="6"/>
        <v>Наименование централизованной системы горячего водоснабжения</v>
      </c>
      <c r="FY376" s="1550"/>
      <c r="FZ376" s="1550"/>
      <c r="GA376" s="1561">
        <v>0</v>
      </c>
    </row>
    <row r="377" spans="1:183" s="1747" customFormat="1" ht="23.25" customHeight="1">
      <c r="A377" s="1289"/>
      <c r="B377" s="1289"/>
      <c r="C377" s="1289"/>
      <c r="D377" s="1289"/>
      <c r="E377" s="24089"/>
      <c r="F377" s="24089" t="s">
        <v>105</v>
      </c>
      <c r="G377" s="24089"/>
      <c r="H377" s="24089"/>
      <c r="I377" s="24090" t="str">
        <f>S376&amp;".1"</f>
        <v>1.17.1.1</v>
      </c>
      <c r="J377" s="1289"/>
      <c r="K377" s="1289"/>
      <c r="L377" s="1295"/>
      <c r="M377" s="1674"/>
      <c r="N377" s="1674"/>
      <c r="O377" s="1674"/>
      <c r="P377" s="24092">
        <v>1</v>
      </c>
      <c r="Q377" s="1978"/>
      <c r="R377" s="292"/>
      <c r="S377" s="1976" t="str">
        <f>$I377</f>
        <v>1.17.1.1</v>
      </c>
      <c r="T377" s="221" t="s">
        <v>709</v>
      </c>
      <c r="U377" s="236"/>
      <c r="V377" s="24156"/>
      <c r="W377" s="24157"/>
      <c r="X377" s="24157"/>
      <c r="Y377" s="24157"/>
      <c r="Z377" s="24157"/>
      <c r="AA377" s="24157"/>
      <c r="AB377" s="24157"/>
      <c r="AC377" s="24157"/>
      <c r="AD377" s="24157"/>
      <c r="AE377" s="24157"/>
      <c r="AF377" s="24158"/>
      <c r="AG377" s="24159"/>
      <c r="AH377" s="24160"/>
      <c r="AI377" s="24160"/>
      <c r="AJ377" s="24160"/>
      <c r="AK377" s="24160"/>
      <c r="AL377" s="24160"/>
      <c r="AM377" s="24160"/>
      <c r="AN377" s="24160"/>
      <c r="AO377" s="24160"/>
      <c r="AP377" s="24160"/>
      <c r="AQ377" s="24160"/>
      <c r="AR377" s="24176"/>
      <c r="AS377" s="24177"/>
      <c r="AT377" s="24177"/>
      <c r="AU377" s="24177"/>
      <c r="AV377" s="24177"/>
      <c r="AW377" s="24177"/>
      <c r="AX377" s="24177"/>
      <c r="AY377" s="24177"/>
      <c r="AZ377" s="24177"/>
      <c r="BA377" s="24177"/>
      <c r="BB377" s="24178"/>
      <c r="BC377" s="24176"/>
      <c r="BD377" s="24177"/>
      <c r="BE377" s="24177"/>
      <c r="BF377" s="24177"/>
      <c r="BG377" s="24177"/>
      <c r="BH377" s="24177"/>
      <c r="BI377" s="24177"/>
      <c r="BJ377" s="24177"/>
      <c r="BK377" s="24177"/>
      <c r="BL377" s="24177"/>
      <c r="BM377" s="24178"/>
      <c r="BN377" s="24156"/>
      <c r="BO377" s="24157"/>
      <c r="BP377" s="24177"/>
      <c r="BQ377" s="24177"/>
      <c r="BR377" s="24157"/>
      <c r="BS377" s="24177"/>
      <c r="BT377" s="24177"/>
      <c r="BU377" s="24177"/>
      <c r="BV377" s="24177"/>
      <c r="BW377" s="24177"/>
      <c r="BX377" s="24178"/>
      <c r="BY377" s="24176"/>
      <c r="BZ377" s="24177"/>
      <c r="CA377" s="24177"/>
      <c r="CB377" s="24177"/>
      <c r="CC377" s="24177"/>
      <c r="CD377" s="24177"/>
      <c r="CE377" s="24177"/>
      <c r="CF377" s="24177"/>
      <c r="CG377" s="24177"/>
      <c r="CH377" s="24177"/>
      <c r="CI377" s="24178"/>
      <c r="CJ377" s="24176"/>
      <c r="CK377" s="24177"/>
      <c r="CL377" s="24177"/>
      <c r="CM377" s="24177"/>
      <c r="CN377" s="24177"/>
      <c r="CO377" s="24177"/>
      <c r="CP377" s="24177"/>
      <c r="CQ377" s="24177"/>
      <c r="CR377" s="24177"/>
      <c r="CS377" s="24177"/>
      <c r="CT377" s="24178"/>
      <c r="CU377" s="24176"/>
      <c r="CV377" s="24177"/>
      <c r="CW377" s="24177"/>
      <c r="CX377" s="24177"/>
      <c r="CY377" s="24177"/>
      <c r="CZ377" s="24177"/>
      <c r="DA377" s="24177"/>
      <c r="DB377" s="24177"/>
      <c r="DC377" s="24177"/>
      <c r="DD377" s="24177"/>
      <c r="DE377" s="24178"/>
      <c r="DF377" s="24176"/>
      <c r="DG377" s="24177"/>
      <c r="DH377" s="24177"/>
      <c r="DI377" s="24177"/>
      <c r="DJ377" s="24177"/>
      <c r="DK377" s="24177"/>
      <c r="DL377" s="24177"/>
      <c r="DM377" s="24177"/>
      <c r="DN377" s="24177"/>
      <c r="DO377" s="24177"/>
      <c r="DP377" s="24178"/>
      <c r="DQ377" s="24176"/>
      <c r="DR377" s="24177"/>
      <c r="DS377" s="24177"/>
      <c r="DT377" s="24177"/>
      <c r="DU377" s="24177"/>
      <c r="DV377" s="24177"/>
      <c r="DW377" s="24177"/>
      <c r="DX377" s="24177"/>
      <c r="DY377" s="24177"/>
      <c r="DZ377" s="24177"/>
      <c r="EA377" s="24178"/>
      <c r="EB377" s="24176"/>
      <c r="EC377" s="24177"/>
      <c r="ED377" s="24177"/>
      <c r="EE377" s="24177"/>
      <c r="EF377" s="24177"/>
      <c r="EG377" s="24177"/>
      <c r="EH377" s="24177"/>
      <c r="EI377" s="24177"/>
      <c r="EJ377" s="24177"/>
      <c r="EK377" s="24177"/>
      <c r="EL377" s="24178"/>
      <c r="EM377" s="24176"/>
      <c r="EN377" s="24177"/>
      <c r="EO377" s="24177"/>
      <c r="EP377" s="24177"/>
      <c r="EQ377" s="24177"/>
      <c r="ER377" s="24177"/>
      <c r="ES377" s="24177"/>
      <c r="ET377" s="24177"/>
      <c r="EU377" s="24177"/>
      <c r="EV377" s="24177"/>
      <c r="EW377" s="24178"/>
      <c r="EX377" s="24156"/>
      <c r="EY377" s="24157"/>
      <c r="EZ377" s="24177"/>
      <c r="FA377" s="24177"/>
      <c r="FB377" s="24157"/>
      <c r="FC377" s="24177"/>
      <c r="FD377" s="24177"/>
      <c r="FE377" s="24177"/>
      <c r="FF377" s="24177"/>
      <c r="FG377" s="24177"/>
      <c r="FH377" s="24178"/>
      <c r="FI377" s="24156"/>
      <c r="FJ377" s="24157"/>
      <c r="FK377" s="24177"/>
      <c r="FL377" s="24177"/>
      <c r="FM377" s="24157"/>
      <c r="FN377" s="24177"/>
      <c r="FO377" s="24177"/>
      <c r="FP377" s="24157"/>
      <c r="FQ377" s="24157"/>
      <c r="FR377" s="24157"/>
      <c r="FS377" s="24178"/>
      <c r="FT377" s="24161"/>
      <c r="FU377" s="1184" t="s">
        <v>710</v>
      </c>
      <c r="FV377" s="1568"/>
      <c r="FW377" s="1550"/>
      <c r="FX377" s="1550" t="str">
        <f t="shared" si="6"/>
        <v>Наименование признака дифференциации</v>
      </c>
      <c r="FY377" s="1550"/>
      <c r="FZ377" s="1550"/>
      <c r="GA377" s="1561">
        <v>0</v>
      </c>
    </row>
    <row r="378" spans="1:183" s="1747" customFormat="1" ht="23.25" customHeight="1">
      <c r="A378" s="1289"/>
      <c r="B378" s="1289"/>
      <c r="C378" s="1289"/>
      <c r="D378" s="1289"/>
      <c r="E378" s="24089"/>
      <c r="F378" s="24089" t="s">
        <v>105</v>
      </c>
      <c r="G378" s="24089"/>
      <c r="H378" s="24089"/>
      <c r="I378" s="24091"/>
      <c r="J378" s="24090" t="str">
        <f>I377&amp;".1"</f>
        <v>1.17.1.1.1</v>
      </c>
      <c r="K378" s="1289"/>
      <c r="L378" s="1295" t="s">
        <v>635</v>
      </c>
      <c r="M378" s="1674"/>
      <c r="N378" s="1674"/>
      <c r="O378" s="1674"/>
      <c r="P378" s="24092"/>
      <c r="Q378" s="24092">
        <v>1</v>
      </c>
      <c r="R378" s="293"/>
      <c r="S378" s="1976" t="str">
        <f>$J378</f>
        <v>1.17.1.1.1</v>
      </c>
      <c r="T378" s="222" t="s">
        <v>636</v>
      </c>
      <c r="U378" s="236"/>
      <c r="V378" s="24076"/>
      <c r="W378" s="24077"/>
      <c r="X378" s="24077"/>
      <c r="Y378" s="24077"/>
      <c r="Z378" s="24077"/>
      <c r="AA378" s="24077"/>
      <c r="AB378" s="24077"/>
      <c r="AC378" s="24077"/>
      <c r="AD378" s="24077"/>
      <c r="AE378" s="24077"/>
      <c r="AF378" s="24078"/>
      <c r="AG378" s="24076" t="s">
        <v>769</v>
      </c>
      <c r="AH378" s="24077"/>
      <c r="AI378" s="24077"/>
      <c r="AJ378" s="24077"/>
      <c r="AK378" s="24077"/>
      <c r="AL378" s="24077"/>
      <c r="AM378" s="24077"/>
      <c r="AN378" s="24077"/>
      <c r="AO378" s="24077"/>
      <c r="AP378" s="24077"/>
      <c r="AQ378" s="24077"/>
      <c r="AR378" s="24179"/>
      <c r="AS378" s="24180"/>
      <c r="AT378" s="24180"/>
      <c r="AU378" s="24180"/>
      <c r="AV378" s="24180"/>
      <c r="AW378" s="24180"/>
      <c r="AX378" s="24180"/>
      <c r="AY378" s="24180"/>
      <c r="AZ378" s="24180"/>
      <c r="BA378" s="24180"/>
      <c r="BB378" s="24181"/>
      <c r="BC378" s="24179"/>
      <c r="BD378" s="24180"/>
      <c r="BE378" s="24180"/>
      <c r="BF378" s="24180"/>
      <c r="BG378" s="24180"/>
      <c r="BH378" s="24180"/>
      <c r="BI378" s="24180"/>
      <c r="BJ378" s="24180"/>
      <c r="BK378" s="24180"/>
      <c r="BL378" s="24180"/>
      <c r="BM378" s="24181"/>
      <c r="BN378" s="24076"/>
      <c r="BO378" s="24077"/>
      <c r="BP378" s="24180"/>
      <c r="BQ378" s="24180"/>
      <c r="BR378" s="24077"/>
      <c r="BS378" s="24180"/>
      <c r="BT378" s="24180"/>
      <c r="BU378" s="24180"/>
      <c r="BV378" s="24180"/>
      <c r="BW378" s="24180"/>
      <c r="BX378" s="24181"/>
      <c r="BY378" s="24179"/>
      <c r="BZ378" s="24180"/>
      <c r="CA378" s="24180"/>
      <c r="CB378" s="24180"/>
      <c r="CC378" s="24180"/>
      <c r="CD378" s="24180"/>
      <c r="CE378" s="24180"/>
      <c r="CF378" s="24180"/>
      <c r="CG378" s="24180"/>
      <c r="CH378" s="24180"/>
      <c r="CI378" s="24181"/>
      <c r="CJ378" s="24179"/>
      <c r="CK378" s="24180"/>
      <c r="CL378" s="24180"/>
      <c r="CM378" s="24180"/>
      <c r="CN378" s="24180"/>
      <c r="CO378" s="24180"/>
      <c r="CP378" s="24180"/>
      <c r="CQ378" s="24180"/>
      <c r="CR378" s="24180"/>
      <c r="CS378" s="24180"/>
      <c r="CT378" s="24181"/>
      <c r="CU378" s="24179"/>
      <c r="CV378" s="24180"/>
      <c r="CW378" s="24180"/>
      <c r="CX378" s="24180"/>
      <c r="CY378" s="24180"/>
      <c r="CZ378" s="24180"/>
      <c r="DA378" s="24180"/>
      <c r="DB378" s="24180"/>
      <c r="DC378" s="24180"/>
      <c r="DD378" s="24180"/>
      <c r="DE378" s="24181"/>
      <c r="DF378" s="24179"/>
      <c r="DG378" s="24180"/>
      <c r="DH378" s="24180"/>
      <c r="DI378" s="24180"/>
      <c r="DJ378" s="24180"/>
      <c r="DK378" s="24180"/>
      <c r="DL378" s="24180"/>
      <c r="DM378" s="24180"/>
      <c r="DN378" s="24180"/>
      <c r="DO378" s="24180"/>
      <c r="DP378" s="24181"/>
      <c r="DQ378" s="24179"/>
      <c r="DR378" s="24180"/>
      <c r="DS378" s="24180"/>
      <c r="DT378" s="24180"/>
      <c r="DU378" s="24180"/>
      <c r="DV378" s="24180"/>
      <c r="DW378" s="24180"/>
      <c r="DX378" s="24180"/>
      <c r="DY378" s="24180"/>
      <c r="DZ378" s="24180"/>
      <c r="EA378" s="24181"/>
      <c r="EB378" s="24179"/>
      <c r="EC378" s="24180"/>
      <c r="ED378" s="24180"/>
      <c r="EE378" s="24180"/>
      <c r="EF378" s="24180"/>
      <c r="EG378" s="24180"/>
      <c r="EH378" s="24180"/>
      <c r="EI378" s="24180"/>
      <c r="EJ378" s="24180"/>
      <c r="EK378" s="24180"/>
      <c r="EL378" s="24181"/>
      <c r="EM378" s="24179"/>
      <c r="EN378" s="24180"/>
      <c r="EO378" s="24180"/>
      <c r="EP378" s="24180"/>
      <c r="EQ378" s="24180"/>
      <c r="ER378" s="24180"/>
      <c r="ES378" s="24180"/>
      <c r="ET378" s="24180"/>
      <c r="EU378" s="24180"/>
      <c r="EV378" s="24180"/>
      <c r="EW378" s="24181"/>
      <c r="EX378" s="24076"/>
      <c r="EY378" s="24077"/>
      <c r="EZ378" s="24180"/>
      <c r="FA378" s="24180"/>
      <c r="FB378" s="24077"/>
      <c r="FC378" s="24180"/>
      <c r="FD378" s="24180"/>
      <c r="FE378" s="24180"/>
      <c r="FF378" s="24180"/>
      <c r="FG378" s="24180"/>
      <c r="FH378" s="24181"/>
      <c r="FI378" s="24076"/>
      <c r="FJ378" s="24077"/>
      <c r="FK378" s="24180"/>
      <c r="FL378" s="24180"/>
      <c r="FM378" s="24077"/>
      <c r="FN378" s="24180"/>
      <c r="FO378" s="24180"/>
      <c r="FP378" s="24077"/>
      <c r="FQ378" s="24077"/>
      <c r="FR378" s="24077"/>
      <c r="FS378" s="24181"/>
      <c r="FT378" s="24078"/>
      <c r="FU378" s="1233" t="s">
        <v>711</v>
      </c>
      <c r="FV378" s="1568"/>
      <c r="FW378" s="1550"/>
      <c r="FX378" s="1550" t="str">
        <f t="shared" si="6"/>
        <v>Группа потребителей</v>
      </c>
      <c r="FY378" s="1550"/>
      <c r="FZ378" s="1550"/>
      <c r="GA378" s="1561">
        <v>0</v>
      </c>
    </row>
    <row r="379" spans="1:183" s="1747" customFormat="1" ht="23.25" customHeight="1">
      <c r="A379" s="1289"/>
      <c r="B379" s="1289"/>
      <c r="C379" s="1289"/>
      <c r="D379" s="1289"/>
      <c r="E379" s="24089"/>
      <c r="F379" s="24089" t="s">
        <v>105</v>
      </c>
      <c r="G379" s="24089"/>
      <c r="H379" s="24089"/>
      <c r="I379" s="24091"/>
      <c r="J379" s="24091"/>
      <c r="K379" s="24090" t="str">
        <f>J378&amp;".1"</f>
        <v>1.17.1.1.1.1</v>
      </c>
      <c r="L379" s="1295"/>
      <c r="M379" s="1674"/>
      <c r="N379" s="1674"/>
      <c r="O379" s="1674"/>
      <c r="P379" s="24092"/>
      <c r="Q379" s="24092"/>
      <c r="R379" s="293">
        <v>1</v>
      </c>
      <c r="S379" s="1976" t="str">
        <f>$K379</f>
        <v>1.17.1.1.1.1</v>
      </c>
      <c r="T379" s="1363"/>
      <c r="U379" s="236"/>
      <c r="V379" s="1286"/>
      <c r="W379" s="1286"/>
      <c r="X379" s="1286"/>
      <c r="Y379" s="1286"/>
      <c r="Z379" s="1286"/>
      <c r="AA379" s="1286"/>
      <c r="AB379" s="1286"/>
      <c r="AC379" s="24086"/>
      <c r="AD379" s="24085" t="s">
        <v>59</v>
      </c>
      <c r="AE379" s="24086"/>
      <c r="AF379" s="24085" t="s">
        <v>59</v>
      </c>
      <c r="AG379" s="687">
        <v>258.11</v>
      </c>
      <c r="AH379" s="687">
        <v>37.85</v>
      </c>
      <c r="AI379" s="687"/>
      <c r="AJ379" s="687"/>
      <c r="AK379" s="687">
        <v>3418.08</v>
      </c>
      <c r="AL379" s="687"/>
      <c r="AM379" s="687"/>
      <c r="AN379" s="24093" t="s">
        <v>9</v>
      </c>
      <c r="AO379" s="23957" t="s">
        <v>59</v>
      </c>
      <c r="AP379" s="24095" t="s">
        <v>770</v>
      </c>
      <c r="AQ379" s="23957" t="s">
        <v>59</v>
      </c>
      <c r="AR379" s="687">
        <v>287.58999999999997</v>
      </c>
      <c r="AS379" s="687">
        <v>41.56</v>
      </c>
      <c r="AT379" s="687"/>
      <c r="AU379" s="687"/>
      <c r="AV379" s="687">
        <v>3818</v>
      </c>
      <c r="AW379" s="687"/>
      <c r="AX379" s="687"/>
      <c r="AY379" s="24093" t="s">
        <v>772</v>
      </c>
      <c r="AZ379" s="23957" t="s">
        <v>59</v>
      </c>
      <c r="BA379" s="24093" t="s">
        <v>773</v>
      </c>
      <c r="BB379" s="23957" t="s">
        <v>59</v>
      </c>
      <c r="BC379" s="687">
        <v>293.55</v>
      </c>
      <c r="BD379" s="687">
        <v>47.52</v>
      </c>
      <c r="BE379" s="687"/>
      <c r="BF379" s="687"/>
      <c r="BG379" s="687">
        <v>3818</v>
      </c>
      <c r="BH379" s="687"/>
      <c r="BI379" s="687"/>
      <c r="BJ379" s="24093" t="s">
        <v>774</v>
      </c>
      <c r="BK379" s="23957" t="s">
        <v>59</v>
      </c>
      <c r="BL379" s="24093">
        <v>45781</v>
      </c>
      <c r="BM379" s="23957" t="s">
        <v>59</v>
      </c>
      <c r="BN379" s="687">
        <v>285.63</v>
      </c>
      <c r="BO379" s="687">
        <v>39.6</v>
      </c>
      <c r="BP379" s="687"/>
      <c r="BQ379" s="687"/>
      <c r="BR379" s="687">
        <v>3818</v>
      </c>
      <c r="BS379" s="687"/>
      <c r="BT379" s="687"/>
      <c r="BU379" s="24093">
        <v>45782</v>
      </c>
      <c r="BV379" s="23957" t="s">
        <v>59</v>
      </c>
      <c r="BW379" s="24093">
        <v>45838</v>
      </c>
      <c r="BX379" s="23957" t="s">
        <v>59</v>
      </c>
      <c r="BY379" s="687">
        <v>314.91000000000003</v>
      </c>
      <c r="BZ379" s="687">
        <v>39.6</v>
      </c>
      <c r="CA379" s="687"/>
      <c r="CB379" s="687"/>
      <c r="CC379" s="687">
        <v>4272.24</v>
      </c>
      <c r="CD379" s="687"/>
      <c r="CE379" s="687"/>
      <c r="CF379" s="24093">
        <v>45839</v>
      </c>
      <c r="CG379" s="23957" t="s">
        <v>59</v>
      </c>
      <c r="CH379" s="24093">
        <v>46022</v>
      </c>
      <c r="CI379" s="23957" t="s">
        <v>59</v>
      </c>
      <c r="CJ379" s="687">
        <f>BY379</f>
        <v>314.91000000000003</v>
      </c>
      <c r="CK379" s="687">
        <f>BZ379</f>
        <v>39.6</v>
      </c>
      <c r="CL379" s="687"/>
      <c r="CM379" s="687"/>
      <c r="CN379" s="687">
        <f>CC379</f>
        <v>4272.24</v>
      </c>
      <c r="CO379" s="687"/>
      <c r="CP379" s="687"/>
      <c r="CQ379" s="24093">
        <v>46023</v>
      </c>
      <c r="CR379" s="23957" t="s">
        <v>59</v>
      </c>
      <c r="CS379" s="24185">
        <v>46295</v>
      </c>
      <c r="CT379" s="23957" t="s">
        <v>59</v>
      </c>
      <c r="CU379" s="687">
        <v>346.92</v>
      </c>
      <c r="CV379" s="687">
        <v>44.35</v>
      </c>
      <c r="CW379" s="687"/>
      <c r="CX379" s="687"/>
      <c r="CY379" s="687">
        <v>4695.33</v>
      </c>
      <c r="CZ379" s="687"/>
      <c r="DA379" s="687"/>
      <c r="DB379" s="24185">
        <v>46296</v>
      </c>
      <c r="DC379" s="23957" t="s">
        <v>59</v>
      </c>
      <c r="DD379" s="24093">
        <v>46387</v>
      </c>
      <c r="DE379" s="23957" t="s">
        <v>59</v>
      </c>
      <c r="DF379" s="687">
        <f>CU379</f>
        <v>346.92</v>
      </c>
      <c r="DG379" s="687">
        <f>CV379</f>
        <v>44.35</v>
      </c>
      <c r="DH379" s="687"/>
      <c r="DI379" s="687"/>
      <c r="DJ379" s="687">
        <f>CY379</f>
        <v>4695.33</v>
      </c>
      <c r="DK379" s="687"/>
      <c r="DL379" s="687"/>
      <c r="DM379" s="24093">
        <v>46388</v>
      </c>
      <c r="DN379" s="23957" t="s">
        <v>59</v>
      </c>
      <c r="DO379" s="24093">
        <v>46568</v>
      </c>
      <c r="DP379" s="23957" t="s">
        <v>59</v>
      </c>
      <c r="DQ379" s="687">
        <v>373.79</v>
      </c>
      <c r="DR379" s="687">
        <v>45.08</v>
      </c>
      <c r="DS379" s="687"/>
      <c r="DT379" s="687"/>
      <c r="DU379" s="687">
        <v>5100.97</v>
      </c>
      <c r="DV379" s="687"/>
      <c r="DW379" s="687"/>
      <c r="DX379" s="24185">
        <v>46569</v>
      </c>
      <c r="DY379" s="23957" t="s">
        <v>59</v>
      </c>
      <c r="DZ379" s="24093">
        <v>46752</v>
      </c>
      <c r="EA379" s="23957" t="s">
        <v>59</v>
      </c>
      <c r="EB379" s="687">
        <f>DQ379</f>
        <v>373.79</v>
      </c>
      <c r="EC379" s="687">
        <f>DR379</f>
        <v>45.08</v>
      </c>
      <c r="ED379" s="687"/>
      <c r="EE379" s="687"/>
      <c r="EF379" s="687">
        <f>DU379</f>
        <v>5100.97</v>
      </c>
      <c r="EG379" s="687"/>
      <c r="EH379" s="687"/>
      <c r="EI379" s="24093">
        <v>46753</v>
      </c>
      <c r="EJ379" s="23957" t="s">
        <v>59</v>
      </c>
      <c r="EK379" s="24093">
        <v>46934</v>
      </c>
      <c r="EL379" s="23957" t="s">
        <v>59</v>
      </c>
      <c r="EM379" s="687">
        <v>399.68</v>
      </c>
      <c r="EN379" s="687">
        <v>48.72</v>
      </c>
      <c r="EO379" s="687"/>
      <c r="EP379" s="687"/>
      <c r="EQ379" s="687">
        <v>5446.28</v>
      </c>
      <c r="ER379" s="687"/>
      <c r="ES379" s="687"/>
      <c r="ET379" s="24093">
        <v>46935.375752314816</v>
      </c>
      <c r="EU379" s="23957" t="s">
        <v>59</v>
      </c>
      <c r="EV379" s="24095">
        <v>47118.375925925924</v>
      </c>
      <c r="EW379" s="23957" t="s">
        <v>6</v>
      </c>
      <c r="EX379" s="1286"/>
      <c r="EY379" s="1286"/>
      <c r="EZ379" s="1286"/>
      <c r="FA379" s="1286"/>
      <c r="FB379" s="1286"/>
      <c r="FC379" s="1286"/>
      <c r="FD379" s="1286"/>
      <c r="FE379" s="24086"/>
      <c r="FF379" s="24085" t="s">
        <v>59</v>
      </c>
      <c r="FG379" s="24086"/>
      <c r="FH379" s="24208" t="s">
        <v>59</v>
      </c>
      <c r="FI379" s="1286"/>
      <c r="FJ379" s="1286"/>
      <c r="FK379" s="1286"/>
      <c r="FL379" s="1286"/>
      <c r="FM379" s="1286"/>
      <c r="FN379" s="1286"/>
      <c r="FO379" s="1286"/>
      <c r="FP379" s="24086"/>
      <c r="FQ379" s="24085" t="s">
        <v>59</v>
      </c>
      <c r="FR379" s="24086"/>
      <c r="FS379" s="24085" t="s">
        <v>59</v>
      </c>
      <c r="FT379" s="1364"/>
      <c r="FU37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79" s="1568" t="e">
        <f ca="1">STRCHECKDATE(V380:FT380)</f>
        <v>#NAME?</v>
      </c>
      <c r="FW379" s="1550"/>
      <c r="FX379" s="1550" t="str">
        <f t="shared" si="6"/>
        <v/>
      </c>
      <c r="FY379" s="1550"/>
      <c r="FZ379" s="1550"/>
      <c r="GA379" s="1561">
        <v>0</v>
      </c>
    </row>
    <row r="380" spans="1:183" s="1747" customFormat="1" ht="14.25" customHeight="1">
      <c r="A380" s="1289"/>
      <c r="B380" s="1289"/>
      <c r="C380" s="1289"/>
      <c r="D380" s="1289"/>
      <c r="E380" s="24089"/>
      <c r="F380" s="24089" t="s">
        <v>105</v>
      </c>
      <c r="G380" s="24089"/>
      <c r="H380" s="24089"/>
      <c r="I380" s="24091"/>
      <c r="J380" s="24091"/>
      <c r="K380" s="24090"/>
      <c r="L380" s="1295"/>
      <c r="M380" s="1674"/>
      <c r="N380" s="1674"/>
      <c r="O380" s="1674"/>
      <c r="P380" s="24092"/>
      <c r="Q380" s="24092"/>
      <c r="R380" s="293"/>
      <c r="S380" s="1982"/>
      <c r="T380" s="236"/>
      <c r="U380" s="236"/>
      <c r="V380" s="1286"/>
      <c r="W380" s="1286"/>
      <c r="X380" s="1286"/>
      <c r="Y380" s="1286"/>
      <c r="Z380" s="1286"/>
      <c r="AA380" s="1286"/>
      <c r="AB380" s="1286"/>
      <c r="AC380" s="24085"/>
      <c r="AD380" s="24085"/>
      <c r="AE380" s="24085"/>
      <c r="AF380" s="24085"/>
      <c r="AG380" s="261"/>
      <c r="AH380" s="261"/>
      <c r="AI380" s="261"/>
      <c r="AJ380" s="261"/>
      <c r="AK380" s="261"/>
      <c r="AL380" s="261"/>
      <c r="AM380" s="261"/>
      <c r="AN380" s="24094"/>
      <c r="AO380" s="23957"/>
      <c r="AP380" s="24096"/>
      <c r="AQ380" s="23957"/>
      <c r="AR380" s="261"/>
      <c r="AS380" s="261"/>
      <c r="AT380" s="261"/>
      <c r="AU380" s="261"/>
      <c r="AV380" s="261"/>
      <c r="AW380" s="261"/>
      <c r="AX380" s="261"/>
      <c r="AY380" s="24094"/>
      <c r="AZ380" s="23957"/>
      <c r="BA380" s="24094"/>
      <c r="BB380" s="23957"/>
      <c r="BC380" s="261"/>
      <c r="BD380" s="261"/>
      <c r="BE380" s="261"/>
      <c r="BF380" s="261"/>
      <c r="BG380" s="261"/>
      <c r="BH380" s="261"/>
      <c r="BI380" s="261"/>
      <c r="BJ380" s="24094"/>
      <c r="BK380" s="23957"/>
      <c r="BL380" s="24094"/>
      <c r="BM380" s="23957"/>
      <c r="BN380" s="261"/>
      <c r="BO380" s="261"/>
      <c r="BP380" s="261"/>
      <c r="BQ380" s="261"/>
      <c r="BR380" s="261"/>
      <c r="BS380" s="261"/>
      <c r="BT380" s="261"/>
      <c r="BU380" s="24094"/>
      <c r="BV380" s="23957"/>
      <c r="BW380" s="24094"/>
      <c r="BX380" s="23957"/>
      <c r="BY380" s="261"/>
      <c r="BZ380" s="261"/>
      <c r="CA380" s="261"/>
      <c r="CB380" s="261"/>
      <c r="CC380" s="261"/>
      <c r="CD380" s="261"/>
      <c r="CE380" s="261"/>
      <c r="CF380" s="24094"/>
      <c r="CG380" s="23957"/>
      <c r="CH380" s="24094"/>
      <c r="CI380" s="23957"/>
      <c r="CJ380" s="261"/>
      <c r="CK380" s="261"/>
      <c r="CL380" s="261"/>
      <c r="CM380" s="261"/>
      <c r="CN380" s="261"/>
      <c r="CO380" s="261"/>
      <c r="CP380" s="261"/>
      <c r="CQ380" s="24094"/>
      <c r="CR380" s="23957"/>
      <c r="CS380" s="24094"/>
      <c r="CT380" s="23957"/>
      <c r="CU380" s="261"/>
      <c r="CV380" s="261"/>
      <c r="CW380" s="261"/>
      <c r="CX380" s="261"/>
      <c r="CY380" s="261"/>
      <c r="CZ380" s="261"/>
      <c r="DA380" s="261"/>
      <c r="DB380" s="24094"/>
      <c r="DC380" s="23957"/>
      <c r="DD380" s="24094"/>
      <c r="DE380" s="23957"/>
      <c r="DF380" s="261"/>
      <c r="DG380" s="261"/>
      <c r="DH380" s="261"/>
      <c r="DI380" s="261"/>
      <c r="DJ380" s="261"/>
      <c r="DK380" s="261"/>
      <c r="DL380" s="261"/>
      <c r="DM380" s="24094"/>
      <c r="DN380" s="23957"/>
      <c r="DO380" s="24094"/>
      <c r="DP380" s="23957"/>
      <c r="DQ380" s="261"/>
      <c r="DR380" s="261"/>
      <c r="DS380" s="261"/>
      <c r="DT380" s="261"/>
      <c r="DU380" s="261"/>
      <c r="DV380" s="261"/>
      <c r="DW380" s="261"/>
      <c r="DX380" s="24094"/>
      <c r="DY380" s="23957"/>
      <c r="DZ380" s="24094"/>
      <c r="EA380" s="23957"/>
      <c r="EB380" s="261"/>
      <c r="EC380" s="261"/>
      <c r="ED380" s="261"/>
      <c r="EE380" s="261"/>
      <c r="EF380" s="261"/>
      <c r="EG380" s="261"/>
      <c r="EH380" s="261"/>
      <c r="EI380" s="24094"/>
      <c r="EJ380" s="23957"/>
      <c r="EK380" s="24094"/>
      <c r="EL380" s="23957"/>
      <c r="EM380" s="261"/>
      <c r="EN380" s="261"/>
      <c r="EO380" s="261"/>
      <c r="EP380" s="261"/>
      <c r="EQ380" s="261"/>
      <c r="ER380" s="261"/>
      <c r="ES380" s="261"/>
      <c r="ET380" s="24094"/>
      <c r="EU380" s="23957"/>
      <c r="EV380" s="24096"/>
      <c r="EW380" s="23957"/>
      <c r="EX380" s="1286"/>
      <c r="EY380" s="1286"/>
      <c r="EZ380" s="1286"/>
      <c r="FA380" s="1286"/>
      <c r="FB380" s="1286"/>
      <c r="FC380" s="1286"/>
      <c r="FD380" s="1286"/>
      <c r="FE380" s="24085"/>
      <c r="FF380" s="24085"/>
      <c r="FG380" s="24085"/>
      <c r="FH380" s="24208"/>
      <c r="FI380" s="1286"/>
      <c r="FJ380" s="1286"/>
      <c r="FK380" s="1286"/>
      <c r="FL380" s="1286"/>
      <c r="FM380" s="1286"/>
      <c r="FN380" s="1286"/>
      <c r="FO380" s="1286"/>
      <c r="FP380" s="24085"/>
      <c r="FQ380" s="24085"/>
      <c r="FR380" s="24085"/>
      <c r="FS380" s="24085"/>
      <c r="FT380" s="1365"/>
      <c r="FU380" s="24162"/>
      <c r="FV380" s="1568"/>
      <c r="FW380" s="1550"/>
      <c r="FX380" s="1550" t="str">
        <f t="shared" si="6"/>
        <v/>
      </c>
      <c r="FY380" s="1550"/>
      <c r="FZ380" s="1550"/>
      <c r="GA380" s="1561">
        <v>0</v>
      </c>
    </row>
    <row r="381" spans="1:183" s="1747" customFormat="1" ht="21" customHeight="1">
      <c r="A381" s="1289"/>
      <c r="B381" s="1289"/>
      <c r="C381" s="1289"/>
      <c r="D381" s="1289"/>
      <c r="E381" s="24089"/>
      <c r="F381" s="24089" t="s">
        <v>105</v>
      </c>
      <c r="G381" s="24089"/>
      <c r="H381" s="24089"/>
      <c r="I381" s="24091"/>
      <c r="J381" s="24090"/>
      <c r="K381" s="1289"/>
      <c r="L381" s="1295"/>
      <c r="M381" s="1674"/>
      <c r="N381" s="1674"/>
      <c r="O381" s="1674"/>
      <c r="P381" s="24092"/>
      <c r="Q381" s="24092"/>
      <c r="R381" s="292"/>
      <c r="S381" s="5129"/>
      <c r="T381" s="5130" t="s">
        <v>712</v>
      </c>
      <c r="U381" s="5131"/>
      <c r="V381" s="5132"/>
      <c r="W381" s="5133"/>
      <c r="X381" s="5134"/>
      <c r="Y381" s="5135"/>
      <c r="Z381" s="5136"/>
      <c r="AA381" s="5137"/>
      <c r="AB381" s="5138"/>
      <c r="AC381" s="5139"/>
      <c r="AD381" s="5140"/>
      <c r="AE381" s="5141"/>
      <c r="AF381" s="5142"/>
      <c r="AG381" s="5143"/>
      <c r="AH381" s="5144"/>
      <c r="AI381" s="5145"/>
      <c r="AJ381" s="5146"/>
      <c r="AK381" s="5147"/>
      <c r="AL381" s="5148"/>
      <c r="AM381" s="5149"/>
      <c r="AN381" s="5150"/>
      <c r="AO381" s="5151"/>
      <c r="AP381" s="5152"/>
      <c r="AQ381" s="5153"/>
      <c r="AR381" s="7802"/>
      <c r="AS381" s="7803"/>
      <c r="AT381" s="7804"/>
      <c r="AU381" s="7805"/>
      <c r="AV381" s="7806"/>
      <c r="AW381" s="7807"/>
      <c r="AX381" s="7808"/>
      <c r="AY381" s="7809"/>
      <c r="AZ381" s="7810"/>
      <c r="BA381" s="7811"/>
      <c r="BB381" s="7812"/>
      <c r="BC381" s="7813"/>
      <c r="BD381" s="7814"/>
      <c r="BE381" s="18306"/>
      <c r="BF381" s="18307"/>
      <c r="BG381" s="21922"/>
      <c r="BH381" s="18308"/>
      <c r="BI381" s="18309"/>
      <c r="BJ381" s="18310"/>
      <c r="BK381" s="18311"/>
      <c r="BL381" s="18312"/>
      <c r="BM381" s="18313"/>
      <c r="BN381" s="5154"/>
      <c r="BO381" s="5155"/>
      <c r="BP381" s="18314"/>
      <c r="BQ381" s="18315"/>
      <c r="BR381" s="5156"/>
      <c r="BS381" s="18316"/>
      <c r="BT381" s="18317"/>
      <c r="BU381" s="18318"/>
      <c r="BV381" s="18319"/>
      <c r="BW381" s="18320"/>
      <c r="BX381" s="18321"/>
      <c r="BY381" s="18322"/>
      <c r="BZ381" s="18323"/>
      <c r="CA381" s="18324"/>
      <c r="CB381" s="18325"/>
      <c r="CC381" s="18326"/>
      <c r="CD381" s="18327"/>
      <c r="CE381" s="18328"/>
      <c r="CF381" s="18329"/>
      <c r="CG381" s="18330"/>
      <c r="CH381" s="18331"/>
      <c r="CI381" s="18332"/>
      <c r="CJ381" s="18333"/>
      <c r="CK381" s="18334"/>
      <c r="CL381" s="18335"/>
      <c r="CM381" s="18336"/>
      <c r="CN381" s="18337"/>
      <c r="CO381" s="18338"/>
      <c r="CP381" s="18339"/>
      <c r="CQ381" s="18340"/>
      <c r="CR381" s="18341"/>
      <c r="CS381" s="18342"/>
      <c r="CT381" s="18343"/>
      <c r="CU381" s="18344"/>
      <c r="CV381" s="18345"/>
      <c r="CW381" s="18346"/>
      <c r="CX381" s="18347"/>
      <c r="CY381" s="18348"/>
      <c r="CZ381" s="18349"/>
      <c r="DA381" s="18350"/>
      <c r="DB381" s="18351"/>
      <c r="DC381" s="18352"/>
      <c r="DD381" s="18353"/>
      <c r="DE381" s="18354"/>
      <c r="DF381" s="18355"/>
      <c r="DG381" s="18356"/>
      <c r="DH381" s="18357"/>
      <c r="DI381" s="18358"/>
      <c r="DJ381" s="18359"/>
      <c r="DK381" s="18360"/>
      <c r="DL381" s="18361"/>
      <c r="DM381" s="18362"/>
      <c r="DN381" s="18363"/>
      <c r="DO381" s="18364"/>
      <c r="DP381" s="18365"/>
      <c r="DQ381" s="18366"/>
      <c r="DR381" s="18367"/>
      <c r="DS381" s="18368"/>
      <c r="DT381" s="18369"/>
      <c r="DU381" s="18370"/>
      <c r="DV381" s="18371"/>
      <c r="DW381" s="18372"/>
      <c r="DX381" s="18373"/>
      <c r="DY381" s="18374"/>
      <c r="DZ381" s="18375"/>
      <c r="EA381" s="18376"/>
      <c r="EB381" s="18377"/>
      <c r="EC381" s="18378"/>
      <c r="ED381" s="18379"/>
      <c r="EE381" s="18380"/>
      <c r="EF381" s="18381"/>
      <c r="EG381" s="18382"/>
      <c r="EH381" s="18383"/>
      <c r="EI381" s="18384"/>
      <c r="EJ381" s="18385"/>
      <c r="EK381" s="18386"/>
      <c r="EL381" s="18387"/>
      <c r="EM381" s="21722"/>
      <c r="EN381" s="21723"/>
      <c r="EO381" s="18388"/>
      <c r="EP381" s="18389"/>
      <c r="EQ381" s="21724"/>
      <c r="ER381" s="18390"/>
      <c r="ES381" s="18391"/>
      <c r="ET381" s="18392"/>
      <c r="EU381" s="18393"/>
      <c r="EV381" s="18394"/>
      <c r="EW381" s="18395"/>
      <c r="EX381" s="5157"/>
      <c r="EY381" s="5158"/>
      <c r="EZ381" s="18396"/>
      <c r="FA381" s="18397"/>
      <c r="FB381" s="5159"/>
      <c r="FC381" s="18398"/>
      <c r="FD381" s="18399"/>
      <c r="FE381" s="18400"/>
      <c r="FF381" s="18401"/>
      <c r="FG381" s="18402"/>
      <c r="FH381" s="5758"/>
      <c r="FI381" s="23022"/>
      <c r="FJ381" s="23023"/>
      <c r="FK381" s="23752"/>
      <c r="FL381" s="23753"/>
      <c r="FM381" s="23024"/>
      <c r="FN381" s="23754"/>
      <c r="FO381" s="23755"/>
      <c r="FP381" s="23025"/>
      <c r="FQ381" s="23026"/>
      <c r="FR381" s="23027"/>
      <c r="FS381" s="23756"/>
      <c r="FT381" s="5160"/>
      <c r="FU381" s="1184" t="s">
        <v>713</v>
      </c>
      <c r="FV381" s="1568"/>
      <c r="FW381" s="1550"/>
      <c r="FX381" s="1550" t="str">
        <f t="shared" si="6"/>
        <v>Добавить значение признака дифференциации</v>
      </c>
      <c r="FY381" s="1550"/>
      <c r="FZ381" s="1550"/>
      <c r="GA381" s="1561">
        <v>0</v>
      </c>
    </row>
    <row r="382" spans="1:183" s="1747" customFormat="1" ht="23.25" customHeight="1">
      <c r="A382" s="1289"/>
      <c r="B382" s="1289"/>
      <c r="C382" s="1289"/>
      <c r="D382" s="1289"/>
      <c r="E382" s="24089"/>
      <c r="F382" s="24089"/>
      <c r="G382" s="24089"/>
      <c r="H382" s="24089"/>
      <c r="I382" s="24091"/>
      <c r="J382" s="24090" t="str">
        <f>I377&amp;".2"</f>
        <v>1.17.1.1.2</v>
      </c>
      <c r="K382" s="1289"/>
      <c r="L382" s="1295" t="s">
        <v>635</v>
      </c>
      <c r="M382" s="1674"/>
      <c r="N382" s="1674"/>
      <c r="O382" s="1674"/>
      <c r="P382" s="24092"/>
      <c r="Q382" s="24206" t="s">
        <v>96</v>
      </c>
      <c r="R382" s="293"/>
      <c r="S382" s="1976" t="str">
        <f>$J382</f>
        <v>1.17.1.1.2</v>
      </c>
      <c r="T382" s="222" t="s">
        <v>636</v>
      </c>
      <c r="U382" s="236"/>
      <c r="V382" s="24076"/>
      <c r="W382" s="24077"/>
      <c r="X382" s="24077"/>
      <c r="Y382" s="24077"/>
      <c r="Z382" s="24077"/>
      <c r="AA382" s="24077"/>
      <c r="AB382" s="24077"/>
      <c r="AC382" s="24077"/>
      <c r="AD382" s="24077"/>
      <c r="AE382" s="24077"/>
      <c r="AF382" s="24078"/>
      <c r="AG382" s="24076" t="s">
        <v>771</v>
      </c>
      <c r="AH382" s="24077"/>
      <c r="AI382" s="24077"/>
      <c r="AJ382" s="24077"/>
      <c r="AK382" s="24077"/>
      <c r="AL382" s="24077"/>
      <c r="AM382" s="24077"/>
      <c r="AN382" s="24077"/>
      <c r="AO382" s="24077"/>
      <c r="AP382" s="24077"/>
      <c r="AQ382" s="24077"/>
      <c r="AR382" s="24179"/>
      <c r="AS382" s="24180"/>
      <c r="AT382" s="24180"/>
      <c r="AU382" s="24180"/>
      <c r="AV382" s="24180"/>
      <c r="AW382" s="24180"/>
      <c r="AX382" s="24180"/>
      <c r="AY382" s="24180"/>
      <c r="AZ382" s="24180"/>
      <c r="BA382" s="24180"/>
      <c r="BB382" s="24181"/>
      <c r="BC382" s="24179"/>
      <c r="BD382" s="24180"/>
      <c r="BE382" s="24180"/>
      <c r="BF382" s="24180"/>
      <c r="BG382" s="24180"/>
      <c r="BH382" s="24180"/>
      <c r="BI382" s="24180"/>
      <c r="BJ382" s="24180"/>
      <c r="BK382" s="24180"/>
      <c r="BL382" s="24180"/>
      <c r="BM382" s="24181"/>
      <c r="BN382" s="24076"/>
      <c r="BO382" s="24077"/>
      <c r="BP382" s="24180"/>
      <c r="BQ382" s="24180"/>
      <c r="BR382" s="24077"/>
      <c r="BS382" s="24180"/>
      <c r="BT382" s="24180"/>
      <c r="BU382" s="24180"/>
      <c r="BV382" s="24180"/>
      <c r="BW382" s="24180"/>
      <c r="BX382" s="24181"/>
      <c r="BY382" s="24179"/>
      <c r="BZ382" s="24180"/>
      <c r="CA382" s="24180"/>
      <c r="CB382" s="24180"/>
      <c r="CC382" s="24180"/>
      <c r="CD382" s="24180"/>
      <c r="CE382" s="24180"/>
      <c r="CF382" s="24180"/>
      <c r="CG382" s="24180"/>
      <c r="CH382" s="24180"/>
      <c r="CI382" s="24181"/>
      <c r="CJ382" s="24179"/>
      <c r="CK382" s="24180"/>
      <c r="CL382" s="24180"/>
      <c r="CM382" s="24180"/>
      <c r="CN382" s="24180"/>
      <c r="CO382" s="24180"/>
      <c r="CP382" s="24180"/>
      <c r="CQ382" s="24180"/>
      <c r="CR382" s="24180"/>
      <c r="CS382" s="24180"/>
      <c r="CT382" s="24181"/>
      <c r="CU382" s="24179"/>
      <c r="CV382" s="24180"/>
      <c r="CW382" s="24180"/>
      <c r="CX382" s="24180"/>
      <c r="CY382" s="24180"/>
      <c r="CZ382" s="24180"/>
      <c r="DA382" s="24180"/>
      <c r="DB382" s="24180"/>
      <c r="DC382" s="24180"/>
      <c r="DD382" s="24180"/>
      <c r="DE382" s="24181"/>
      <c r="DF382" s="24179"/>
      <c r="DG382" s="24180"/>
      <c r="DH382" s="24180"/>
      <c r="DI382" s="24180"/>
      <c r="DJ382" s="24180"/>
      <c r="DK382" s="24180"/>
      <c r="DL382" s="24180"/>
      <c r="DM382" s="24180"/>
      <c r="DN382" s="24180"/>
      <c r="DO382" s="24180"/>
      <c r="DP382" s="24181"/>
      <c r="DQ382" s="24179"/>
      <c r="DR382" s="24180"/>
      <c r="DS382" s="24180"/>
      <c r="DT382" s="24180"/>
      <c r="DU382" s="24180"/>
      <c r="DV382" s="24180"/>
      <c r="DW382" s="24180"/>
      <c r="DX382" s="24180"/>
      <c r="DY382" s="24180"/>
      <c r="DZ382" s="24180"/>
      <c r="EA382" s="24181"/>
      <c r="EB382" s="24179"/>
      <c r="EC382" s="24180"/>
      <c r="ED382" s="24180"/>
      <c r="EE382" s="24180"/>
      <c r="EF382" s="24180"/>
      <c r="EG382" s="24180"/>
      <c r="EH382" s="24180"/>
      <c r="EI382" s="24180"/>
      <c r="EJ382" s="24180"/>
      <c r="EK382" s="24180"/>
      <c r="EL382" s="24181"/>
      <c r="EM382" s="24179"/>
      <c r="EN382" s="24180"/>
      <c r="EO382" s="24180"/>
      <c r="EP382" s="24180"/>
      <c r="EQ382" s="24180"/>
      <c r="ER382" s="24180"/>
      <c r="ES382" s="24180"/>
      <c r="ET382" s="24180"/>
      <c r="EU382" s="24180"/>
      <c r="EV382" s="24180"/>
      <c r="EW382" s="24181"/>
      <c r="EX382" s="24076"/>
      <c r="EY382" s="24077"/>
      <c r="EZ382" s="24180"/>
      <c r="FA382" s="24180"/>
      <c r="FB382" s="24077"/>
      <c r="FC382" s="24180"/>
      <c r="FD382" s="24180"/>
      <c r="FE382" s="24180"/>
      <c r="FF382" s="24180"/>
      <c r="FG382" s="24180"/>
      <c r="FH382" s="24181"/>
      <c r="FI382" s="24076"/>
      <c r="FJ382" s="24077"/>
      <c r="FK382" s="24180"/>
      <c r="FL382" s="24180"/>
      <c r="FM382" s="24077"/>
      <c r="FN382" s="24180"/>
      <c r="FO382" s="24180"/>
      <c r="FP382" s="24077"/>
      <c r="FQ382" s="24077"/>
      <c r="FR382" s="24077"/>
      <c r="FS382" s="24181"/>
      <c r="FT382" s="24078"/>
      <c r="FU382" s="1233" t="s">
        <v>711</v>
      </c>
      <c r="FV382" s="1568"/>
      <c r="FW382" s="1550"/>
      <c r="FX382" s="1550" t="str">
        <f t="shared" si="6"/>
        <v>Группа потребителей</v>
      </c>
      <c r="FY382" s="1550"/>
      <c r="FZ382" s="1550"/>
      <c r="GA382" s="1561">
        <v>0</v>
      </c>
    </row>
    <row r="383" spans="1:183" s="1747" customFormat="1" ht="23.25" customHeight="1">
      <c r="A383" s="1289"/>
      <c r="B383" s="1289"/>
      <c r="C383" s="1289"/>
      <c r="D383" s="1289"/>
      <c r="E383" s="24089"/>
      <c r="F383" s="24089"/>
      <c r="G383" s="24089"/>
      <c r="H383" s="24089"/>
      <c r="I383" s="24091"/>
      <c r="J383" s="24091" t="str">
        <f>I377&amp;".1"</f>
        <v>1.17.1.1.1</v>
      </c>
      <c r="K383" s="24090" t="str">
        <f>J382&amp;".1"</f>
        <v>1.17.1.1.2.1</v>
      </c>
      <c r="L383" s="1295"/>
      <c r="M383" s="1674"/>
      <c r="N383" s="1674"/>
      <c r="O383" s="1674"/>
      <c r="P383" s="24092"/>
      <c r="Q383" s="24092"/>
      <c r="R383" s="293">
        <v>1</v>
      </c>
      <c r="S383" s="1976" t="str">
        <f>$K383</f>
        <v>1.17.1.1.2.1</v>
      </c>
      <c r="T383" s="1363"/>
      <c r="U383" s="236"/>
      <c r="V383" s="1286"/>
      <c r="W383" s="1286"/>
      <c r="X383" s="1286"/>
      <c r="Y383" s="1286"/>
      <c r="Z383" s="1286"/>
      <c r="AA383" s="1286"/>
      <c r="AB383" s="1286"/>
      <c r="AC383" s="24086"/>
      <c r="AD383" s="24085" t="s">
        <v>59</v>
      </c>
      <c r="AE383" s="24086"/>
      <c r="AF383" s="24085" t="s">
        <v>59</v>
      </c>
      <c r="AG383" s="687">
        <v>219.77</v>
      </c>
      <c r="AH383" s="687">
        <v>37.85</v>
      </c>
      <c r="AI383" s="687"/>
      <c r="AJ383" s="687"/>
      <c r="AK383" s="687">
        <v>2705.62</v>
      </c>
      <c r="AL383" s="687"/>
      <c r="AM383" s="687"/>
      <c r="AN383" s="24093" t="s">
        <v>9</v>
      </c>
      <c r="AO383" s="23957" t="s">
        <v>59</v>
      </c>
      <c r="AP383" s="24095" t="s">
        <v>770</v>
      </c>
      <c r="AQ383" s="23957" t="s">
        <v>59</v>
      </c>
      <c r="AR383" s="687">
        <v>241.66</v>
      </c>
      <c r="AS383" s="687">
        <v>41.56</v>
      </c>
      <c r="AT383" s="687"/>
      <c r="AU383" s="687"/>
      <c r="AV383" s="687">
        <v>2976.18</v>
      </c>
      <c r="AW383" s="687"/>
      <c r="AX383" s="687"/>
      <c r="AY383" s="24093" t="s">
        <v>772</v>
      </c>
      <c r="AZ383" s="23957" t="s">
        <v>59</v>
      </c>
      <c r="BA383" s="24093" t="s">
        <v>773</v>
      </c>
      <c r="BB383" s="23957" t="s">
        <v>59</v>
      </c>
      <c r="BC383" s="687">
        <v>241.39</v>
      </c>
      <c r="BD383" s="687">
        <v>41.56</v>
      </c>
      <c r="BE383" s="687"/>
      <c r="BF383" s="687"/>
      <c r="BG383" s="687">
        <v>2976.18</v>
      </c>
      <c r="BH383" s="687"/>
      <c r="BI383" s="687"/>
      <c r="BJ383" s="24093" t="s">
        <v>774</v>
      </c>
      <c r="BK383" s="23957" t="s">
        <v>59</v>
      </c>
      <c r="BL383" s="24093">
        <v>45781</v>
      </c>
      <c r="BM383" s="23957" t="s">
        <v>59</v>
      </c>
      <c r="BN383" s="687">
        <v>241.66</v>
      </c>
      <c r="BO383" s="687">
        <v>41.56</v>
      </c>
      <c r="BP383" s="687"/>
      <c r="BQ383" s="687"/>
      <c r="BR383" s="687">
        <v>3105.22</v>
      </c>
      <c r="BS383" s="687"/>
      <c r="BT383" s="687"/>
      <c r="BU383" s="24093">
        <v>45782</v>
      </c>
      <c r="BV383" s="23957" t="s">
        <v>59</v>
      </c>
      <c r="BW383" s="24093">
        <v>45838</v>
      </c>
      <c r="BX383" s="23957" t="s">
        <v>59</v>
      </c>
      <c r="BY383" s="687">
        <v>270.42</v>
      </c>
      <c r="BZ383" s="687">
        <v>46.51</v>
      </c>
      <c r="CA383" s="687"/>
      <c r="CB383" s="687"/>
      <c r="CC383" s="687">
        <v>3474.73</v>
      </c>
      <c r="CD383" s="687"/>
      <c r="CE383" s="687"/>
      <c r="CF383" s="24093">
        <v>45839</v>
      </c>
      <c r="CG383" s="23957" t="s">
        <v>59</v>
      </c>
      <c r="CH383" s="24093">
        <v>46022</v>
      </c>
      <c r="CI383" s="23957" t="s">
        <v>59</v>
      </c>
      <c r="CJ383" s="687">
        <v>275.01</v>
      </c>
      <c r="CK383" s="687">
        <v>47.29</v>
      </c>
      <c r="CL383" s="687"/>
      <c r="CM383" s="687"/>
      <c r="CN383" s="687">
        <v>3533.9</v>
      </c>
      <c r="CO383" s="687"/>
      <c r="CP383" s="687"/>
      <c r="CQ383" s="24093">
        <v>46023</v>
      </c>
      <c r="CR383" s="23957" t="s">
        <v>59</v>
      </c>
      <c r="CS383" s="24185">
        <v>46295</v>
      </c>
      <c r="CT383" s="23957" t="s">
        <v>59</v>
      </c>
      <c r="CU383" s="687">
        <v>308.01</v>
      </c>
      <c r="CV383" s="687">
        <v>52.96</v>
      </c>
      <c r="CW383" s="687"/>
      <c r="CX383" s="687"/>
      <c r="CY383" s="687">
        <v>3957.97</v>
      </c>
      <c r="CZ383" s="687"/>
      <c r="DA383" s="687"/>
      <c r="DB383" s="24185">
        <v>46296</v>
      </c>
      <c r="DC383" s="23957" t="s">
        <v>59</v>
      </c>
      <c r="DD383" s="24093">
        <v>46387</v>
      </c>
      <c r="DE383" s="23957" t="s">
        <v>59</v>
      </c>
      <c r="DF383" s="687">
        <f>CU383</f>
        <v>308.01</v>
      </c>
      <c r="DG383" s="687">
        <f>CV383</f>
        <v>52.96</v>
      </c>
      <c r="DH383" s="687"/>
      <c r="DI383" s="687"/>
      <c r="DJ383" s="687">
        <f>CY383</f>
        <v>3957.97</v>
      </c>
      <c r="DK383" s="687"/>
      <c r="DL383" s="687"/>
      <c r="DM383" s="24093">
        <v>46388</v>
      </c>
      <c r="DN383" s="23957" t="s">
        <v>59</v>
      </c>
      <c r="DO383" s="24093">
        <v>46568</v>
      </c>
      <c r="DP383" s="23957" t="s">
        <v>59</v>
      </c>
      <c r="DQ383" s="687">
        <v>332.24</v>
      </c>
      <c r="DR383" s="687">
        <v>55</v>
      </c>
      <c r="DS383" s="687"/>
      <c r="DT383" s="687"/>
      <c r="DU383" s="687">
        <v>4302.32</v>
      </c>
      <c r="DV383" s="687"/>
      <c r="DW383" s="687"/>
      <c r="DX383" s="24093">
        <v>46569</v>
      </c>
      <c r="DY383" s="23957" t="s">
        <v>59</v>
      </c>
      <c r="DZ383" s="24093">
        <v>46752</v>
      </c>
      <c r="EA383" s="23957" t="s">
        <v>59</v>
      </c>
      <c r="EB383" s="687">
        <f>DQ383</f>
        <v>332.24</v>
      </c>
      <c r="EC383" s="687">
        <f>DR383</f>
        <v>55</v>
      </c>
      <c r="ED383" s="687"/>
      <c r="EE383" s="687"/>
      <c r="EF383" s="687">
        <f>DU383</f>
        <v>4302.32</v>
      </c>
      <c r="EG383" s="687"/>
      <c r="EH383" s="687"/>
      <c r="EI383" s="24093">
        <v>46753</v>
      </c>
      <c r="EJ383" s="23957" t="s">
        <v>59</v>
      </c>
      <c r="EK383" s="24093">
        <v>46934</v>
      </c>
      <c r="EL383" s="23957" t="s">
        <v>59</v>
      </c>
      <c r="EM383" s="687">
        <v>356.37</v>
      </c>
      <c r="EN383" s="687">
        <v>59.44</v>
      </c>
      <c r="EO383" s="687"/>
      <c r="EP383" s="687"/>
      <c r="EQ383" s="687">
        <v>4607.78</v>
      </c>
      <c r="ER383" s="687"/>
      <c r="ES383" s="687"/>
      <c r="ET383" s="24093">
        <v>46935.385613425926</v>
      </c>
      <c r="EU383" s="23957" t="s">
        <v>59</v>
      </c>
      <c r="EV383" s="24095">
        <v>47118.385891203703</v>
      </c>
      <c r="EW383" s="23957" t="s">
        <v>6</v>
      </c>
      <c r="EX383" s="1286"/>
      <c r="EY383" s="1286"/>
      <c r="EZ383" s="1286"/>
      <c r="FA383" s="1286"/>
      <c r="FB383" s="1286"/>
      <c r="FC383" s="1286"/>
      <c r="FD383" s="1286"/>
      <c r="FE383" s="24086"/>
      <c r="FF383" s="24085" t="s">
        <v>59</v>
      </c>
      <c r="FG383" s="24086"/>
      <c r="FH383" s="24208" t="s">
        <v>59</v>
      </c>
      <c r="FI383" s="1286"/>
      <c r="FJ383" s="1286"/>
      <c r="FK383" s="1286"/>
      <c r="FL383" s="1286"/>
      <c r="FM383" s="1286"/>
      <c r="FN383" s="1286"/>
      <c r="FO383" s="1286"/>
      <c r="FP383" s="24086"/>
      <c r="FQ383" s="24085" t="s">
        <v>59</v>
      </c>
      <c r="FR383" s="24086"/>
      <c r="FS383" s="24085" t="s">
        <v>59</v>
      </c>
      <c r="FT383" s="1364"/>
      <c r="FU38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83" s="1568" t="e">
        <f ca="1">STRCHECKDATE(V384:FT384)</f>
        <v>#NAME?</v>
      </c>
      <c r="FW383" s="1550"/>
      <c r="FX383" s="1550" t="str">
        <f t="shared" si="6"/>
        <v/>
      </c>
      <c r="FY383" s="1550"/>
      <c r="FZ383" s="1550"/>
      <c r="GA383" s="1561">
        <v>0</v>
      </c>
    </row>
    <row r="384" spans="1:183" s="1747" customFormat="1" ht="14.25" customHeight="1">
      <c r="A384" s="1289"/>
      <c r="B384" s="1289"/>
      <c r="C384" s="1289"/>
      <c r="D384" s="1289"/>
      <c r="E384" s="24089"/>
      <c r="F384" s="24089"/>
      <c r="G384" s="24089"/>
      <c r="H384" s="24089"/>
      <c r="I384" s="24091"/>
      <c r="J384" s="24091" t="str">
        <f>I377&amp;".1"</f>
        <v>1.17.1.1.1</v>
      </c>
      <c r="K384" s="24090"/>
      <c r="L384" s="1295"/>
      <c r="M384" s="1674"/>
      <c r="N384" s="1674"/>
      <c r="O384" s="1674"/>
      <c r="P384" s="24092"/>
      <c r="Q384" s="24092"/>
      <c r="R384" s="293"/>
      <c r="S384" s="1982"/>
      <c r="T384" s="236"/>
      <c r="U384" s="236"/>
      <c r="V384" s="1286"/>
      <c r="W384" s="1286"/>
      <c r="X384" s="1286"/>
      <c r="Y384" s="1286"/>
      <c r="Z384" s="1286"/>
      <c r="AA384" s="1286"/>
      <c r="AB384" s="1286"/>
      <c r="AC384" s="24085"/>
      <c r="AD384" s="24085"/>
      <c r="AE384" s="24085"/>
      <c r="AF384" s="24085"/>
      <c r="AG384" s="261"/>
      <c r="AH384" s="261"/>
      <c r="AI384" s="261"/>
      <c r="AJ384" s="261"/>
      <c r="AK384" s="261"/>
      <c r="AL384" s="261"/>
      <c r="AM384" s="261"/>
      <c r="AN384" s="24094"/>
      <c r="AO384" s="23957"/>
      <c r="AP384" s="24096"/>
      <c r="AQ384" s="23957"/>
      <c r="AR384" s="261"/>
      <c r="AS384" s="261"/>
      <c r="AT384" s="261"/>
      <c r="AU384" s="261"/>
      <c r="AV384" s="261"/>
      <c r="AW384" s="261"/>
      <c r="AX384" s="261"/>
      <c r="AY384" s="24094"/>
      <c r="AZ384" s="23957"/>
      <c r="BA384" s="24094"/>
      <c r="BB384" s="23957"/>
      <c r="BC384" s="261"/>
      <c r="BD384" s="261"/>
      <c r="BE384" s="261"/>
      <c r="BF384" s="261"/>
      <c r="BG384" s="261"/>
      <c r="BH384" s="261"/>
      <c r="BI384" s="261"/>
      <c r="BJ384" s="24094"/>
      <c r="BK384" s="23957"/>
      <c r="BL384" s="24094"/>
      <c r="BM384" s="23957"/>
      <c r="BN384" s="261"/>
      <c r="BO384" s="261"/>
      <c r="BP384" s="261"/>
      <c r="BQ384" s="261"/>
      <c r="BR384" s="261"/>
      <c r="BS384" s="261"/>
      <c r="BT384" s="261"/>
      <c r="BU384" s="24094"/>
      <c r="BV384" s="23957"/>
      <c r="BW384" s="24094"/>
      <c r="BX384" s="23957"/>
      <c r="BY384" s="261"/>
      <c r="BZ384" s="261"/>
      <c r="CA384" s="261"/>
      <c r="CB384" s="261"/>
      <c r="CC384" s="261"/>
      <c r="CD384" s="261"/>
      <c r="CE384" s="261"/>
      <c r="CF384" s="24094"/>
      <c r="CG384" s="23957"/>
      <c r="CH384" s="24094"/>
      <c r="CI384" s="23957"/>
      <c r="CJ384" s="261"/>
      <c r="CK384" s="261"/>
      <c r="CL384" s="261"/>
      <c r="CM384" s="261"/>
      <c r="CN384" s="261"/>
      <c r="CO384" s="261"/>
      <c r="CP384" s="261"/>
      <c r="CQ384" s="24094"/>
      <c r="CR384" s="23957"/>
      <c r="CS384" s="24094"/>
      <c r="CT384" s="23957"/>
      <c r="CU384" s="261"/>
      <c r="CV384" s="261"/>
      <c r="CW384" s="261"/>
      <c r="CX384" s="261"/>
      <c r="CY384" s="261"/>
      <c r="CZ384" s="261"/>
      <c r="DA384" s="261"/>
      <c r="DB384" s="24094"/>
      <c r="DC384" s="23957"/>
      <c r="DD384" s="24094"/>
      <c r="DE384" s="23957"/>
      <c r="DF384" s="261"/>
      <c r="DG384" s="261"/>
      <c r="DH384" s="261"/>
      <c r="DI384" s="261"/>
      <c r="DJ384" s="261"/>
      <c r="DK384" s="261"/>
      <c r="DL384" s="261"/>
      <c r="DM384" s="24094"/>
      <c r="DN384" s="23957"/>
      <c r="DO384" s="24094"/>
      <c r="DP384" s="23957"/>
      <c r="DQ384" s="261"/>
      <c r="DR384" s="261"/>
      <c r="DS384" s="261"/>
      <c r="DT384" s="261"/>
      <c r="DU384" s="261"/>
      <c r="DV384" s="261"/>
      <c r="DW384" s="261"/>
      <c r="DX384" s="24094"/>
      <c r="DY384" s="23957"/>
      <c r="DZ384" s="24094"/>
      <c r="EA384" s="23957"/>
      <c r="EB384" s="261"/>
      <c r="EC384" s="261"/>
      <c r="ED384" s="261"/>
      <c r="EE384" s="261"/>
      <c r="EF384" s="261"/>
      <c r="EG384" s="261"/>
      <c r="EH384" s="261"/>
      <c r="EI384" s="24094"/>
      <c r="EJ384" s="23957"/>
      <c r="EK384" s="24094"/>
      <c r="EL384" s="23957"/>
      <c r="EM384" s="261"/>
      <c r="EN384" s="261"/>
      <c r="EO384" s="261"/>
      <c r="EP384" s="261"/>
      <c r="EQ384" s="261"/>
      <c r="ER384" s="261"/>
      <c r="ES384" s="261"/>
      <c r="ET384" s="24094"/>
      <c r="EU384" s="23957"/>
      <c r="EV384" s="24096"/>
      <c r="EW384" s="23957"/>
      <c r="EX384" s="1286"/>
      <c r="EY384" s="1286"/>
      <c r="EZ384" s="1286"/>
      <c r="FA384" s="1286"/>
      <c r="FB384" s="1286"/>
      <c r="FC384" s="1286"/>
      <c r="FD384" s="1286"/>
      <c r="FE384" s="24085"/>
      <c r="FF384" s="24085"/>
      <c r="FG384" s="24085"/>
      <c r="FH384" s="24208"/>
      <c r="FI384" s="1286"/>
      <c r="FJ384" s="1286"/>
      <c r="FK384" s="1286"/>
      <c r="FL384" s="1286"/>
      <c r="FM384" s="1286"/>
      <c r="FN384" s="1286"/>
      <c r="FO384" s="1286"/>
      <c r="FP384" s="24085"/>
      <c r="FQ384" s="24085"/>
      <c r="FR384" s="24085"/>
      <c r="FS384" s="24085"/>
      <c r="FT384" s="1365"/>
      <c r="FU384" s="24162"/>
      <c r="FV384" s="1568"/>
      <c r="FW384" s="1550"/>
      <c r="FX384" s="1550" t="str">
        <f t="shared" si="6"/>
        <v/>
      </c>
      <c r="FY384" s="1550"/>
      <c r="FZ384" s="1550"/>
      <c r="GA384" s="1561">
        <v>0</v>
      </c>
    </row>
    <row r="385" spans="1:183" s="1747" customFormat="1" ht="21" customHeight="1">
      <c r="A385" s="1289"/>
      <c r="B385" s="1289"/>
      <c r="C385" s="1289"/>
      <c r="D385" s="1289"/>
      <c r="E385" s="24089"/>
      <c r="F385" s="24089"/>
      <c r="G385" s="24089"/>
      <c r="H385" s="24089"/>
      <c r="I385" s="24091"/>
      <c r="J385" s="24090" t="str">
        <f>I377&amp;".1"</f>
        <v>1.17.1.1.1</v>
      </c>
      <c r="K385" s="1289"/>
      <c r="L385" s="1295"/>
      <c r="M385" s="1674"/>
      <c r="N385" s="1674"/>
      <c r="O385" s="1674"/>
      <c r="P385" s="24092"/>
      <c r="Q385" s="24092"/>
      <c r="R385" s="292"/>
      <c r="S385" s="5161"/>
      <c r="T385" s="5162" t="s">
        <v>712</v>
      </c>
      <c r="U385" s="5163"/>
      <c r="V385" s="5164"/>
      <c r="W385" s="5165"/>
      <c r="X385" s="5166"/>
      <c r="Y385" s="5167"/>
      <c r="Z385" s="5168"/>
      <c r="AA385" s="5169"/>
      <c r="AB385" s="5170"/>
      <c r="AC385" s="5171"/>
      <c r="AD385" s="5172"/>
      <c r="AE385" s="5173"/>
      <c r="AF385" s="5174"/>
      <c r="AG385" s="5175"/>
      <c r="AH385" s="5176"/>
      <c r="AI385" s="5177"/>
      <c r="AJ385" s="5178"/>
      <c r="AK385" s="5179"/>
      <c r="AL385" s="5180"/>
      <c r="AM385" s="5181"/>
      <c r="AN385" s="5182"/>
      <c r="AO385" s="5183"/>
      <c r="AP385" s="5184"/>
      <c r="AQ385" s="5185"/>
      <c r="AR385" s="7815"/>
      <c r="AS385" s="7816"/>
      <c r="AT385" s="7817"/>
      <c r="AU385" s="7818"/>
      <c r="AV385" s="7819"/>
      <c r="AW385" s="7820"/>
      <c r="AX385" s="7821"/>
      <c r="AY385" s="7822"/>
      <c r="AZ385" s="7823"/>
      <c r="BA385" s="7824"/>
      <c r="BB385" s="7825"/>
      <c r="BC385" s="7826"/>
      <c r="BD385" s="7827"/>
      <c r="BE385" s="18403"/>
      <c r="BF385" s="18404"/>
      <c r="BG385" s="21923"/>
      <c r="BH385" s="18405"/>
      <c r="BI385" s="18406"/>
      <c r="BJ385" s="18407"/>
      <c r="BK385" s="18408"/>
      <c r="BL385" s="18409"/>
      <c r="BM385" s="18410"/>
      <c r="BN385" s="5186"/>
      <c r="BO385" s="5187"/>
      <c r="BP385" s="18411"/>
      <c r="BQ385" s="18412"/>
      <c r="BR385" s="5188"/>
      <c r="BS385" s="18413"/>
      <c r="BT385" s="18414"/>
      <c r="BU385" s="18415"/>
      <c r="BV385" s="18416"/>
      <c r="BW385" s="18417"/>
      <c r="BX385" s="18418"/>
      <c r="BY385" s="18419"/>
      <c r="BZ385" s="18420"/>
      <c r="CA385" s="18421"/>
      <c r="CB385" s="18422"/>
      <c r="CC385" s="18423"/>
      <c r="CD385" s="18424"/>
      <c r="CE385" s="18425"/>
      <c r="CF385" s="18426"/>
      <c r="CG385" s="18427"/>
      <c r="CH385" s="18428"/>
      <c r="CI385" s="18429"/>
      <c r="CJ385" s="18430"/>
      <c r="CK385" s="18431"/>
      <c r="CL385" s="18432"/>
      <c r="CM385" s="18433"/>
      <c r="CN385" s="18434"/>
      <c r="CO385" s="18435"/>
      <c r="CP385" s="18436"/>
      <c r="CQ385" s="18437"/>
      <c r="CR385" s="18438"/>
      <c r="CS385" s="18439"/>
      <c r="CT385" s="18440"/>
      <c r="CU385" s="18441"/>
      <c r="CV385" s="18442"/>
      <c r="CW385" s="18443"/>
      <c r="CX385" s="18444"/>
      <c r="CY385" s="18445"/>
      <c r="CZ385" s="18446"/>
      <c r="DA385" s="18447"/>
      <c r="DB385" s="18448"/>
      <c r="DC385" s="18449"/>
      <c r="DD385" s="18450"/>
      <c r="DE385" s="18451"/>
      <c r="DF385" s="18452"/>
      <c r="DG385" s="18453"/>
      <c r="DH385" s="18454"/>
      <c r="DI385" s="18455"/>
      <c r="DJ385" s="18456"/>
      <c r="DK385" s="18457"/>
      <c r="DL385" s="18458"/>
      <c r="DM385" s="18459"/>
      <c r="DN385" s="18460"/>
      <c r="DO385" s="18461"/>
      <c r="DP385" s="18462"/>
      <c r="DQ385" s="18463"/>
      <c r="DR385" s="18464"/>
      <c r="DS385" s="18465"/>
      <c r="DT385" s="18466"/>
      <c r="DU385" s="18467"/>
      <c r="DV385" s="18468"/>
      <c r="DW385" s="18469"/>
      <c r="DX385" s="18470"/>
      <c r="DY385" s="18471"/>
      <c r="DZ385" s="18472"/>
      <c r="EA385" s="18473"/>
      <c r="EB385" s="18474"/>
      <c r="EC385" s="18475"/>
      <c r="ED385" s="18476"/>
      <c r="EE385" s="18477"/>
      <c r="EF385" s="18478"/>
      <c r="EG385" s="18479"/>
      <c r="EH385" s="18480"/>
      <c r="EI385" s="18481"/>
      <c r="EJ385" s="18482"/>
      <c r="EK385" s="18483"/>
      <c r="EL385" s="18484"/>
      <c r="EM385" s="21725"/>
      <c r="EN385" s="21726"/>
      <c r="EO385" s="18485"/>
      <c r="EP385" s="18486"/>
      <c r="EQ385" s="21727"/>
      <c r="ER385" s="18487"/>
      <c r="ES385" s="18488"/>
      <c r="ET385" s="18489"/>
      <c r="EU385" s="18490"/>
      <c r="EV385" s="18491"/>
      <c r="EW385" s="18492"/>
      <c r="EX385" s="5189"/>
      <c r="EY385" s="5190"/>
      <c r="EZ385" s="18493"/>
      <c r="FA385" s="18494"/>
      <c r="FB385" s="5191"/>
      <c r="FC385" s="18495"/>
      <c r="FD385" s="18496"/>
      <c r="FE385" s="18497"/>
      <c r="FF385" s="18498"/>
      <c r="FG385" s="18499"/>
      <c r="FH385" s="5759"/>
      <c r="FI385" s="23028"/>
      <c r="FJ385" s="23029"/>
      <c r="FK385" s="23757"/>
      <c r="FL385" s="23758"/>
      <c r="FM385" s="23030"/>
      <c r="FN385" s="23759"/>
      <c r="FO385" s="23760"/>
      <c r="FP385" s="23031"/>
      <c r="FQ385" s="23032"/>
      <c r="FR385" s="23033"/>
      <c r="FS385" s="23761"/>
      <c r="FT385" s="5192"/>
      <c r="FU385" s="1184" t="s">
        <v>713</v>
      </c>
      <c r="FV385" s="1568"/>
      <c r="FW385" s="1550"/>
      <c r="FX385" s="1550" t="str">
        <f t="shared" si="6"/>
        <v>Добавить значение признака дифференциации</v>
      </c>
      <c r="FY385" s="1550"/>
      <c r="FZ385" s="1550"/>
      <c r="GA385" s="1561">
        <v>0</v>
      </c>
    </row>
    <row r="386" spans="1:183" s="1747" customFormat="1" ht="21" customHeight="1">
      <c r="A386" s="1289"/>
      <c r="B386" s="1289"/>
      <c r="C386" s="1289"/>
      <c r="D386" s="1289"/>
      <c r="E386" s="24089"/>
      <c r="F386" s="24089" t="s">
        <v>105</v>
      </c>
      <c r="G386" s="24089"/>
      <c r="H386" s="24089"/>
      <c r="I386" s="24090"/>
      <c r="J386" s="1289"/>
      <c r="K386" s="1289"/>
      <c r="L386" s="1295"/>
      <c r="M386" s="1674"/>
      <c r="N386" s="1674"/>
      <c r="O386" s="1674"/>
      <c r="P386" s="24092"/>
      <c r="Q386" s="1978"/>
      <c r="R386" s="292"/>
      <c r="S386" s="5193"/>
      <c r="T386" s="5194" t="s">
        <v>641</v>
      </c>
      <c r="U386" s="5195"/>
      <c r="V386" s="5196"/>
      <c r="W386" s="5197"/>
      <c r="X386" s="5198"/>
      <c r="Y386" s="5199"/>
      <c r="Z386" s="5200"/>
      <c r="AA386" s="5201"/>
      <c r="AB386" s="5202"/>
      <c r="AC386" s="5203"/>
      <c r="AD386" s="5204"/>
      <c r="AE386" s="5205"/>
      <c r="AF386" s="5206"/>
      <c r="AG386" s="5207"/>
      <c r="AH386" s="5208"/>
      <c r="AI386" s="5209"/>
      <c r="AJ386" s="5210"/>
      <c r="AK386" s="5211"/>
      <c r="AL386" s="5212"/>
      <c r="AM386" s="5213"/>
      <c r="AN386" s="5214"/>
      <c r="AO386" s="5215"/>
      <c r="AP386" s="5216"/>
      <c r="AQ386" s="5217"/>
      <c r="AR386" s="7828"/>
      <c r="AS386" s="7829"/>
      <c r="AT386" s="7830"/>
      <c r="AU386" s="7831"/>
      <c r="AV386" s="7832"/>
      <c r="AW386" s="7833"/>
      <c r="AX386" s="7834"/>
      <c r="AY386" s="7835"/>
      <c r="AZ386" s="7836"/>
      <c r="BA386" s="7837"/>
      <c r="BB386" s="7838"/>
      <c r="BC386" s="7839"/>
      <c r="BD386" s="7840"/>
      <c r="BE386" s="18500"/>
      <c r="BF386" s="18501"/>
      <c r="BG386" s="21924"/>
      <c r="BH386" s="18502"/>
      <c r="BI386" s="18503"/>
      <c r="BJ386" s="18504"/>
      <c r="BK386" s="18505"/>
      <c r="BL386" s="18506"/>
      <c r="BM386" s="18507"/>
      <c r="BN386" s="5218"/>
      <c r="BO386" s="5219"/>
      <c r="BP386" s="18508"/>
      <c r="BQ386" s="18509"/>
      <c r="BR386" s="5220"/>
      <c r="BS386" s="18510"/>
      <c r="BT386" s="18511"/>
      <c r="BU386" s="18512"/>
      <c r="BV386" s="18513"/>
      <c r="BW386" s="18514"/>
      <c r="BX386" s="18515"/>
      <c r="BY386" s="18516"/>
      <c r="BZ386" s="18517"/>
      <c r="CA386" s="18518"/>
      <c r="CB386" s="18519"/>
      <c r="CC386" s="18520"/>
      <c r="CD386" s="18521"/>
      <c r="CE386" s="18522"/>
      <c r="CF386" s="18523"/>
      <c r="CG386" s="18524"/>
      <c r="CH386" s="18525"/>
      <c r="CI386" s="18526"/>
      <c r="CJ386" s="18527"/>
      <c r="CK386" s="18528"/>
      <c r="CL386" s="18529"/>
      <c r="CM386" s="18530"/>
      <c r="CN386" s="18531"/>
      <c r="CO386" s="18532"/>
      <c r="CP386" s="18533"/>
      <c r="CQ386" s="18534"/>
      <c r="CR386" s="18535"/>
      <c r="CS386" s="18536"/>
      <c r="CT386" s="18537"/>
      <c r="CU386" s="18538"/>
      <c r="CV386" s="18539"/>
      <c r="CW386" s="18540"/>
      <c r="CX386" s="18541"/>
      <c r="CY386" s="18542"/>
      <c r="CZ386" s="18543"/>
      <c r="DA386" s="18544"/>
      <c r="DB386" s="18545"/>
      <c r="DC386" s="18546"/>
      <c r="DD386" s="18547"/>
      <c r="DE386" s="18548"/>
      <c r="DF386" s="18549"/>
      <c r="DG386" s="18550"/>
      <c r="DH386" s="18551"/>
      <c r="DI386" s="18552"/>
      <c r="DJ386" s="18553"/>
      <c r="DK386" s="18554"/>
      <c r="DL386" s="18555"/>
      <c r="DM386" s="18556"/>
      <c r="DN386" s="18557"/>
      <c r="DO386" s="18558"/>
      <c r="DP386" s="18559"/>
      <c r="DQ386" s="18560"/>
      <c r="DR386" s="18561"/>
      <c r="DS386" s="18562"/>
      <c r="DT386" s="18563"/>
      <c r="DU386" s="18564"/>
      <c r="DV386" s="18565"/>
      <c r="DW386" s="18566"/>
      <c r="DX386" s="18567"/>
      <c r="DY386" s="18568"/>
      <c r="DZ386" s="18569"/>
      <c r="EA386" s="18570"/>
      <c r="EB386" s="18571"/>
      <c r="EC386" s="18572"/>
      <c r="ED386" s="18573"/>
      <c r="EE386" s="18574"/>
      <c r="EF386" s="18575"/>
      <c r="EG386" s="18576"/>
      <c r="EH386" s="18577"/>
      <c r="EI386" s="18578"/>
      <c r="EJ386" s="18579"/>
      <c r="EK386" s="18580"/>
      <c r="EL386" s="18581"/>
      <c r="EM386" s="21728"/>
      <c r="EN386" s="21729"/>
      <c r="EO386" s="18582"/>
      <c r="EP386" s="18583"/>
      <c r="EQ386" s="21730"/>
      <c r="ER386" s="18584"/>
      <c r="ES386" s="18585"/>
      <c r="ET386" s="18586"/>
      <c r="EU386" s="18587"/>
      <c r="EV386" s="18588"/>
      <c r="EW386" s="18589"/>
      <c r="EX386" s="5221"/>
      <c r="EY386" s="5222"/>
      <c r="EZ386" s="18590"/>
      <c r="FA386" s="18591"/>
      <c r="FB386" s="5223"/>
      <c r="FC386" s="18592"/>
      <c r="FD386" s="18593"/>
      <c r="FE386" s="18594"/>
      <c r="FF386" s="18595"/>
      <c r="FG386" s="18596"/>
      <c r="FH386" s="5760"/>
      <c r="FI386" s="23034"/>
      <c r="FJ386" s="23035"/>
      <c r="FK386" s="23762"/>
      <c r="FL386" s="23763"/>
      <c r="FM386" s="23036"/>
      <c r="FN386" s="23764"/>
      <c r="FO386" s="23765"/>
      <c r="FP386" s="23037"/>
      <c r="FQ386" s="23038"/>
      <c r="FR386" s="23039"/>
      <c r="FS386" s="23766"/>
      <c r="FT386" s="5224"/>
      <c r="FU386" s="5225"/>
      <c r="FV386" s="1568"/>
      <c r="FW386" s="1550"/>
      <c r="FX386" s="1550" t="str">
        <f t="shared" si="6"/>
        <v>Добавить группу потребителей</v>
      </c>
      <c r="FY386" s="1550"/>
      <c r="FZ386" s="1550"/>
      <c r="GA386" s="1561">
        <v>0</v>
      </c>
    </row>
    <row r="387" spans="1:183" s="1747" customFormat="1" ht="21" customHeight="1">
      <c r="A387" s="1289"/>
      <c r="B387" s="1289"/>
      <c r="C387" s="1289"/>
      <c r="D387" s="1289"/>
      <c r="E387" s="24089"/>
      <c r="F387" s="24089" t="s">
        <v>105</v>
      </c>
      <c r="G387" s="24089"/>
      <c r="H387" s="24088"/>
      <c r="I387" s="1289"/>
      <c r="J387" s="1289"/>
      <c r="K387" s="1289"/>
      <c r="L387" s="1295"/>
      <c r="M387" s="1291"/>
      <c r="N387" s="1291"/>
      <c r="O387" s="1292"/>
      <c r="P387" s="1720"/>
      <c r="Q387" s="311"/>
      <c r="R387" s="291"/>
      <c r="S387" s="5226"/>
      <c r="T387" s="5227" t="s">
        <v>714</v>
      </c>
      <c r="U387" s="5228"/>
      <c r="V387" s="5229"/>
      <c r="W387" s="5230"/>
      <c r="X387" s="5231"/>
      <c r="Y387" s="5232"/>
      <c r="Z387" s="5233"/>
      <c r="AA387" s="5234"/>
      <c r="AB387" s="5235"/>
      <c r="AC387" s="5236"/>
      <c r="AD387" s="5237"/>
      <c r="AE387" s="5238"/>
      <c r="AF387" s="5239"/>
      <c r="AG387" s="5240"/>
      <c r="AH387" s="5241"/>
      <c r="AI387" s="5242"/>
      <c r="AJ387" s="5243"/>
      <c r="AK387" s="5244"/>
      <c r="AL387" s="5245"/>
      <c r="AM387" s="5246"/>
      <c r="AN387" s="5247"/>
      <c r="AO387" s="5248"/>
      <c r="AP387" s="5249"/>
      <c r="AQ387" s="5250"/>
      <c r="AR387" s="7841"/>
      <c r="AS387" s="7842"/>
      <c r="AT387" s="7843"/>
      <c r="AU387" s="7844"/>
      <c r="AV387" s="7845"/>
      <c r="AW387" s="7846"/>
      <c r="AX387" s="7847"/>
      <c r="AY387" s="7848"/>
      <c r="AZ387" s="7849"/>
      <c r="BA387" s="7850"/>
      <c r="BB387" s="7851"/>
      <c r="BC387" s="7852"/>
      <c r="BD387" s="7853"/>
      <c r="BE387" s="18597"/>
      <c r="BF387" s="18598"/>
      <c r="BG387" s="21925"/>
      <c r="BH387" s="18599"/>
      <c r="BI387" s="18600"/>
      <c r="BJ387" s="18601"/>
      <c r="BK387" s="18602"/>
      <c r="BL387" s="18603"/>
      <c r="BM387" s="18604"/>
      <c r="BN387" s="5251"/>
      <c r="BO387" s="5252"/>
      <c r="BP387" s="18605"/>
      <c r="BQ387" s="18606"/>
      <c r="BR387" s="5253"/>
      <c r="BS387" s="18607"/>
      <c r="BT387" s="18608"/>
      <c r="BU387" s="18609"/>
      <c r="BV387" s="18610"/>
      <c r="BW387" s="18611"/>
      <c r="BX387" s="18612"/>
      <c r="BY387" s="18613"/>
      <c r="BZ387" s="18614"/>
      <c r="CA387" s="18615"/>
      <c r="CB387" s="18616"/>
      <c r="CC387" s="18617"/>
      <c r="CD387" s="18618"/>
      <c r="CE387" s="18619"/>
      <c r="CF387" s="18620"/>
      <c r="CG387" s="18621"/>
      <c r="CH387" s="18622"/>
      <c r="CI387" s="18623"/>
      <c r="CJ387" s="18624"/>
      <c r="CK387" s="18625"/>
      <c r="CL387" s="18626"/>
      <c r="CM387" s="18627"/>
      <c r="CN387" s="18628"/>
      <c r="CO387" s="18629"/>
      <c r="CP387" s="18630"/>
      <c r="CQ387" s="18631"/>
      <c r="CR387" s="18632"/>
      <c r="CS387" s="18633"/>
      <c r="CT387" s="18634"/>
      <c r="CU387" s="18635"/>
      <c r="CV387" s="18636"/>
      <c r="CW387" s="18637"/>
      <c r="CX387" s="18638"/>
      <c r="CY387" s="18639"/>
      <c r="CZ387" s="18640"/>
      <c r="DA387" s="18641"/>
      <c r="DB387" s="18642"/>
      <c r="DC387" s="18643"/>
      <c r="DD387" s="18644"/>
      <c r="DE387" s="18645"/>
      <c r="DF387" s="18646"/>
      <c r="DG387" s="18647"/>
      <c r="DH387" s="18648"/>
      <c r="DI387" s="18649"/>
      <c r="DJ387" s="18650"/>
      <c r="DK387" s="18651"/>
      <c r="DL387" s="18652"/>
      <c r="DM387" s="18653"/>
      <c r="DN387" s="18654"/>
      <c r="DO387" s="18655"/>
      <c r="DP387" s="18656"/>
      <c r="DQ387" s="18657"/>
      <c r="DR387" s="18658"/>
      <c r="DS387" s="18659"/>
      <c r="DT387" s="18660"/>
      <c r="DU387" s="18661"/>
      <c r="DV387" s="18662"/>
      <c r="DW387" s="18663"/>
      <c r="DX387" s="18664"/>
      <c r="DY387" s="18665"/>
      <c r="DZ387" s="18666"/>
      <c r="EA387" s="18667"/>
      <c r="EB387" s="18668"/>
      <c r="EC387" s="18669"/>
      <c r="ED387" s="18670"/>
      <c r="EE387" s="18671"/>
      <c r="EF387" s="18672"/>
      <c r="EG387" s="18673"/>
      <c r="EH387" s="18674"/>
      <c r="EI387" s="18675"/>
      <c r="EJ387" s="18676"/>
      <c r="EK387" s="18677"/>
      <c r="EL387" s="18678"/>
      <c r="EM387" s="21731"/>
      <c r="EN387" s="21732"/>
      <c r="EO387" s="18679"/>
      <c r="EP387" s="18680"/>
      <c r="EQ387" s="21733"/>
      <c r="ER387" s="18681"/>
      <c r="ES387" s="18682"/>
      <c r="ET387" s="18683"/>
      <c r="EU387" s="18684"/>
      <c r="EV387" s="18685"/>
      <c r="EW387" s="18686"/>
      <c r="EX387" s="5254"/>
      <c r="EY387" s="5255"/>
      <c r="EZ387" s="18687"/>
      <c r="FA387" s="18688"/>
      <c r="FB387" s="5256"/>
      <c r="FC387" s="18689"/>
      <c r="FD387" s="18690"/>
      <c r="FE387" s="18691"/>
      <c r="FF387" s="18692"/>
      <c r="FG387" s="18693"/>
      <c r="FH387" s="5761"/>
      <c r="FI387" s="23040"/>
      <c r="FJ387" s="23041"/>
      <c r="FK387" s="23767"/>
      <c r="FL387" s="23768"/>
      <c r="FM387" s="23042"/>
      <c r="FN387" s="23769"/>
      <c r="FO387" s="23770"/>
      <c r="FP387" s="23043"/>
      <c r="FQ387" s="23044"/>
      <c r="FR387" s="23045"/>
      <c r="FS387" s="23771"/>
      <c r="FT387" s="5257"/>
      <c r="FU387" s="5258"/>
      <c r="FV387" s="1568"/>
      <c r="FW387" s="1550"/>
      <c r="FX387" s="1550" t="str">
        <f t="shared" si="6"/>
        <v>Добавить наименование признака дифференциации</v>
      </c>
      <c r="FY387" s="1550"/>
      <c r="FZ387" s="1550"/>
      <c r="GA387" s="1561">
        <v>0</v>
      </c>
    </row>
    <row r="388" spans="1:183" s="558" customFormat="1" ht="14.25" customHeight="1">
      <c r="A388" s="1269"/>
      <c r="B388" s="1269"/>
      <c r="C388" s="1269"/>
      <c r="D388" s="1269"/>
      <c r="E388" s="24089"/>
      <c r="F388" s="24088" t="s">
        <v>105</v>
      </c>
      <c r="G388" s="1269"/>
      <c r="H388" s="1269"/>
      <c r="I388" s="1269"/>
      <c r="J388" s="1269"/>
      <c r="K388" s="1269"/>
      <c r="L388" s="1471"/>
      <c r="M388" s="1247"/>
      <c r="N388" s="1247"/>
      <c r="O388" s="1568"/>
      <c r="P388" s="1242"/>
      <c r="Q388" s="1270"/>
      <c r="R388" s="1242"/>
      <c r="S388" s="1248"/>
      <c r="T388" s="1251" t="s">
        <v>370</v>
      </c>
      <c r="U388" s="1250"/>
      <c r="V388" s="1250"/>
      <c r="W388" s="1250"/>
      <c r="X388" s="1250"/>
      <c r="Y388" s="1250"/>
      <c r="Z388" s="1250"/>
      <c r="AA388" s="1250"/>
      <c r="AB388" s="1250"/>
      <c r="AC388" s="1250"/>
      <c r="AD388" s="1250"/>
      <c r="AE388" s="1250"/>
      <c r="AF388" s="1250"/>
      <c r="AG388" s="1250"/>
      <c r="AH388" s="1250"/>
      <c r="AI388" s="1250"/>
      <c r="AJ388" s="1250"/>
      <c r="AK388" s="1250"/>
      <c r="AL388" s="1250"/>
      <c r="AM388" s="1250"/>
      <c r="AN388" s="1250"/>
      <c r="AO388" s="1250"/>
      <c r="AP388" s="1250"/>
      <c r="AQ388" s="1250"/>
      <c r="AR388" s="1250"/>
      <c r="AS388" s="1250"/>
      <c r="AT388" s="1250"/>
      <c r="AU388" s="1250"/>
      <c r="AV388" s="1250"/>
      <c r="AW388" s="1250"/>
      <c r="AX388" s="1250"/>
      <c r="AY388" s="1250"/>
      <c r="AZ388" s="1250"/>
      <c r="BA388" s="1250"/>
      <c r="BB388" s="1250"/>
      <c r="BC388" s="1250"/>
      <c r="BD388" s="1250"/>
      <c r="BE388" s="1250"/>
      <c r="BF388" s="1250"/>
      <c r="BG388" s="1250"/>
      <c r="BH388" s="1250"/>
      <c r="BI388" s="1250"/>
      <c r="BJ388" s="1250"/>
      <c r="BK388" s="1250"/>
      <c r="BL388" s="1250"/>
      <c r="BM388" s="1250"/>
      <c r="BN388" s="1250"/>
      <c r="BO388" s="1250"/>
      <c r="BP388" s="1250"/>
      <c r="BQ388" s="1250"/>
      <c r="BR388" s="1250"/>
      <c r="BS388" s="1250"/>
      <c r="BT388" s="1250"/>
      <c r="BU388" s="1250"/>
      <c r="BV388" s="1250"/>
      <c r="BW388" s="1250"/>
      <c r="BX388" s="1250"/>
      <c r="BY388" s="1250"/>
      <c r="BZ388" s="1250"/>
      <c r="CA388" s="1250"/>
      <c r="CB388" s="1250"/>
      <c r="CC388" s="1250"/>
      <c r="CD388" s="1250"/>
      <c r="CE388" s="1250"/>
      <c r="CF388" s="1250"/>
      <c r="CG388" s="1250"/>
      <c r="CH388" s="1250"/>
      <c r="CI388" s="1250"/>
      <c r="CJ388" s="1250"/>
      <c r="CK388" s="1250"/>
      <c r="CL388" s="1250"/>
      <c r="CM388" s="1250"/>
      <c r="CN388" s="1250"/>
      <c r="CO388" s="1250"/>
      <c r="CP388" s="1250"/>
      <c r="CQ388" s="1250"/>
      <c r="CR388" s="1250"/>
      <c r="CS388" s="1250"/>
      <c r="CT388" s="1250"/>
      <c r="CU388" s="1250"/>
      <c r="CV388" s="1250"/>
      <c r="CW388" s="1250"/>
      <c r="CX388" s="1250"/>
      <c r="CY388" s="1250"/>
      <c r="CZ388" s="1250"/>
      <c r="DA388" s="1250"/>
      <c r="DB388" s="1250"/>
      <c r="DC388" s="1250"/>
      <c r="DD388" s="1250"/>
      <c r="DE388" s="1250"/>
      <c r="DF388" s="1250"/>
      <c r="DG388" s="1250"/>
      <c r="DH388" s="1250"/>
      <c r="DI388" s="1250"/>
      <c r="DJ388" s="1250"/>
      <c r="DK388" s="1250"/>
      <c r="DL388" s="1250"/>
      <c r="DM388" s="1250"/>
      <c r="DN388" s="1250"/>
      <c r="DO388" s="1250"/>
      <c r="DP388" s="1250"/>
      <c r="DQ388" s="1250"/>
      <c r="DR388" s="1250"/>
      <c r="DS388" s="1250"/>
      <c r="DT388" s="1250"/>
      <c r="DU388" s="1250"/>
      <c r="DV388" s="1250"/>
      <c r="DW388" s="1250"/>
      <c r="DX388" s="1250"/>
      <c r="DY388" s="1250"/>
      <c r="DZ388" s="1250"/>
      <c r="EA388" s="1250"/>
      <c r="EB388" s="1250"/>
      <c r="EC388" s="1250"/>
      <c r="ED388" s="1250"/>
      <c r="EE388" s="1250"/>
      <c r="EF388" s="1250"/>
      <c r="EG388" s="1250"/>
      <c r="EH388" s="1250"/>
      <c r="EI388" s="1250"/>
      <c r="EJ388" s="1250"/>
      <c r="EK388" s="1250"/>
      <c r="EL388" s="1250"/>
      <c r="EM388" s="1250"/>
      <c r="EN388" s="1250"/>
      <c r="EO388" s="1250"/>
      <c r="EP388" s="1250"/>
      <c r="EQ388" s="1250"/>
      <c r="ER388" s="1250"/>
      <c r="ES388" s="1250"/>
      <c r="ET388" s="1250"/>
      <c r="EU388" s="1250"/>
      <c r="EV388" s="1250"/>
      <c r="EW388" s="1250"/>
      <c r="EX388" s="1250"/>
      <c r="EY388" s="1250"/>
      <c r="EZ388" s="1250"/>
      <c r="FA388" s="1250"/>
      <c r="FB388" s="1250"/>
      <c r="FC388" s="1250"/>
      <c r="FD388" s="1250"/>
      <c r="FE388" s="1250"/>
      <c r="FF388" s="1250"/>
      <c r="FG388" s="1250"/>
      <c r="FH388" s="1250"/>
      <c r="FI388" s="1250"/>
      <c r="FJ388" s="1250"/>
      <c r="FK388" s="1250"/>
      <c r="FL388" s="1250"/>
      <c r="FM388" s="1250"/>
      <c r="FN388" s="1250"/>
      <c r="FO388" s="1250"/>
      <c r="FP388" s="1250"/>
      <c r="FQ388" s="1250"/>
      <c r="FR388" s="1250"/>
      <c r="FS388" s="1250"/>
      <c r="FT388" s="1250"/>
      <c r="FU388" s="1250"/>
      <c r="FV388" s="1568"/>
      <c r="FW388" s="1550"/>
      <c r="FX388" s="1550" t="str">
        <f t="shared" si="6"/>
        <v>Добавить централизованную систему для дифференциации</v>
      </c>
      <c r="FY388" s="1550"/>
      <c r="FZ388" s="1550"/>
      <c r="GA388" s="1568">
        <v>0</v>
      </c>
    </row>
    <row r="389" spans="1:183" s="1747" customFormat="1" ht="23.25" customHeight="1">
      <c r="A389" s="1289"/>
      <c r="B389" s="1289" t="s">
        <v>451</v>
      </c>
      <c r="C389" s="1289"/>
      <c r="D389" s="1289"/>
      <c r="E389" s="24089"/>
      <c r="F389" s="24088" t="s">
        <v>111</v>
      </c>
      <c r="G389" s="1289"/>
      <c r="H389" s="1289"/>
      <c r="I389" s="1289"/>
      <c r="J389" s="1289"/>
      <c r="K389" s="1289"/>
      <c r="L389" s="1295"/>
      <c r="M389" s="1291"/>
      <c r="N389" s="1291"/>
      <c r="O389" s="1291"/>
      <c r="P389" s="1971"/>
      <c r="Q389" s="288"/>
      <c r="R389" s="289"/>
      <c r="S389" s="1976" t="str">
        <f>INDEX(PT_DIFFERENTIATION_NUM_TER,MATCH(B389,PT_DIFFERENTIATION_TER_ID,0))</f>
        <v>1.18</v>
      </c>
      <c r="T389" s="1448" t="s">
        <v>626</v>
      </c>
      <c r="U389" s="236"/>
      <c r="V389" s="24082"/>
      <c r="W389" s="24083"/>
      <c r="X389" s="24083"/>
      <c r="Y389" s="24083"/>
      <c r="Z389" s="24083"/>
      <c r="AA389" s="24083"/>
      <c r="AB389" s="24083"/>
      <c r="AC389" s="24083"/>
      <c r="AD389" s="24083"/>
      <c r="AE389" s="24083"/>
      <c r="AF389" s="24084"/>
      <c r="AG389" s="24082" t="str">
        <f>INDEX(PT_DIFFERENTIATION_TER,MATCH(B389,PT_DIFFERENTIATION_TER_ID,0))</f>
        <v>Территория 18</v>
      </c>
      <c r="AH389" s="24083"/>
      <c r="AI389" s="24083"/>
      <c r="AJ389" s="24083"/>
      <c r="AK389" s="24083"/>
      <c r="AL389" s="24083"/>
      <c r="AM389" s="24083"/>
      <c r="AN389" s="24083"/>
      <c r="AO389" s="24083"/>
      <c r="AP389" s="24083"/>
      <c r="AQ389" s="24083"/>
      <c r="AR389" s="24173"/>
      <c r="AS389" s="24174"/>
      <c r="AT389" s="24174"/>
      <c r="AU389" s="24174"/>
      <c r="AV389" s="24174"/>
      <c r="AW389" s="24174"/>
      <c r="AX389" s="24174"/>
      <c r="AY389" s="24174"/>
      <c r="AZ389" s="24174"/>
      <c r="BA389" s="24174"/>
      <c r="BB389" s="24175"/>
      <c r="BC389" s="24173"/>
      <c r="BD389" s="24174"/>
      <c r="BE389" s="24174"/>
      <c r="BF389" s="24174"/>
      <c r="BG389" s="24174"/>
      <c r="BH389" s="24174"/>
      <c r="BI389" s="24174"/>
      <c r="BJ389" s="24174"/>
      <c r="BK389" s="24174"/>
      <c r="BL389" s="24174"/>
      <c r="BM389" s="24175"/>
      <c r="BN389" s="24082"/>
      <c r="BO389" s="24083"/>
      <c r="BP389" s="24174"/>
      <c r="BQ389" s="24174"/>
      <c r="BR389" s="24083"/>
      <c r="BS389" s="24174"/>
      <c r="BT389" s="24174"/>
      <c r="BU389" s="24174"/>
      <c r="BV389" s="24174"/>
      <c r="BW389" s="24174"/>
      <c r="BX389" s="24175"/>
      <c r="BY389" s="24173"/>
      <c r="BZ389" s="24174"/>
      <c r="CA389" s="24174"/>
      <c r="CB389" s="24174"/>
      <c r="CC389" s="24174"/>
      <c r="CD389" s="24174"/>
      <c r="CE389" s="24174"/>
      <c r="CF389" s="24174"/>
      <c r="CG389" s="24174"/>
      <c r="CH389" s="24174"/>
      <c r="CI389" s="24175"/>
      <c r="CJ389" s="24173"/>
      <c r="CK389" s="24174"/>
      <c r="CL389" s="24174"/>
      <c r="CM389" s="24174"/>
      <c r="CN389" s="24174"/>
      <c r="CO389" s="24174"/>
      <c r="CP389" s="24174"/>
      <c r="CQ389" s="24174"/>
      <c r="CR389" s="24174"/>
      <c r="CS389" s="24174"/>
      <c r="CT389" s="24175"/>
      <c r="CU389" s="24173"/>
      <c r="CV389" s="24174"/>
      <c r="CW389" s="24174"/>
      <c r="CX389" s="24174"/>
      <c r="CY389" s="24174"/>
      <c r="CZ389" s="24174"/>
      <c r="DA389" s="24174"/>
      <c r="DB389" s="24174"/>
      <c r="DC389" s="24174"/>
      <c r="DD389" s="24174"/>
      <c r="DE389" s="24175"/>
      <c r="DF389" s="24173"/>
      <c r="DG389" s="24174"/>
      <c r="DH389" s="24174"/>
      <c r="DI389" s="24174"/>
      <c r="DJ389" s="24174"/>
      <c r="DK389" s="24174"/>
      <c r="DL389" s="24174"/>
      <c r="DM389" s="24174"/>
      <c r="DN389" s="24174"/>
      <c r="DO389" s="24174"/>
      <c r="DP389" s="24175"/>
      <c r="DQ389" s="24173"/>
      <c r="DR389" s="24174"/>
      <c r="DS389" s="24174"/>
      <c r="DT389" s="24174"/>
      <c r="DU389" s="24174"/>
      <c r="DV389" s="24174"/>
      <c r="DW389" s="24174"/>
      <c r="DX389" s="24174"/>
      <c r="DY389" s="24174"/>
      <c r="DZ389" s="24174"/>
      <c r="EA389" s="24175"/>
      <c r="EB389" s="24173"/>
      <c r="EC389" s="24174"/>
      <c r="ED389" s="24174"/>
      <c r="EE389" s="24174"/>
      <c r="EF389" s="24174"/>
      <c r="EG389" s="24174"/>
      <c r="EH389" s="24174"/>
      <c r="EI389" s="24174"/>
      <c r="EJ389" s="24174"/>
      <c r="EK389" s="24174"/>
      <c r="EL389" s="24175"/>
      <c r="EM389" s="24173"/>
      <c r="EN389" s="24174"/>
      <c r="EO389" s="24174"/>
      <c r="EP389" s="24174"/>
      <c r="EQ389" s="24174"/>
      <c r="ER389" s="24174"/>
      <c r="ES389" s="24174"/>
      <c r="ET389" s="24174"/>
      <c r="EU389" s="24174"/>
      <c r="EV389" s="24174"/>
      <c r="EW389" s="24175"/>
      <c r="EX389" s="24082"/>
      <c r="EY389" s="24083"/>
      <c r="EZ389" s="24174"/>
      <c r="FA389" s="24174"/>
      <c r="FB389" s="24083"/>
      <c r="FC389" s="24174"/>
      <c r="FD389" s="24174"/>
      <c r="FE389" s="24174"/>
      <c r="FF389" s="24174"/>
      <c r="FG389" s="24174"/>
      <c r="FH389" s="24175"/>
      <c r="FI389" s="24082"/>
      <c r="FJ389" s="24083"/>
      <c r="FK389" s="24174"/>
      <c r="FL389" s="24174"/>
      <c r="FM389" s="24083"/>
      <c r="FN389" s="24174"/>
      <c r="FO389" s="24174"/>
      <c r="FP389" s="24083"/>
      <c r="FQ389" s="24083"/>
      <c r="FR389" s="24083"/>
      <c r="FS389" s="24175"/>
      <c r="FT389" s="24084"/>
      <c r="FU389" s="1184" t="s">
        <v>627</v>
      </c>
      <c r="FV389" s="1568"/>
      <c r="FW389" s="1550"/>
      <c r="FX389" s="1550" t="str">
        <f t="shared" si="6"/>
        <v>Территория действия тарифа</v>
      </c>
      <c r="FY389" s="1550"/>
      <c r="FZ389" s="1550"/>
      <c r="GA389" s="1561">
        <v>0</v>
      </c>
    </row>
    <row r="390" spans="1:183" s="1747" customFormat="1" ht="23.25" customHeight="1">
      <c r="A390" s="1289"/>
      <c r="B390" s="1289"/>
      <c r="C390" s="1289" t="s">
        <v>452</v>
      </c>
      <c r="D390" s="1289"/>
      <c r="E390" s="24089"/>
      <c r="F390" s="24089" t="s">
        <v>171</v>
      </c>
      <c r="G390" s="24088">
        <v>1</v>
      </c>
      <c r="H390" s="1289"/>
      <c r="I390" s="1289"/>
      <c r="J390" s="1289"/>
      <c r="K390" s="1289"/>
      <c r="L390" s="1295"/>
      <c r="M390" s="1291"/>
      <c r="N390" s="1291"/>
      <c r="O390" s="1291"/>
      <c r="P390" s="290"/>
      <c r="Q390" s="288"/>
      <c r="R390" s="289"/>
      <c r="S390" s="1976" t="str">
        <f>INDEX(PT_DIFFERENTIATION_NUM_CS,MATCH(C390,PT_DIFFERENTIATION_CS_ID,0))</f>
        <v>1.18.1</v>
      </c>
      <c r="T390" s="245" t="s">
        <v>756</v>
      </c>
      <c r="U390" s="236"/>
      <c r="V390" s="24082"/>
      <c r="W390" s="24083"/>
      <c r="X390" s="24083"/>
      <c r="Y390" s="24083"/>
      <c r="Z390" s="24083"/>
      <c r="AA390" s="24083"/>
      <c r="AB390" s="24083"/>
      <c r="AC390" s="24083"/>
      <c r="AD390" s="24083"/>
      <c r="AE390" s="24083"/>
      <c r="AF390" s="24084"/>
      <c r="AG390" s="24082" t="str">
        <f>INDEX(PT_DIFFERENTIATION_CS,MATCH(C390,PT_DIFFERENTIATION_CS_ID,0))</f>
        <v>дер. Богородицкое, Смоленский муниципальный округ</v>
      </c>
      <c r="AH390" s="24083"/>
      <c r="AI390" s="24083"/>
      <c r="AJ390" s="24083"/>
      <c r="AK390" s="24083"/>
      <c r="AL390" s="24083"/>
      <c r="AM390" s="24083"/>
      <c r="AN390" s="24083"/>
      <c r="AO390" s="24083"/>
      <c r="AP390" s="24083"/>
      <c r="AQ390" s="24083"/>
      <c r="AR390" s="24173"/>
      <c r="AS390" s="24174"/>
      <c r="AT390" s="24174"/>
      <c r="AU390" s="24174"/>
      <c r="AV390" s="24174"/>
      <c r="AW390" s="24174"/>
      <c r="AX390" s="24174"/>
      <c r="AY390" s="24174"/>
      <c r="AZ390" s="24174"/>
      <c r="BA390" s="24174"/>
      <c r="BB390" s="24175"/>
      <c r="BC390" s="24173"/>
      <c r="BD390" s="24174"/>
      <c r="BE390" s="24174"/>
      <c r="BF390" s="24174"/>
      <c r="BG390" s="24174"/>
      <c r="BH390" s="24174"/>
      <c r="BI390" s="24174"/>
      <c r="BJ390" s="24174"/>
      <c r="BK390" s="24174"/>
      <c r="BL390" s="24174"/>
      <c r="BM390" s="24175"/>
      <c r="BN390" s="24082"/>
      <c r="BO390" s="24083"/>
      <c r="BP390" s="24174"/>
      <c r="BQ390" s="24174"/>
      <c r="BR390" s="24083"/>
      <c r="BS390" s="24174"/>
      <c r="BT390" s="24174"/>
      <c r="BU390" s="24174"/>
      <c r="BV390" s="24174"/>
      <c r="BW390" s="24174"/>
      <c r="BX390" s="24175"/>
      <c r="BY390" s="24173"/>
      <c r="BZ390" s="24174"/>
      <c r="CA390" s="24174"/>
      <c r="CB390" s="24174"/>
      <c r="CC390" s="24174"/>
      <c r="CD390" s="24174"/>
      <c r="CE390" s="24174"/>
      <c r="CF390" s="24174"/>
      <c r="CG390" s="24174"/>
      <c r="CH390" s="24174"/>
      <c r="CI390" s="24175"/>
      <c r="CJ390" s="24173"/>
      <c r="CK390" s="24174"/>
      <c r="CL390" s="24174"/>
      <c r="CM390" s="24174"/>
      <c r="CN390" s="24174"/>
      <c r="CO390" s="24174"/>
      <c r="CP390" s="24174"/>
      <c r="CQ390" s="24174"/>
      <c r="CR390" s="24174"/>
      <c r="CS390" s="24174"/>
      <c r="CT390" s="24175"/>
      <c r="CU390" s="24173"/>
      <c r="CV390" s="24174"/>
      <c r="CW390" s="24174"/>
      <c r="CX390" s="24174"/>
      <c r="CY390" s="24174"/>
      <c r="CZ390" s="24174"/>
      <c r="DA390" s="24174"/>
      <c r="DB390" s="24174"/>
      <c r="DC390" s="24174"/>
      <c r="DD390" s="24174"/>
      <c r="DE390" s="24175"/>
      <c r="DF390" s="24173"/>
      <c r="DG390" s="24174"/>
      <c r="DH390" s="24174"/>
      <c r="DI390" s="24174"/>
      <c r="DJ390" s="24174"/>
      <c r="DK390" s="24174"/>
      <c r="DL390" s="24174"/>
      <c r="DM390" s="24174"/>
      <c r="DN390" s="24174"/>
      <c r="DO390" s="24174"/>
      <c r="DP390" s="24175"/>
      <c r="DQ390" s="24173"/>
      <c r="DR390" s="24174"/>
      <c r="DS390" s="24174"/>
      <c r="DT390" s="24174"/>
      <c r="DU390" s="24174"/>
      <c r="DV390" s="24174"/>
      <c r="DW390" s="24174"/>
      <c r="DX390" s="24174"/>
      <c r="DY390" s="24174"/>
      <c r="DZ390" s="24174"/>
      <c r="EA390" s="24175"/>
      <c r="EB390" s="24173"/>
      <c r="EC390" s="24174"/>
      <c r="ED390" s="24174"/>
      <c r="EE390" s="24174"/>
      <c r="EF390" s="24174"/>
      <c r="EG390" s="24174"/>
      <c r="EH390" s="24174"/>
      <c r="EI390" s="24174"/>
      <c r="EJ390" s="24174"/>
      <c r="EK390" s="24174"/>
      <c r="EL390" s="24175"/>
      <c r="EM390" s="24173"/>
      <c r="EN390" s="24174"/>
      <c r="EO390" s="24174"/>
      <c r="EP390" s="24174"/>
      <c r="EQ390" s="24174"/>
      <c r="ER390" s="24174"/>
      <c r="ES390" s="24174"/>
      <c r="ET390" s="24174"/>
      <c r="EU390" s="24174"/>
      <c r="EV390" s="24174"/>
      <c r="EW390" s="24175"/>
      <c r="EX390" s="24082"/>
      <c r="EY390" s="24083"/>
      <c r="EZ390" s="24174"/>
      <c r="FA390" s="24174"/>
      <c r="FB390" s="24083"/>
      <c r="FC390" s="24174"/>
      <c r="FD390" s="24174"/>
      <c r="FE390" s="24174"/>
      <c r="FF390" s="24174"/>
      <c r="FG390" s="24174"/>
      <c r="FH390" s="24175"/>
      <c r="FI390" s="24082"/>
      <c r="FJ390" s="24083"/>
      <c r="FK390" s="24174"/>
      <c r="FL390" s="24174"/>
      <c r="FM390" s="24083"/>
      <c r="FN390" s="24174"/>
      <c r="FO390" s="24174"/>
      <c r="FP390" s="24083"/>
      <c r="FQ390" s="24083"/>
      <c r="FR390" s="24083"/>
      <c r="FS390" s="24175"/>
      <c r="FT390" s="24084"/>
      <c r="FU390" s="1184" t="s">
        <v>757</v>
      </c>
      <c r="FV390" s="1568"/>
      <c r="FW390" s="1550"/>
      <c r="FX390" s="1550" t="str">
        <f t="shared" si="6"/>
        <v>Наименование централизованной системы горячего водоснабжения</v>
      </c>
      <c r="FY390" s="1550"/>
      <c r="FZ390" s="1550"/>
      <c r="GA390" s="1561">
        <v>0</v>
      </c>
    </row>
    <row r="391" spans="1:183" s="1747" customFormat="1" ht="23.25" customHeight="1">
      <c r="A391" s="1289"/>
      <c r="B391" s="1289"/>
      <c r="C391" s="1289"/>
      <c r="D391" s="1289"/>
      <c r="E391" s="24089"/>
      <c r="F391" s="24089" t="s">
        <v>171</v>
      </c>
      <c r="G391" s="24089"/>
      <c r="H391" s="24089"/>
      <c r="I391" s="24090" t="str">
        <f>S390&amp;".1"</f>
        <v>1.18.1.1</v>
      </c>
      <c r="J391" s="1289"/>
      <c r="K391" s="1289"/>
      <c r="L391" s="1295"/>
      <c r="M391" s="1674"/>
      <c r="N391" s="1674"/>
      <c r="O391" s="1674"/>
      <c r="P391" s="24092">
        <v>1</v>
      </c>
      <c r="Q391" s="1978"/>
      <c r="R391" s="292"/>
      <c r="S391" s="1976" t="str">
        <f>$I391</f>
        <v>1.18.1.1</v>
      </c>
      <c r="T391" s="221" t="s">
        <v>709</v>
      </c>
      <c r="U391" s="236"/>
      <c r="V391" s="24156"/>
      <c r="W391" s="24157"/>
      <c r="X391" s="24157"/>
      <c r="Y391" s="24157"/>
      <c r="Z391" s="24157"/>
      <c r="AA391" s="24157"/>
      <c r="AB391" s="24157"/>
      <c r="AC391" s="24157"/>
      <c r="AD391" s="24157"/>
      <c r="AE391" s="24157"/>
      <c r="AF391" s="24158"/>
      <c r="AG391" s="24159"/>
      <c r="AH391" s="24160"/>
      <c r="AI391" s="24160"/>
      <c r="AJ391" s="24160"/>
      <c r="AK391" s="24160"/>
      <c r="AL391" s="24160"/>
      <c r="AM391" s="24160"/>
      <c r="AN391" s="24160"/>
      <c r="AO391" s="24160"/>
      <c r="AP391" s="24160"/>
      <c r="AQ391" s="24160"/>
      <c r="AR391" s="24176"/>
      <c r="AS391" s="24177"/>
      <c r="AT391" s="24177"/>
      <c r="AU391" s="24177"/>
      <c r="AV391" s="24177"/>
      <c r="AW391" s="24177"/>
      <c r="AX391" s="24177"/>
      <c r="AY391" s="24177"/>
      <c r="AZ391" s="24177"/>
      <c r="BA391" s="24177"/>
      <c r="BB391" s="24178"/>
      <c r="BC391" s="24176"/>
      <c r="BD391" s="24177"/>
      <c r="BE391" s="24177"/>
      <c r="BF391" s="24177"/>
      <c r="BG391" s="24177"/>
      <c r="BH391" s="24177"/>
      <c r="BI391" s="24177"/>
      <c r="BJ391" s="24177"/>
      <c r="BK391" s="24177"/>
      <c r="BL391" s="24177"/>
      <c r="BM391" s="24178"/>
      <c r="BN391" s="24156"/>
      <c r="BO391" s="24157"/>
      <c r="BP391" s="24177"/>
      <c r="BQ391" s="24177"/>
      <c r="BR391" s="24157"/>
      <c r="BS391" s="24177"/>
      <c r="BT391" s="24177"/>
      <c r="BU391" s="24177"/>
      <c r="BV391" s="24177"/>
      <c r="BW391" s="24177"/>
      <c r="BX391" s="24178"/>
      <c r="BY391" s="24176"/>
      <c r="BZ391" s="24177"/>
      <c r="CA391" s="24177"/>
      <c r="CB391" s="24177"/>
      <c r="CC391" s="24177"/>
      <c r="CD391" s="24177"/>
      <c r="CE391" s="24177"/>
      <c r="CF391" s="24177"/>
      <c r="CG391" s="24177"/>
      <c r="CH391" s="24177"/>
      <c r="CI391" s="24178"/>
      <c r="CJ391" s="24176"/>
      <c r="CK391" s="24177"/>
      <c r="CL391" s="24177"/>
      <c r="CM391" s="24177"/>
      <c r="CN391" s="24177"/>
      <c r="CO391" s="24177"/>
      <c r="CP391" s="24177"/>
      <c r="CQ391" s="24177"/>
      <c r="CR391" s="24177"/>
      <c r="CS391" s="24177"/>
      <c r="CT391" s="24178"/>
      <c r="CU391" s="24176"/>
      <c r="CV391" s="24177"/>
      <c r="CW391" s="24177"/>
      <c r="CX391" s="24177"/>
      <c r="CY391" s="24177"/>
      <c r="CZ391" s="24177"/>
      <c r="DA391" s="24177"/>
      <c r="DB391" s="24177"/>
      <c r="DC391" s="24177"/>
      <c r="DD391" s="24177"/>
      <c r="DE391" s="24178"/>
      <c r="DF391" s="24176"/>
      <c r="DG391" s="24177"/>
      <c r="DH391" s="24177"/>
      <c r="DI391" s="24177"/>
      <c r="DJ391" s="24177"/>
      <c r="DK391" s="24177"/>
      <c r="DL391" s="24177"/>
      <c r="DM391" s="24177"/>
      <c r="DN391" s="24177"/>
      <c r="DO391" s="24177"/>
      <c r="DP391" s="24178"/>
      <c r="DQ391" s="24176"/>
      <c r="DR391" s="24177"/>
      <c r="DS391" s="24177"/>
      <c r="DT391" s="24177"/>
      <c r="DU391" s="24177"/>
      <c r="DV391" s="24177"/>
      <c r="DW391" s="24177"/>
      <c r="DX391" s="24177"/>
      <c r="DY391" s="24177"/>
      <c r="DZ391" s="24177"/>
      <c r="EA391" s="24178"/>
      <c r="EB391" s="24176"/>
      <c r="EC391" s="24177"/>
      <c r="ED391" s="24177"/>
      <c r="EE391" s="24177"/>
      <c r="EF391" s="24177"/>
      <c r="EG391" s="24177"/>
      <c r="EH391" s="24177"/>
      <c r="EI391" s="24177"/>
      <c r="EJ391" s="24177"/>
      <c r="EK391" s="24177"/>
      <c r="EL391" s="24178"/>
      <c r="EM391" s="24176"/>
      <c r="EN391" s="24177"/>
      <c r="EO391" s="24177"/>
      <c r="EP391" s="24177"/>
      <c r="EQ391" s="24177"/>
      <c r="ER391" s="24177"/>
      <c r="ES391" s="24177"/>
      <c r="ET391" s="24177"/>
      <c r="EU391" s="24177"/>
      <c r="EV391" s="24177"/>
      <c r="EW391" s="24178"/>
      <c r="EX391" s="24156"/>
      <c r="EY391" s="24157"/>
      <c r="EZ391" s="24177"/>
      <c r="FA391" s="24177"/>
      <c r="FB391" s="24157"/>
      <c r="FC391" s="24177"/>
      <c r="FD391" s="24177"/>
      <c r="FE391" s="24177"/>
      <c r="FF391" s="24177"/>
      <c r="FG391" s="24177"/>
      <c r="FH391" s="24178"/>
      <c r="FI391" s="24156"/>
      <c r="FJ391" s="24157"/>
      <c r="FK391" s="24177"/>
      <c r="FL391" s="24177"/>
      <c r="FM391" s="24157"/>
      <c r="FN391" s="24177"/>
      <c r="FO391" s="24177"/>
      <c r="FP391" s="24157"/>
      <c r="FQ391" s="24157"/>
      <c r="FR391" s="24157"/>
      <c r="FS391" s="24178"/>
      <c r="FT391" s="24161"/>
      <c r="FU391" s="1184" t="s">
        <v>710</v>
      </c>
      <c r="FV391" s="1568"/>
      <c r="FW391" s="1550"/>
      <c r="FX391" s="1550" t="str">
        <f t="shared" si="6"/>
        <v>Наименование признака дифференциации</v>
      </c>
      <c r="FY391" s="1550"/>
      <c r="FZ391" s="1550"/>
      <c r="GA391" s="1561">
        <v>0</v>
      </c>
    </row>
    <row r="392" spans="1:183" s="1747" customFormat="1" ht="23.25" customHeight="1">
      <c r="A392" s="1289"/>
      <c r="B392" s="1289"/>
      <c r="C392" s="1289"/>
      <c r="D392" s="1289"/>
      <c r="E392" s="24089"/>
      <c r="F392" s="24089" t="s">
        <v>171</v>
      </c>
      <c r="G392" s="24089"/>
      <c r="H392" s="24089"/>
      <c r="I392" s="24091"/>
      <c r="J392" s="24090" t="str">
        <f>I391&amp;".1"</f>
        <v>1.18.1.1.1</v>
      </c>
      <c r="K392" s="1289"/>
      <c r="L392" s="1295" t="s">
        <v>635</v>
      </c>
      <c r="M392" s="1674"/>
      <c r="N392" s="1674"/>
      <c r="O392" s="1674"/>
      <c r="P392" s="24092"/>
      <c r="Q392" s="24092">
        <v>1</v>
      </c>
      <c r="R392" s="293"/>
      <c r="S392" s="1976" t="str">
        <f>$J392</f>
        <v>1.18.1.1.1</v>
      </c>
      <c r="T392" s="222" t="s">
        <v>636</v>
      </c>
      <c r="U392" s="236"/>
      <c r="V392" s="24076"/>
      <c r="W392" s="24077"/>
      <c r="X392" s="24077"/>
      <c r="Y392" s="24077"/>
      <c r="Z392" s="24077"/>
      <c r="AA392" s="24077"/>
      <c r="AB392" s="24077"/>
      <c r="AC392" s="24077"/>
      <c r="AD392" s="24077"/>
      <c r="AE392" s="24077"/>
      <c r="AF392" s="24078"/>
      <c r="AG392" s="24076" t="s">
        <v>769</v>
      </c>
      <c r="AH392" s="24077"/>
      <c r="AI392" s="24077"/>
      <c r="AJ392" s="24077"/>
      <c r="AK392" s="24077"/>
      <c r="AL392" s="24077"/>
      <c r="AM392" s="24077"/>
      <c r="AN392" s="24077"/>
      <c r="AO392" s="24077"/>
      <c r="AP392" s="24077"/>
      <c r="AQ392" s="24077"/>
      <c r="AR392" s="24179"/>
      <c r="AS392" s="24180"/>
      <c r="AT392" s="24180"/>
      <c r="AU392" s="24180"/>
      <c r="AV392" s="24180"/>
      <c r="AW392" s="24180"/>
      <c r="AX392" s="24180"/>
      <c r="AY392" s="24180"/>
      <c r="AZ392" s="24180"/>
      <c r="BA392" s="24180"/>
      <c r="BB392" s="24181"/>
      <c r="BC392" s="24179"/>
      <c r="BD392" s="24180"/>
      <c r="BE392" s="24180"/>
      <c r="BF392" s="24180"/>
      <c r="BG392" s="24180"/>
      <c r="BH392" s="24180"/>
      <c r="BI392" s="24180"/>
      <c r="BJ392" s="24180"/>
      <c r="BK392" s="24180"/>
      <c r="BL392" s="24180"/>
      <c r="BM392" s="24181"/>
      <c r="BN392" s="24076"/>
      <c r="BO392" s="24077"/>
      <c r="BP392" s="24180"/>
      <c r="BQ392" s="24180"/>
      <c r="BR392" s="24077"/>
      <c r="BS392" s="24180"/>
      <c r="BT392" s="24180"/>
      <c r="BU392" s="24180"/>
      <c r="BV392" s="24180"/>
      <c r="BW392" s="24180"/>
      <c r="BX392" s="24181"/>
      <c r="BY392" s="24179"/>
      <c r="BZ392" s="24180"/>
      <c r="CA392" s="24180"/>
      <c r="CB392" s="24180"/>
      <c r="CC392" s="24180"/>
      <c r="CD392" s="24180"/>
      <c r="CE392" s="24180"/>
      <c r="CF392" s="24180"/>
      <c r="CG392" s="24180"/>
      <c r="CH392" s="24180"/>
      <c r="CI392" s="24181"/>
      <c r="CJ392" s="24179"/>
      <c r="CK392" s="24180"/>
      <c r="CL392" s="24180"/>
      <c r="CM392" s="24180"/>
      <c r="CN392" s="24180"/>
      <c r="CO392" s="24180"/>
      <c r="CP392" s="24180"/>
      <c r="CQ392" s="24180"/>
      <c r="CR392" s="24180"/>
      <c r="CS392" s="24180"/>
      <c r="CT392" s="24181"/>
      <c r="CU392" s="24179"/>
      <c r="CV392" s="24180"/>
      <c r="CW392" s="24180"/>
      <c r="CX392" s="24180"/>
      <c r="CY392" s="24180"/>
      <c r="CZ392" s="24180"/>
      <c r="DA392" s="24180"/>
      <c r="DB392" s="24180"/>
      <c r="DC392" s="24180"/>
      <c r="DD392" s="24180"/>
      <c r="DE392" s="24181"/>
      <c r="DF392" s="24179"/>
      <c r="DG392" s="24180"/>
      <c r="DH392" s="24180"/>
      <c r="DI392" s="24180"/>
      <c r="DJ392" s="24180"/>
      <c r="DK392" s="24180"/>
      <c r="DL392" s="24180"/>
      <c r="DM392" s="24180"/>
      <c r="DN392" s="24180"/>
      <c r="DO392" s="24180"/>
      <c r="DP392" s="24181"/>
      <c r="DQ392" s="24179"/>
      <c r="DR392" s="24180"/>
      <c r="DS392" s="24180"/>
      <c r="DT392" s="24180"/>
      <c r="DU392" s="24180"/>
      <c r="DV392" s="24180"/>
      <c r="DW392" s="24180"/>
      <c r="DX392" s="24180"/>
      <c r="DY392" s="24180"/>
      <c r="DZ392" s="24180"/>
      <c r="EA392" s="24181"/>
      <c r="EB392" s="24179"/>
      <c r="EC392" s="24180"/>
      <c r="ED392" s="24180"/>
      <c r="EE392" s="24180"/>
      <c r="EF392" s="24180"/>
      <c r="EG392" s="24180"/>
      <c r="EH392" s="24180"/>
      <c r="EI392" s="24180"/>
      <c r="EJ392" s="24180"/>
      <c r="EK392" s="24180"/>
      <c r="EL392" s="24181"/>
      <c r="EM392" s="24179"/>
      <c r="EN392" s="24180"/>
      <c r="EO392" s="24180"/>
      <c r="EP392" s="24180"/>
      <c r="EQ392" s="24180"/>
      <c r="ER392" s="24180"/>
      <c r="ES392" s="24180"/>
      <c r="ET392" s="24180"/>
      <c r="EU392" s="24180"/>
      <c r="EV392" s="24180"/>
      <c r="EW392" s="24181"/>
      <c r="EX392" s="24076"/>
      <c r="EY392" s="24077"/>
      <c r="EZ392" s="24180"/>
      <c r="FA392" s="24180"/>
      <c r="FB392" s="24077"/>
      <c r="FC392" s="24180"/>
      <c r="FD392" s="24180"/>
      <c r="FE392" s="24180"/>
      <c r="FF392" s="24180"/>
      <c r="FG392" s="24180"/>
      <c r="FH392" s="24181"/>
      <c r="FI392" s="24076"/>
      <c r="FJ392" s="24077"/>
      <c r="FK392" s="24180"/>
      <c r="FL392" s="24180"/>
      <c r="FM392" s="24077"/>
      <c r="FN392" s="24180"/>
      <c r="FO392" s="24180"/>
      <c r="FP392" s="24077"/>
      <c r="FQ392" s="24077"/>
      <c r="FR392" s="24077"/>
      <c r="FS392" s="24181"/>
      <c r="FT392" s="24078"/>
      <c r="FU392" s="1233" t="s">
        <v>711</v>
      </c>
      <c r="FV392" s="1568"/>
      <c r="FW392" s="1550"/>
      <c r="FX392" s="1550" t="str">
        <f t="shared" si="6"/>
        <v>Группа потребителей</v>
      </c>
      <c r="FY392" s="1550"/>
      <c r="FZ392" s="1550"/>
      <c r="GA392" s="1561">
        <v>0</v>
      </c>
    </row>
    <row r="393" spans="1:183" s="1747" customFormat="1" ht="23.25" customHeight="1">
      <c r="A393" s="1289"/>
      <c r="B393" s="1289"/>
      <c r="C393" s="1289"/>
      <c r="D393" s="1289"/>
      <c r="E393" s="24089"/>
      <c r="F393" s="24089" t="s">
        <v>171</v>
      </c>
      <c r="G393" s="24089"/>
      <c r="H393" s="24089"/>
      <c r="I393" s="24091"/>
      <c r="J393" s="24091"/>
      <c r="K393" s="24090" t="str">
        <f>J392&amp;".1"</f>
        <v>1.18.1.1.1.1</v>
      </c>
      <c r="L393" s="1295"/>
      <c r="M393" s="1674"/>
      <c r="N393" s="1674"/>
      <c r="O393" s="1674"/>
      <c r="P393" s="24092"/>
      <c r="Q393" s="24092"/>
      <c r="R393" s="293">
        <v>1</v>
      </c>
      <c r="S393" s="1976" t="str">
        <f>$K393</f>
        <v>1.18.1.1.1.1</v>
      </c>
      <c r="T393" s="1363"/>
      <c r="U393" s="236"/>
      <c r="V393" s="687"/>
      <c r="W393" s="687"/>
      <c r="X393" s="687"/>
      <c r="Y393" s="687"/>
      <c r="Z393" s="687"/>
      <c r="AA393" s="687"/>
      <c r="AB393" s="687"/>
      <c r="AC393" s="24093"/>
      <c r="AD393" s="23957" t="s">
        <v>59</v>
      </c>
      <c r="AE393" s="24095"/>
      <c r="AF393" s="23957" t="s">
        <v>59</v>
      </c>
      <c r="AG393" s="687">
        <v>258.95999999999998</v>
      </c>
      <c r="AH393" s="687">
        <v>61.73</v>
      </c>
      <c r="AI393" s="687"/>
      <c r="AJ393" s="687"/>
      <c r="AK393" s="687">
        <v>3027.62</v>
      </c>
      <c r="AL393" s="687"/>
      <c r="AM393" s="687"/>
      <c r="AN393" s="24093" t="s">
        <v>9</v>
      </c>
      <c r="AO393" s="23957" t="s">
        <v>59</v>
      </c>
      <c r="AP393" s="24095" t="s">
        <v>770</v>
      </c>
      <c r="AQ393" s="23957" t="s">
        <v>59</v>
      </c>
      <c r="AR393" s="687">
        <v>289.08</v>
      </c>
      <c r="AS393" s="687">
        <v>68.77</v>
      </c>
      <c r="AT393" s="687"/>
      <c r="AU393" s="687"/>
      <c r="AV393" s="687">
        <v>3381.85</v>
      </c>
      <c r="AW393" s="687"/>
      <c r="AX393" s="687"/>
      <c r="AY393" s="24093" t="s">
        <v>772</v>
      </c>
      <c r="AZ393" s="23957" t="s">
        <v>59</v>
      </c>
      <c r="BA393" s="24093" t="s">
        <v>773</v>
      </c>
      <c r="BB393" s="23957" t="s">
        <v>59</v>
      </c>
      <c r="BC393" s="687">
        <v>289.08</v>
      </c>
      <c r="BD393" s="687">
        <v>68.77</v>
      </c>
      <c r="BE393" s="687"/>
      <c r="BF393" s="687"/>
      <c r="BG393" s="687">
        <v>3381.85</v>
      </c>
      <c r="BH393" s="687"/>
      <c r="BI393" s="687"/>
      <c r="BJ393" s="24093" t="s">
        <v>774</v>
      </c>
      <c r="BK393" s="23957" t="s">
        <v>59</v>
      </c>
      <c r="BL393" s="24093" t="s">
        <v>775</v>
      </c>
      <c r="BM393" s="23957" t="s">
        <v>59</v>
      </c>
      <c r="BN393" s="687">
        <v>323.48</v>
      </c>
      <c r="BO393" s="687">
        <v>76.95</v>
      </c>
      <c r="BP393" s="687"/>
      <c r="BQ393" s="687"/>
      <c r="BR393" s="687">
        <v>3784.28</v>
      </c>
      <c r="BS393" s="687"/>
      <c r="BT393" s="687"/>
      <c r="BU393" s="24093" t="s">
        <v>776</v>
      </c>
      <c r="BV393" s="23957" t="s">
        <v>59</v>
      </c>
      <c r="BW393" s="24093" t="s">
        <v>777</v>
      </c>
      <c r="BX393" s="23957" t="s">
        <v>59</v>
      </c>
      <c r="BY393" s="687">
        <v>332.49</v>
      </c>
      <c r="BZ393" s="687">
        <v>85.96</v>
      </c>
      <c r="CA393" s="687"/>
      <c r="CB393" s="687"/>
      <c r="CC393" s="687">
        <v>3784.28</v>
      </c>
      <c r="CD393" s="687"/>
      <c r="CE393" s="687"/>
      <c r="CF393" s="24093" t="s">
        <v>778</v>
      </c>
      <c r="CG393" s="23957" t="s">
        <v>59</v>
      </c>
      <c r="CH393" s="24185">
        <v>46173</v>
      </c>
      <c r="CI393" s="23957" t="s">
        <v>59</v>
      </c>
      <c r="CJ393" s="687">
        <f>BY393</f>
        <v>332.49</v>
      </c>
      <c r="CK393" s="687">
        <f>BZ393</f>
        <v>85.96</v>
      </c>
      <c r="CL393" s="687"/>
      <c r="CM393" s="687"/>
      <c r="CN393" s="687">
        <f>CC393</f>
        <v>3784.28</v>
      </c>
      <c r="CO393" s="687"/>
      <c r="CP393" s="687"/>
      <c r="CQ393" s="24185">
        <v>46174</v>
      </c>
      <c r="CR393" s="23957" t="s">
        <v>59</v>
      </c>
      <c r="CS393" s="24185">
        <v>46295</v>
      </c>
      <c r="CT393" s="23957" t="s">
        <v>59</v>
      </c>
      <c r="CU393" s="687">
        <v>369.42</v>
      </c>
      <c r="CV393" s="687">
        <v>96.27</v>
      </c>
      <c r="CW393" s="687"/>
      <c r="CX393" s="687"/>
      <c r="CY393" s="687">
        <v>4193.01</v>
      </c>
      <c r="CZ393" s="687"/>
      <c r="DA393" s="687"/>
      <c r="DB393" s="24185">
        <v>46296</v>
      </c>
      <c r="DC393" s="23957" t="s">
        <v>59</v>
      </c>
      <c r="DD393" s="24185">
        <v>46387</v>
      </c>
      <c r="DE393" s="23957" t="s">
        <v>59</v>
      </c>
      <c r="DF393" s="687">
        <v>367.54</v>
      </c>
      <c r="DG393" s="687">
        <v>94.39</v>
      </c>
      <c r="DH393" s="687"/>
      <c r="DI393" s="687"/>
      <c r="DJ393" s="687">
        <f>CY393</f>
        <v>4193.01</v>
      </c>
      <c r="DK393" s="687"/>
      <c r="DL393" s="687"/>
      <c r="DM393" s="24185">
        <v>46388</v>
      </c>
      <c r="DN393" s="23957" t="s">
        <v>59</v>
      </c>
      <c r="DO393" s="24185">
        <v>46568</v>
      </c>
      <c r="DP393" s="23957" t="s">
        <v>59</v>
      </c>
      <c r="DQ393" s="687">
        <v>391.31</v>
      </c>
      <c r="DR393" s="687">
        <f>DG393</f>
        <v>94.39</v>
      </c>
      <c r="DS393" s="687"/>
      <c r="DT393" s="687"/>
      <c r="DU393" s="687">
        <v>4557.8100000000004</v>
      </c>
      <c r="DV393" s="687"/>
      <c r="DW393" s="687"/>
      <c r="DX393" s="24185">
        <v>46569</v>
      </c>
      <c r="DY393" s="23957" t="s">
        <v>59</v>
      </c>
      <c r="DZ393" s="24185">
        <v>46752</v>
      </c>
      <c r="EA393" s="23957" t="s">
        <v>59</v>
      </c>
      <c r="EB393" s="687">
        <f>DQ393</f>
        <v>391.31</v>
      </c>
      <c r="EC393" s="687">
        <f>DR393</f>
        <v>94.39</v>
      </c>
      <c r="ED393" s="687"/>
      <c r="EE393" s="687"/>
      <c r="EF393" s="687">
        <f>DU393</f>
        <v>4557.8100000000004</v>
      </c>
      <c r="EG393" s="687"/>
      <c r="EH393" s="687"/>
      <c r="EI393" s="24185">
        <v>46753</v>
      </c>
      <c r="EJ393" s="23957" t="s">
        <v>59</v>
      </c>
      <c r="EK393" s="24185">
        <v>46934</v>
      </c>
      <c r="EL393" s="23957" t="s">
        <v>59</v>
      </c>
      <c r="EM393" s="687">
        <v>418.37</v>
      </c>
      <c r="EN393" s="687">
        <v>101.25</v>
      </c>
      <c r="EO393" s="687"/>
      <c r="EP393" s="687"/>
      <c r="EQ393" s="687">
        <v>4867.93</v>
      </c>
      <c r="ER393" s="687"/>
      <c r="ES393" s="687"/>
      <c r="ET393" s="24185">
        <v>46935</v>
      </c>
      <c r="EU393" s="23957" t="s">
        <v>59</v>
      </c>
      <c r="EV393" s="24207">
        <v>47118</v>
      </c>
      <c r="EW393" s="23957" t="s">
        <v>59</v>
      </c>
      <c r="EX393" s="687">
        <v>317.12</v>
      </c>
      <c r="EY393" s="687">
        <v>0</v>
      </c>
      <c r="EZ393" s="687"/>
      <c r="FA393" s="687"/>
      <c r="FB393" s="687">
        <v>4867.93</v>
      </c>
      <c r="FC393" s="687"/>
      <c r="FD393" s="687"/>
      <c r="FE393" s="24185">
        <v>47119</v>
      </c>
      <c r="FF393" s="23957" t="s">
        <v>59</v>
      </c>
      <c r="FG393" s="24207">
        <v>47299</v>
      </c>
      <c r="FH393" s="24205" t="s">
        <v>59</v>
      </c>
      <c r="FI393" s="687">
        <v>330.25</v>
      </c>
      <c r="FJ393" s="687"/>
      <c r="FK393" s="687"/>
      <c r="FL393" s="687"/>
      <c r="FM393" s="687">
        <v>5069.47</v>
      </c>
      <c r="FN393" s="687"/>
      <c r="FO393" s="687"/>
      <c r="FP393" s="24093">
        <v>47300.659004629626</v>
      </c>
      <c r="FQ393" s="23957" t="s">
        <v>59</v>
      </c>
      <c r="FR393" s="24095">
        <v>47483.659247685187</v>
      </c>
      <c r="FS393" s="23957" t="s">
        <v>59</v>
      </c>
      <c r="FT393" s="1364"/>
      <c r="FU39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93" s="1568" t="e">
        <f ca="1">STRCHECKDATE(V394:FT394)</f>
        <v>#NAME?</v>
      </c>
      <c r="FW393" s="1550"/>
      <c r="FX393" s="1550" t="str">
        <f t="shared" si="6"/>
        <v/>
      </c>
      <c r="FY393" s="1550"/>
      <c r="FZ393" s="1550"/>
      <c r="GA393" s="1561">
        <v>0</v>
      </c>
    </row>
    <row r="394" spans="1:183" s="1747" customFormat="1" ht="14.25" customHeight="1">
      <c r="A394" s="1289"/>
      <c r="B394" s="1289"/>
      <c r="C394" s="1289"/>
      <c r="D394" s="1289"/>
      <c r="E394" s="24089"/>
      <c r="F394" s="24089" t="s">
        <v>171</v>
      </c>
      <c r="G394" s="24089"/>
      <c r="H394" s="24089"/>
      <c r="I394" s="24091"/>
      <c r="J394" s="24091"/>
      <c r="K394" s="24090"/>
      <c r="L394" s="1295"/>
      <c r="M394" s="1674"/>
      <c r="N394" s="1674"/>
      <c r="O394" s="1674"/>
      <c r="P394" s="24092"/>
      <c r="Q394" s="24092"/>
      <c r="R394" s="293"/>
      <c r="S394" s="1982"/>
      <c r="T394" s="236"/>
      <c r="U394" s="236"/>
      <c r="V394" s="261"/>
      <c r="W394" s="261"/>
      <c r="X394" s="261"/>
      <c r="Y394" s="261"/>
      <c r="Z394" s="261"/>
      <c r="AA394" s="261"/>
      <c r="AB394" s="261"/>
      <c r="AC394" s="24094"/>
      <c r="AD394" s="23957"/>
      <c r="AE394" s="24096"/>
      <c r="AF394" s="23957"/>
      <c r="AG394" s="261"/>
      <c r="AH394" s="261"/>
      <c r="AI394" s="261"/>
      <c r="AJ394" s="261"/>
      <c r="AK394" s="261"/>
      <c r="AL394" s="261"/>
      <c r="AM394" s="261"/>
      <c r="AN394" s="24094"/>
      <c r="AO394" s="23957"/>
      <c r="AP394" s="24096"/>
      <c r="AQ394" s="23957"/>
      <c r="AR394" s="261"/>
      <c r="AS394" s="261"/>
      <c r="AT394" s="261"/>
      <c r="AU394" s="261"/>
      <c r="AV394" s="261"/>
      <c r="AW394" s="261"/>
      <c r="AX394" s="261"/>
      <c r="AY394" s="24094"/>
      <c r="AZ394" s="23957"/>
      <c r="BA394" s="24094"/>
      <c r="BB394" s="23957"/>
      <c r="BC394" s="261"/>
      <c r="BD394" s="261"/>
      <c r="BE394" s="261"/>
      <c r="BF394" s="261"/>
      <c r="BG394" s="261"/>
      <c r="BH394" s="261"/>
      <c r="BI394" s="261"/>
      <c r="BJ394" s="24094"/>
      <c r="BK394" s="23957"/>
      <c r="BL394" s="24094"/>
      <c r="BM394" s="23957"/>
      <c r="BN394" s="261"/>
      <c r="BO394" s="261"/>
      <c r="BP394" s="261"/>
      <c r="BQ394" s="261"/>
      <c r="BR394" s="261"/>
      <c r="BS394" s="261"/>
      <c r="BT394" s="261"/>
      <c r="BU394" s="24094"/>
      <c r="BV394" s="23957"/>
      <c r="BW394" s="24094"/>
      <c r="BX394" s="23957"/>
      <c r="BY394" s="261"/>
      <c r="BZ394" s="261"/>
      <c r="CA394" s="261"/>
      <c r="CB394" s="261"/>
      <c r="CC394" s="261"/>
      <c r="CD394" s="261"/>
      <c r="CE394" s="261"/>
      <c r="CF394" s="24094"/>
      <c r="CG394" s="23957"/>
      <c r="CH394" s="24094"/>
      <c r="CI394" s="23957"/>
      <c r="CJ394" s="261"/>
      <c r="CK394" s="261"/>
      <c r="CL394" s="261"/>
      <c r="CM394" s="261"/>
      <c r="CN394" s="261"/>
      <c r="CO394" s="261"/>
      <c r="CP394" s="261"/>
      <c r="CQ394" s="24094"/>
      <c r="CR394" s="23957"/>
      <c r="CS394" s="24094"/>
      <c r="CT394" s="23957"/>
      <c r="CU394" s="261"/>
      <c r="CV394" s="261"/>
      <c r="CW394" s="261"/>
      <c r="CX394" s="261"/>
      <c r="CY394" s="261"/>
      <c r="CZ394" s="261"/>
      <c r="DA394" s="261"/>
      <c r="DB394" s="24094"/>
      <c r="DC394" s="23957"/>
      <c r="DD394" s="24094"/>
      <c r="DE394" s="23957"/>
      <c r="DF394" s="261"/>
      <c r="DG394" s="261"/>
      <c r="DH394" s="261"/>
      <c r="DI394" s="261"/>
      <c r="DJ394" s="261"/>
      <c r="DK394" s="261"/>
      <c r="DL394" s="261"/>
      <c r="DM394" s="24094"/>
      <c r="DN394" s="23957"/>
      <c r="DO394" s="24094"/>
      <c r="DP394" s="23957"/>
      <c r="DQ394" s="261"/>
      <c r="DR394" s="261"/>
      <c r="DS394" s="261"/>
      <c r="DT394" s="261"/>
      <c r="DU394" s="261"/>
      <c r="DV394" s="261"/>
      <c r="DW394" s="261"/>
      <c r="DX394" s="24094"/>
      <c r="DY394" s="23957"/>
      <c r="DZ394" s="24094"/>
      <c r="EA394" s="23957"/>
      <c r="EB394" s="261"/>
      <c r="EC394" s="261"/>
      <c r="ED394" s="261"/>
      <c r="EE394" s="261"/>
      <c r="EF394" s="261"/>
      <c r="EG394" s="261"/>
      <c r="EH394" s="261"/>
      <c r="EI394" s="24094"/>
      <c r="EJ394" s="23957"/>
      <c r="EK394" s="24094"/>
      <c r="EL394" s="23957"/>
      <c r="EM394" s="261"/>
      <c r="EN394" s="261"/>
      <c r="EO394" s="261"/>
      <c r="EP394" s="261"/>
      <c r="EQ394" s="261"/>
      <c r="ER394" s="261"/>
      <c r="ES394" s="261"/>
      <c r="ET394" s="24094"/>
      <c r="EU394" s="23957"/>
      <c r="EV394" s="24096"/>
      <c r="EW394" s="23957"/>
      <c r="EX394" s="261"/>
      <c r="EY394" s="261"/>
      <c r="EZ394" s="261"/>
      <c r="FA394" s="261"/>
      <c r="FB394" s="261"/>
      <c r="FC394" s="261"/>
      <c r="FD394" s="261"/>
      <c r="FE394" s="24094"/>
      <c r="FF394" s="23957"/>
      <c r="FG394" s="24096"/>
      <c r="FH394" s="24205"/>
      <c r="FI394" s="261"/>
      <c r="FJ394" s="261"/>
      <c r="FK394" s="261"/>
      <c r="FL394" s="261"/>
      <c r="FM394" s="261"/>
      <c r="FN394" s="261"/>
      <c r="FO394" s="261"/>
      <c r="FP394" s="24094"/>
      <c r="FQ394" s="23957"/>
      <c r="FR394" s="24096"/>
      <c r="FS394" s="23957"/>
      <c r="FT394" s="1365"/>
      <c r="FU394" s="24162"/>
      <c r="FV394" s="1568"/>
      <c r="FW394" s="1550"/>
      <c r="FX394" s="1550" t="str">
        <f t="shared" si="6"/>
        <v/>
      </c>
      <c r="FY394" s="1550"/>
      <c r="FZ394" s="1550"/>
      <c r="GA394" s="1561">
        <v>0</v>
      </c>
    </row>
    <row r="395" spans="1:183" s="1747" customFormat="1" ht="21" customHeight="1">
      <c r="A395" s="1289"/>
      <c r="B395" s="1289"/>
      <c r="C395" s="1289"/>
      <c r="D395" s="1289"/>
      <c r="E395" s="24089"/>
      <c r="F395" s="24089" t="s">
        <v>171</v>
      </c>
      <c r="G395" s="24089"/>
      <c r="H395" s="24089"/>
      <c r="I395" s="24091"/>
      <c r="J395" s="24090"/>
      <c r="K395" s="1289"/>
      <c r="L395" s="1295"/>
      <c r="M395" s="1674"/>
      <c r="N395" s="1674"/>
      <c r="O395" s="1674"/>
      <c r="P395" s="24092"/>
      <c r="Q395" s="24092"/>
      <c r="R395" s="292"/>
      <c r="S395" s="5259"/>
      <c r="T395" s="5260" t="s">
        <v>712</v>
      </c>
      <c r="U395" s="5261"/>
      <c r="V395" s="5262"/>
      <c r="W395" s="5263"/>
      <c r="X395" s="5264"/>
      <c r="Y395" s="5265"/>
      <c r="Z395" s="5266"/>
      <c r="AA395" s="5267"/>
      <c r="AB395" s="5268"/>
      <c r="AC395" s="5269"/>
      <c r="AD395" s="5270"/>
      <c r="AE395" s="5271"/>
      <c r="AF395" s="5272"/>
      <c r="AG395" s="5273"/>
      <c r="AH395" s="5274"/>
      <c r="AI395" s="5275"/>
      <c r="AJ395" s="5276"/>
      <c r="AK395" s="5277"/>
      <c r="AL395" s="5278"/>
      <c r="AM395" s="5279"/>
      <c r="AN395" s="5280"/>
      <c r="AO395" s="5281"/>
      <c r="AP395" s="5282"/>
      <c r="AQ395" s="5283"/>
      <c r="AR395" s="7854"/>
      <c r="AS395" s="7855"/>
      <c r="AT395" s="7856"/>
      <c r="AU395" s="7857"/>
      <c r="AV395" s="7858"/>
      <c r="AW395" s="7859"/>
      <c r="AX395" s="7860"/>
      <c r="AY395" s="7861"/>
      <c r="AZ395" s="7862"/>
      <c r="BA395" s="7863"/>
      <c r="BB395" s="7864"/>
      <c r="BC395" s="7865"/>
      <c r="BD395" s="7866"/>
      <c r="BE395" s="18694"/>
      <c r="BF395" s="18695"/>
      <c r="BG395" s="21926"/>
      <c r="BH395" s="18696"/>
      <c r="BI395" s="18697"/>
      <c r="BJ395" s="18698"/>
      <c r="BK395" s="18699"/>
      <c r="BL395" s="18700"/>
      <c r="BM395" s="18701"/>
      <c r="BN395" s="5284"/>
      <c r="BO395" s="5285"/>
      <c r="BP395" s="18702"/>
      <c r="BQ395" s="18703"/>
      <c r="BR395" s="5286"/>
      <c r="BS395" s="18704"/>
      <c r="BT395" s="18705"/>
      <c r="BU395" s="18706"/>
      <c r="BV395" s="18707"/>
      <c r="BW395" s="18708"/>
      <c r="BX395" s="18709"/>
      <c r="BY395" s="18710"/>
      <c r="BZ395" s="18711"/>
      <c r="CA395" s="18712"/>
      <c r="CB395" s="18713"/>
      <c r="CC395" s="18714"/>
      <c r="CD395" s="18715"/>
      <c r="CE395" s="18716"/>
      <c r="CF395" s="18717"/>
      <c r="CG395" s="18718"/>
      <c r="CH395" s="18719"/>
      <c r="CI395" s="18720"/>
      <c r="CJ395" s="18721"/>
      <c r="CK395" s="18722"/>
      <c r="CL395" s="18723"/>
      <c r="CM395" s="18724"/>
      <c r="CN395" s="18725"/>
      <c r="CO395" s="18726"/>
      <c r="CP395" s="18727"/>
      <c r="CQ395" s="18728"/>
      <c r="CR395" s="18729"/>
      <c r="CS395" s="18730"/>
      <c r="CT395" s="18731"/>
      <c r="CU395" s="18732"/>
      <c r="CV395" s="18733"/>
      <c r="CW395" s="18734"/>
      <c r="CX395" s="18735"/>
      <c r="CY395" s="18736"/>
      <c r="CZ395" s="18737"/>
      <c r="DA395" s="18738"/>
      <c r="DB395" s="18739"/>
      <c r="DC395" s="18740"/>
      <c r="DD395" s="18741"/>
      <c r="DE395" s="18742"/>
      <c r="DF395" s="18743"/>
      <c r="DG395" s="18744"/>
      <c r="DH395" s="18745"/>
      <c r="DI395" s="18746"/>
      <c r="DJ395" s="18747"/>
      <c r="DK395" s="18748"/>
      <c r="DL395" s="18749"/>
      <c r="DM395" s="18750"/>
      <c r="DN395" s="18751"/>
      <c r="DO395" s="18752"/>
      <c r="DP395" s="18753"/>
      <c r="DQ395" s="18754"/>
      <c r="DR395" s="18755"/>
      <c r="DS395" s="18756"/>
      <c r="DT395" s="18757"/>
      <c r="DU395" s="18758"/>
      <c r="DV395" s="18759"/>
      <c r="DW395" s="18760"/>
      <c r="DX395" s="18761"/>
      <c r="DY395" s="18762"/>
      <c r="DZ395" s="18763"/>
      <c r="EA395" s="18764"/>
      <c r="EB395" s="18765"/>
      <c r="EC395" s="18766"/>
      <c r="ED395" s="18767"/>
      <c r="EE395" s="18768"/>
      <c r="EF395" s="18769"/>
      <c r="EG395" s="18770"/>
      <c r="EH395" s="18771"/>
      <c r="EI395" s="18772"/>
      <c r="EJ395" s="18773"/>
      <c r="EK395" s="18774"/>
      <c r="EL395" s="18775"/>
      <c r="EM395" s="21734"/>
      <c r="EN395" s="21735"/>
      <c r="EO395" s="18776"/>
      <c r="EP395" s="18777"/>
      <c r="EQ395" s="21736"/>
      <c r="ER395" s="18778"/>
      <c r="ES395" s="18779"/>
      <c r="ET395" s="18780"/>
      <c r="EU395" s="18781"/>
      <c r="EV395" s="18782"/>
      <c r="EW395" s="18783"/>
      <c r="EX395" s="5287"/>
      <c r="EY395" s="5288"/>
      <c r="EZ395" s="18784"/>
      <c r="FA395" s="18785"/>
      <c r="FB395" s="5289"/>
      <c r="FC395" s="18786"/>
      <c r="FD395" s="18787"/>
      <c r="FE395" s="18788"/>
      <c r="FF395" s="18789"/>
      <c r="FG395" s="18790"/>
      <c r="FH395" s="5762"/>
      <c r="FI395" s="23046"/>
      <c r="FJ395" s="23047"/>
      <c r="FK395" s="23772"/>
      <c r="FL395" s="23773"/>
      <c r="FM395" s="23048"/>
      <c r="FN395" s="23774"/>
      <c r="FO395" s="23775"/>
      <c r="FP395" s="23049"/>
      <c r="FQ395" s="23050"/>
      <c r="FR395" s="23051"/>
      <c r="FS395" s="23776"/>
      <c r="FT395" s="5290"/>
      <c r="FU395" s="1184" t="s">
        <v>713</v>
      </c>
      <c r="FV395" s="1568"/>
      <c r="FW395" s="1550"/>
      <c r="FX395" s="1550" t="str">
        <f t="shared" si="6"/>
        <v>Добавить значение признака дифференциации</v>
      </c>
      <c r="FY395" s="1550"/>
      <c r="FZ395" s="1550"/>
      <c r="GA395" s="1561">
        <v>0</v>
      </c>
    </row>
    <row r="396" spans="1:183" s="1747" customFormat="1" ht="23.25" customHeight="1">
      <c r="A396" s="1289"/>
      <c r="B396" s="1289"/>
      <c r="C396" s="1289"/>
      <c r="D396" s="1289"/>
      <c r="E396" s="24089"/>
      <c r="F396" s="24089"/>
      <c r="G396" s="24089"/>
      <c r="H396" s="24089"/>
      <c r="I396" s="24091"/>
      <c r="J396" s="24090" t="str">
        <f>I391&amp;".2"</f>
        <v>1.18.1.1.2</v>
      </c>
      <c r="K396" s="1289"/>
      <c r="L396" s="1295" t="s">
        <v>635</v>
      </c>
      <c r="M396" s="1674"/>
      <c r="N396" s="1674"/>
      <c r="O396" s="1674"/>
      <c r="P396" s="24092"/>
      <c r="Q396" s="24206" t="s">
        <v>96</v>
      </c>
      <c r="R396" s="293"/>
      <c r="S396" s="1976" t="str">
        <f>$J396</f>
        <v>1.18.1.1.2</v>
      </c>
      <c r="T396" s="222" t="s">
        <v>636</v>
      </c>
      <c r="U396" s="236"/>
      <c r="V396" s="24076"/>
      <c r="W396" s="24077"/>
      <c r="X396" s="24077"/>
      <c r="Y396" s="24077"/>
      <c r="Z396" s="24077"/>
      <c r="AA396" s="24077"/>
      <c r="AB396" s="24077"/>
      <c r="AC396" s="24077"/>
      <c r="AD396" s="24077"/>
      <c r="AE396" s="24077"/>
      <c r="AF396" s="24078"/>
      <c r="AG396" s="24076" t="s">
        <v>771</v>
      </c>
      <c r="AH396" s="24077"/>
      <c r="AI396" s="24077"/>
      <c r="AJ396" s="24077"/>
      <c r="AK396" s="24077"/>
      <c r="AL396" s="24077"/>
      <c r="AM396" s="24077"/>
      <c r="AN396" s="24077"/>
      <c r="AO396" s="24077"/>
      <c r="AP396" s="24077"/>
      <c r="AQ396" s="24077"/>
      <c r="AR396" s="24179"/>
      <c r="AS396" s="24180"/>
      <c r="AT396" s="24180"/>
      <c r="AU396" s="24180"/>
      <c r="AV396" s="24180"/>
      <c r="AW396" s="24180"/>
      <c r="AX396" s="24180"/>
      <c r="AY396" s="24180"/>
      <c r="AZ396" s="24180"/>
      <c r="BA396" s="24180"/>
      <c r="BB396" s="24181"/>
      <c r="BC396" s="24179"/>
      <c r="BD396" s="24180"/>
      <c r="BE396" s="24180"/>
      <c r="BF396" s="24180"/>
      <c r="BG396" s="24180"/>
      <c r="BH396" s="24180"/>
      <c r="BI396" s="24180"/>
      <c r="BJ396" s="24180"/>
      <c r="BK396" s="24180"/>
      <c r="BL396" s="24180"/>
      <c r="BM396" s="24181"/>
      <c r="BN396" s="24076"/>
      <c r="BO396" s="24077"/>
      <c r="BP396" s="24180"/>
      <c r="BQ396" s="24180"/>
      <c r="BR396" s="24077"/>
      <c r="BS396" s="24180"/>
      <c r="BT396" s="24180"/>
      <c r="BU396" s="24180"/>
      <c r="BV396" s="24180"/>
      <c r="BW396" s="24180"/>
      <c r="BX396" s="24181"/>
      <c r="BY396" s="24179"/>
      <c r="BZ396" s="24180"/>
      <c r="CA396" s="24180"/>
      <c r="CB396" s="24180"/>
      <c r="CC396" s="24180"/>
      <c r="CD396" s="24180"/>
      <c r="CE396" s="24180"/>
      <c r="CF396" s="24180"/>
      <c r="CG396" s="24180"/>
      <c r="CH396" s="24180"/>
      <c r="CI396" s="24181"/>
      <c r="CJ396" s="24179"/>
      <c r="CK396" s="24180"/>
      <c r="CL396" s="24180"/>
      <c r="CM396" s="24180"/>
      <c r="CN396" s="24180"/>
      <c r="CO396" s="24180"/>
      <c r="CP396" s="24180"/>
      <c r="CQ396" s="24180"/>
      <c r="CR396" s="24180"/>
      <c r="CS396" s="24180"/>
      <c r="CT396" s="24181"/>
      <c r="CU396" s="24179"/>
      <c r="CV396" s="24180"/>
      <c r="CW396" s="24180"/>
      <c r="CX396" s="24180"/>
      <c r="CY396" s="24180"/>
      <c r="CZ396" s="24180"/>
      <c r="DA396" s="24180"/>
      <c r="DB396" s="24180"/>
      <c r="DC396" s="24180"/>
      <c r="DD396" s="24180"/>
      <c r="DE396" s="24181"/>
      <c r="DF396" s="24179"/>
      <c r="DG396" s="24180"/>
      <c r="DH396" s="24180"/>
      <c r="DI396" s="24180"/>
      <c r="DJ396" s="24180"/>
      <c r="DK396" s="24180"/>
      <c r="DL396" s="24180"/>
      <c r="DM396" s="24180"/>
      <c r="DN396" s="24180"/>
      <c r="DO396" s="24180"/>
      <c r="DP396" s="24181"/>
      <c r="DQ396" s="24179"/>
      <c r="DR396" s="24180"/>
      <c r="DS396" s="24180"/>
      <c r="DT396" s="24180"/>
      <c r="DU396" s="24180"/>
      <c r="DV396" s="24180"/>
      <c r="DW396" s="24180"/>
      <c r="DX396" s="24180"/>
      <c r="DY396" s="24180"/>
      <c r="DZ396" s="24180"/>
      <c r="EA396" s="24181"/>
      <c r="EB396" s="24179"/>
      <c r="EC396" s="24180"/>
      <c r="ED396" s="24180"/>
      <c r="EE396" s="24180"/>
      <c r="EF396" s="24180"/>
      <c r="EG396" s="24180"/>
      <c r="EH396" s="24180"/>
      <c r="EI396" s="24180"/>
      <c r="EJ396" s="24180"/>
      <c r="EK396" s="24180"/>
      <c r="EL396" s="24181"/>
      <c r="EM396" s="24179"/>
      <c r="EN396" s="24180"/>
      <c r="EO396" s="24180"/>
      <c r="EP396" s="24180"/>
      <c r="EQ396" s="24180"/>
      <c r="ER396" s="24180"/>
      <c r="ES396" s="24180"/>
      <c r="ET396" s="24180"/>
      <c r="EU396" s="24180"/>
      <c r="EV396" s="24180"/>
      <c r="EW396" s="24181"/>
      <c r="EX396" s="24076"/>
      <c r="EY396" s="24077"/>
      <c r="EZ396" s="24180"/>
      <c r="FA396" s="24180"/>
      <c r="FB396" s="24077"/>
      <c r="FC396" s="24180"/>
      <c r="FD396" s="24180"/>
      <c r="FE396" s="24180"/>
      <c r="FF396" s="24180"/>
      <c r="FG396" s="24180"/>
      <c r="FH396" s="24181"/>
      <c r="FI396" s="24076"/>
      <c r="FJ396" s="24077"/>
      <c r="FK396" s="24180"/>
      <c r="FL396" s="24180"/>
      <c r="FM396" s="24077"/>
      <c r="FN396" s="24180"/>
      <c r="FO396" s="24180"/>
      <c r="FP396" s="24077"/>
      <c r="FQ396" s="24077"/>
      <c r="FR396" s="24077"/>
      <c r="FS396" s="24181"/>
      <c r="FT396" s="24078"/>
      <c r="FU396" s="1233" t="s">
        <v>711</v>
      </c>
      <c r="FV396" s="1568"/>
      <c r="FW396" s="1550"/>
      <c r="FX396" s="1550" t="str">
        <f t="shared" si="6"/>
        <v>Группа потребителей</v>
      </c>
      <c r="FY396" s="1550"/>
      <c r="FZ396" s="1550"/>
      <c r="GA396" s="1561">
        <v>0</v>
      </c>
    </row>
    <row r="397" spans="1:183" s="1747" customFormat="1" ht="23.25" customHeight="1">
      <c r="A397" s="1289"/>
      <c r="B397" s="1289"/>
      <c r="C397" s="1289"/>
      <c r="D397" s="1289"/>
      <c r="E397" s="24089"/>
      <c r="F397" s="24089"/>
      <c r="G397" s="24089"/>
      <c r="H397" s="24089"/>
      <c r="I397" s="24091"/>
      <c r="J397" s="24091" t="str">
        <f>I391&amp;".1"</f>
        <v>1.18.1.1.1</v>
      </c>
      <c r="K397" s="24090" t="str">
        <f>J396&amp;".1"</f>
        <v>1.18.1.1.2.1</v>
      </c>
      <c r="L397" s="1295"/>
      <c r="M397" s="1674"/>
      <c r="N397" s="1674"/>
      <c r="O397" s="1674"/>
      <c r="P397" s="24092"/>
      <c r="Q397" s="24092"/>
      <c r="R397" s="293">
        <v>1</v>
      </c>
      <c r="S397" s="1976" t="str">
        <f>$K397</f>
        <v>1.18.1.1.2.1</v>
      </c>
      <c r="T397" s="1363"/>
      <c r="U397" s="236"/>
      <c r="V397" s="687"/>
      <c r="W397" s="687"/>
      <c r="X397" s="687"/>
      <c r="Y397" s="687"/>
      <c r="Z397" s="687"/>
      <c r="AA397" s="687"/>
      <c r="AB397" s="687"/>
      <c r="AC397" s="24093"/>
      <c r="AD397" s="23957" t="s">
        <v>59</v>
      </c>
      <c r="AE397" s="24095"/>
      <c r="AF397" s="23957" t="s">
        <v>59</v>
      </c>
      <c r="AG397" s="687">
        <v>235.32</v>
      </c>
      <c r="AH397" s="687">
        <v>52.89</v>
      </c>
      <c r="AI397" s="687"/>
      <c r="AJ397" s="687"/>
      <c r="AK397" s="687">
        <v>2637.97</v>
      </c>
      <c r="AL397" s="687"/>
      <c r="AM397" s="687"/>
      <c r="AN397" s="24093" t="s">
        <v>9</v>
      </c>
      <c r="AO397" s="23957" t="s">
        <v>59</v>
      </c>
      <c r="AP397" s="24095" t="s">
        <v>770</v>
      </c>
      <c r="AQ397" s="23957" t="s">
        <v>59</v>
      </c>
      <c r="AR397" s="687">
        <v>258.85000000000002</v>
      </c>
      <c r="AS397" s="687">
        <v>58.18</v>
      </c>
      <c r="AT397" s="687"/>
      <c r="AU397" s="687"/>
      <c r="AV397" s="687">
        <v>2901.77</v>
      </c>
      <c r="AW397" s="687"/>
      <c r="AX397" s="687"/>
      <c r="AY397" s="24093" t="s">
        <v>772</v>
      </c>
      <c r="AZ397" s="23957" t="s">
        <v>59</v>
      </c>
      <c r="BA397" s="24093" t="s">
        <v>773</v>
      </c>
      <c r="BB397" s="23957" t="s">
        <v>59</v>
      </c>
      <c r="BC397" s="687">
        <v>258.85000000000002</v>
      </c>
      <c r="BD397" s="687">
        <v>58.18</v>
      </c>
      <c r="BE397" s="687"/>
      <c r="BF397" s="687"/>
      <c r="BG397" s="687">
        <v>2901.77</v>
      </c>
      <c r="BH397" s="687"/>
      <c r="BI397" s="687"/>
      <c r="BJ397" s="24093" t="s">
        <v>774</v>
      </c>
      <c r="BK397" s="23957" t="s">
        <v>59</v>
      </c>
      <c r="BL397" s="24093" t="s">
        <v>775</v>
      </c>
      <c r="BM397" s="23957" t="s">
        <v>59</v>
      </c>
      <c r="BN397" s="687">
        <v>287.2</v>
      </c>
      <c r="BO397" s="687">
        <v>65.099999999999994</v>
      </c>
      <c r="BP397" s="687"/>
      <c r="BQ397" s="687"/>
      <c r="BR397" s="687">
        <v>3209.35</v>
      </c>
      <c r="BS397" s="687"/>
      <c r="BT397" s="687"/>
      <c r="BU397" s="24093" t="s">
        <v>776</v>
      </c>
      <c r="BV397" s="23957" t="s">
        <v>59</v>
      </c>
      <c r="BW397" s="24093" t="s">
        <v>777</v>
      </c>
      <c r="BX397" s="23957" t="s">
        <v>59</v>
      </c>
      <c r="BY397" s="687">
        <v>292.08</v>
      </c>
      <c r="BZ397" s="687">
        <v>71.010000000000005</v>
      </c>
      <c r="CA397" s="687"/>
      <c r="CB397" s="687"/>
      <c r="CC397" s="687">
        <v>3153.7</v>
      </c>
      <c r="CD397" s="687"/>
      <c r="CE397" s="687"/>
      <c r="CF397" s="24093" t="s">
        <v>778</v>
      </c>
      <c r="CG397" s="23957" t="s">
        <v>59</v>
      </c>
      <c r="CH397" s="24185">
        <v>46173</v>
      </c>
      <c r="CI397" s="23957" t="s">
        <v>59</v>
      </c>
      <c r="CJ397" s="687">
        <v>292.08</v>
      </c>
      <c r="CK397" s="687">
        <v>71.010000000000005</v>
      </c>
      <c r="CL397" s="687"/>
      <c r="CM397" s="687"/>
      <c r="CN397" s="687">
        <v>3217.01</v>
      </c>
      <c r="CO397" s="687"/>
      <c r="CP397" s="687"/>
      <c r="CQ397" s="24185">
        <v>46174</v>
      </c>
      <c r="CR397" s="23957" t="s">
        <v>59</v>
      </c>
      <c r="CS397" s="24185">
        <v>46295</v>
      </c>
      <c r="CT397" s="23957" t="s">
        <v>59</v>
      </c>
      <c r="CU397" s="687">
        <v>327.13</v>
      </c>
      <c r="CV397" s="687">
        <v>79.53</v>
      </c>
      <c r="CW397" s="687"/>
      <c r="CX397" s="687"/>
      <c r="CY397" s="687">
        <v>3603.05</v>
      </c>
      <c r="CZ397" s="687"/>
      <c r="DA397" s="687"/>
      <c r="DB397" s="24185">
        <v>46296</v>
      </c>
      <c r="DC397" s="23957" t="s">
        <v>59</v>
      </c>
      <c r="DD397" s="24185">
        <v>46387</v>
      </c>
      <c r="DE397" s="23957" t="s">
        <v>59</v>
      </c>
      <c r="DF397" s="687">
        <v>327.12</v>
      </c>
      <c r="DG397" s="687">
        <v>79.53</v>
      </c>
      <c r="DH397" s="687"/>
      <c r="DI397" s="687"/>
      <c r="DJ397" s="687">
        <f>CY397</f>
        <v>3603.05</v>
      </c>
      <c r="DK397" s="687"/>
      <c r="DL397" s="687"/>
      <c r="DM397" s="24185">
        <v>46388</v>
      </c>
      <c r="DN397" s="23957" t="s">
        <v>59</v>
      </c>
      <c r="DO397" s="24185">
        <v>46568</v>
      </c>
      <c r="DP397" s="23957" t="s">
        <v>59</v>
      </c>
      <c r="DQ397" s="687">
        <v>355.86</v>
      </c>
      <c r="DR397" s="687">
        <v>86.69</v>
      </c>
      <c r="DS397" s="687"/>
      <c r="DT397" s="687"/>
      <c r="DU397" s="687">
        <v>3916.52</v>
      </c>
      <c r="DV397" s="687"/>
      <c r="DW397" s="687"/>
      <c r="DX397" s="24185">
        <v>46569</v>
      </c>
      <c r="DY397" s="23957" t="s">
        <v>59</v>
      </c>
      <c r="DZ397" s="24185">
        <v>46752</v>
      </c>
      <c r="EA397" s="23957" t="s">
        <v>59</v>
      </c>
      <c r="EB397" s="687">
        <v>355.86</v>
      </c>
      <c r="EC397" s="687">
        <v>86.69</v>
      </c>
      <c r="ED397" s="687"/>
      <c r="EE397" s="687"/>
      <c r="EF397" s="687">
        <v>3916.52</v>
      </c>
      <c r="EG397" s="687"/>
      <c r="EH397" s="687"/>
      <c r="EI397" s="24185">
        <v>46753</v>
      </c>
      <c r="EJ397" s="23957" t="s">
        <v>59</v>
      </c>
      <c r="EK397" s="24185">
        <v>46934</v>
      </c>
      <c r="EL397" s="23957" t="s">
        <v>59</v>
      </c>
      <c r="EM397" s="687">
        <v>381.13</v>
      </c>
      <c r="EN397" s="687">
        <v>92.84</v>
      </c>
      <c r="EO397" s="687"/>
      <c r="EP397" s="687"/>
      <c r="EQ397" s="687">
        <v>4194.59</v>
      </c>
      <c r="ER397" s="687"/>
      <c r="ES397" s="687"/>
      <c r="ET397" s="24185">
        <v>46935</v>
      </c>
      <c r="EU397" s="23957" t="s">
        <v>59</v>
      </c>
      <c r="EV397" s="24207">
        <v>47118</v>
      </c>
      <c r="EW397" s="23957" t="s">
        <v>59</v>
      </c>
      <c r="EX397" s="687">
        <v>273.26</v>
      </c>
      <c r="EY397" s="687">
        <v>0</v>
      </c>
      <c r="EZ397" s="687"/>
      <c r="FA397" s="687"/>
      <c r="FB397" s="687">
        <v>4194.59</v>
      </c>
      <c r="FC397" s="687"/>
      <c r="FD397" s="687"/>
      <c r="FE397" s="24185">
        <v>47119</v>
      </c>
      <c r="FF397" s="23957" t="s">
        <v>59</v>
      </c>
      <c r="FG397" s="24207">
        <v>47299</v>
      </c>
      <c r="FH397" s="24205" t="s">
        <v>59</v>
      </c>
      <c r="FI397" s="687">
        <v>284.19</v>
      </c>
      <c r="FJ397" s="687"/>
      <c r="FK397" s="687"/>
      <c r="FL397" s="687"/>
      <c r="FM397" s="687">
        <v>4362.38</v>
      </c>
      <c r="FN397" s="687"/>
      <c r="FO397" s="687"/>
      <c r="FP397" s="24093">
        <v>47300.661365740743</v>
      </c>
      <c r="FQ397" s="23957" t="s">
        <v>59</v>
      </c>
      <c r="FR397" s="24095">
        <v>47483.661516203705</v>
      </c>
      <c r="FS397" s="23957" t="s">
        <v>59</v>
      </c>
      <c r="FT397" s="1364"/>
      <c r="FU39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397" s="1568" t="e">
        <f ca="1">STRCHECKDATE(V398:FT398)</f>
        <v>#NAME?</v>
      </c>
      <c r="FW397" s="1550"/>
      <c r="FX397" s="1550" t="str">
        <f t="shared" si="6"/>
        <v/>
      </c>
      <c r="FY397" s="1550"/>
      <c r="FZ397" s="1550"/>
      <c r="GA397" s="1561">
        <v>0</v>
      </c>
    </row>
    <row r="398" spans="1:183" s="1747" customFormat="1" ht="14.25" customHeight="1">
      <c r="A398" s="1289"/>
      <c r="B398" s="1289"/>
      <c r="C398" s="1289"/>
      <c r="D398" s="1289"/>
      <c r="E398" s="24089"/>
      <c r="F398" s="24089"/>
      <c r="G398" s="24089"/>
      <c r="H398" s="24089"/>
      <c r="I398" s="24091"/>
      <c r="J398" s="24091" t="str">
        <f>I391&amp;".1"</f>
        <v>1.18.1.1.1</v>
      </c>
      <c r="K398" s="24090"/>
      <c r="L398" s="1295"/>
      <c r="M398" s="1674"/>
      <c r="N398" s="1674"/>
      <c r="O398" s="1674"/>
      <c r="P398" s="24092"/>
      <c r="Q398" s="24092"/>
      <c r="R398" s="293"/>
      <c r="S398" s="1982"/>
      <c r="T398" s="236"/>
      <c r="U398" s="236"/>
      <c r="V398" s="261"/>
      <c r="W398" s="261"/>
      <c r="X398" s="261"/>
      <c r="Y398" s="261"/>
      <c r="Z398" s="261"/>
      <c r="AA398" s="261"/>
      <c r="AB398" s="261"/>
      <c r="AC398" s="24094"/>
      <c r="AD398" s="23957"/>
      <c r="AE398" s="24096"/>
      <c r="AF398" s="23957"/>
      <c r="AG398" s="261"/>
      <c r="AH398" s="261"/>
      <c r="AI398" s="261"/>
      <c r="AJ398" s="261"/>
      <c r="AK398" s="261"/>
      <c r="AL398" s="261"/>
      <c r="AM398" s="261"/>
      <c r="AN398" s="24094"/>
      <c r="AO398" s="23957"/>
      <c r="AP398" s="24096"/>
      <c r="AQ398" s="23957"/>
      <c r="AR398" s="261"/>
      <c r="AS398" s="261"/>
      <c r="AT398" s="261"/>
      <c r="AU398" s="261"/>
      <c r="AV398" s="261"/>
      <c r="AW398" s="261"/>
      <c r="AX398" s="261"/>
      <c r="AY398" s="24094"/>
      <c r="AZ398" s="23957"/>
      <c r="BA398" s="24094"/>
      <c r="BB398" s="23957"/>
      <c r="BC398" s="261"/>
      <c r="BD398" s="261"/>
      <c r="BE398" s="261"/>
      <c r="BF398" s="261"/>
      <c r="BG398" s="261"/>
      <c r="BH398" s="261"/>
      <c r="BI398" s="261"/>
      <c r="BJ398" s="24094"/>
      <c r="BK398" s="23957"/>
      <c r="BL398" s="24094"/>
      <c r="BM398" s="23957"/>
      <c r="BN398" s="261"/>
      <c r="BO398" s="261"/>
      <c r="BP398" s="261"/>
      <c r="BQ398" s="261"/>
      <c r="BR398" s="261"/>
      <c r="BS398" s="261"/>
      <c r="BT398" s="261"/>
      <c r="BU398" s="24094"/>
      <c r="BV398" s="23957"/>
      <c r="BW398" s="24094"/>
      <c r="BX398" s="23957"/>
      <c r="BY398" s="261"/>
      <c r="BZ398" s="261"/>
      <c r="CA398" s="261"/>
      <c r="CB398" s="261"/>
      <c r="CC398" s="261"/>
      <c r="CD398" s="261"/>
      <c r="CE398" s="261"/>
      <c r="CF398" s="24094"/>
      <c r="CG398" s="23957"/>
      <c r="CH398" s="24094"/>
      <c r="CI398" s="23957"/>
      <c r="CJ398" s="261"/>
      <c r="CK398" s="261"/>
      <c r="CL398" s="261"/>
      <c r="CM398" s="261"/>
      <c r="CN398" s="261"/>
      <c r="CO398" s="261"/>
      <c r="CP398" s="261"/>
      <c r="CQ398" s="24094"/>
      <c r="CR398" s="23957"/>
      <c r="CS398" s="24094"/>
      <c r="CT398" s="23957"/>
      <c r="CU398" s="261"/>
      <c r="CV398" s="261"/>
      <c r="CW398" s="261"/>
      <c r="CX398" s="261"/>
      <c r="CY398" s="261"/>
      <c r="CZ398" s="261"/>
      <c r="DA398" s="261"/>
      <c r="DB398" s="24094"/>
      <c r="DC398" s="23957"/>
      <c r="DD398" s="24094"/>
      <c r="DE398" s="23957"/>
      <c r="DF398" s="261"/>
      <c r="DG398" s="261"/>
      <c r="DH398" s="261"/>
      <c r="DI398" s="261"/>
      <c r="DJ398" s="261"/>
      <c r="DK398" s="261"/>
      <c r="DL398" s="261"/>
      <c r="DM398" s="24094"/>
      <c r="DN398" s="23957"/>
      <c r="DO398" s="24094"/>
      <c r="DP398" s="23957"/>
      <c r="DQ398" s="261"/>
      <c r="DR398" s="261"/>
      <c r="DS398" s="261"/>
      <c r="DT398" s="261"/>
      <c r="DU398" s="261"/>
      <c r="DV398" s="261"/>
      <c r="DW398" s="261"/>
      <c r="DX398" s="24094"/>
      <c r="DY398" s="23957"/>
      <c r="DZ398" s="24094"/>
      <c r="EA398" s="23957"/>
      <c r="EB398" s="261"/>
      <c r="EC398" s="261"/>
      <c r="ED398" s="261"/>
      <c r="EE398" s="261"/>
      <c r="EF398" s="261"/>
      <c r="EG398" s="261"/>
      <c r="EH398" s="261"/>
      <c r="EI398" s="24094"/>
      <c r="EJ398" s="23957"/>
      <c r="EK398" s="24094"/>
      <c r="EL398" s="23957"/>
      <c r="EM398" s="261"/>
      <c r="EN398" s="261"/>
      <c r="EO398" s="261"/>
      <c r="EP398" s="261"/>
      <c r="EQ398" s="261"/>
      <c r="ER398" s="261"/>
      <c r="ES398" s="261"/>
      <c r="ET398" s="24094"/>
      <c r="EU398" s="23957"/>
      <c r="EV398" s="24096"/>
      <c r="EW398" s="23957"/>
      <c r="EX398" s="261"/>
      <c r="EY398" s="261"/>
      <c r="EZ398" s="261"/>
      <c r="FA398" s="261"/>
      <c r="FB398" s="261"/>
      <c r="FC398" s="261"/>
      <c r="FD398" s="261"/>
      <c r="FE398" s="24094"/>
      <c r="FF398" s="23957"/>
      <c r="FG398" s="24096"/>
      <c r="FH398" s="24205"/>
      <c r="FI398" s="261"/>
      <c r="FJ398" s="261"/>
      <c r="FK398" s="261"/>
      <c r="FL398" s="261"/>
      <c r="FM398" s="261"/>
      <c r="FN398" s="261"/>
      <c r="FO398" s="261"/>
      <c r="FP398" s="24094"/>
      <c r="FQ398" s="23957"/>
      <c r="FR398" s="24096"/>
      <c r="FS398" s="23957"/>
      <c r="FT398" s="1365"/>
      <c r="FU398" s="24162"/>
      <c r="FV398" s="1568"/>
      <c r="FW398" s="1550"/>
      <c r="FX398" s="1550" t="str">
        <f t="shared" si="6"/>
        <v/>
      </c>
      <c r="FY398" s="1550"/>
      <c r="FZ398" s="1550"/>
      <c r="GA398" s="1561">
        <v>0</v>
      </c>
    </row>
    <row r="399" spans="1:183" s="1747" customFormat="1" ht="21" customHeight="1">
      <c r="A399" s="1289"/>
      <c r="B399" s="1289"/>
      <c r="C399" s="1289"/>
      <c r="D399" s="1289"/>
      <c r="E399" s="24089"/>
      <c r="F399" s="24089"/>
      <c r="G399" s="24089"/>
      <c r="H399" s="24089"/>
      <c r="I399" s="24091"/>
      <c r="J399" s="24090" t="str">
        <f>I391&amp;".1"</f>
        <v>1.18.1.1.1</v>
      </c>
      <c r="K399" s="1289"/>
      <c r="L399" s="1295"/>
      <c r="M399" s="1674"/>
      <c r="N399" s="1674"/>
      <c r="O399" s="1674"/>
      <c r="P399" s="24092"/>
      <c r="Q399" s="24092"/>
      <c r="R399" s="292"/>
      <c r="S399" s="5291"/>
      <c r="T399" s="5292" t="s">
        <v>712</v>
      </c>
      <c r="U399" s="5293"/>
      <c r="V399" s="5294"/>
      <c r="W399" s="5295"/>
      <c r="X399" s="5296"/>
      <c r="Y399" s="5297"/>
      <c r="Z399" s="5298"/>
      <c r="AA399" s="5299"/>
      <c r="AB399" s="5300"/>
      <c r="AC399" s="5301"/>
      <c r="AD399" s="5302"/>
      <c r="AE399" s="5303"/>
      <c r="AF399" s="5304"/>
      <c r="AG399" s="5305"/>
      <c r="AH399" s="5306"/>
      <c r="AI399" s="5307"/>
      <c r="AJ399" s="5308"/>
      <c r="AK399" s="5309"/>
      <c r="AL399" s="5310"/>
      <c r="AM399" s="5311"/>
      <c r="AN399" s="5312"/>
      <c r="AO399" s="5313"/>
      <c r="AP399" s="5314"/>
      <c r="AQ399" s="5315"/>
      <c r="AR399" s="7867"/>
      <c r="AS399" s="7868"/>
      <c r="AT399" s="7869"/>
      <c r="AU399" s="7870"/>
      <c r="AV399" s="7871"/>
      <c r="AW399" s="7872"/>
      <c r="AX399" s="7873"/>
      <c r="AY399" s="7874"/>
      <c r="AZ399" s="7875"/>
      <c r="BA399" s="7876"/>
      <c r="BB399" s="7877"/>
      <c r="BC399" s="7878"/>
      <c r="BD399" s="7879"/>
      <c r="BE399" s="18791"/>
      <c r="BF399" s="18792"/>
      <c r="BG399" s="21927"/>
      <c r="BH399" s="18793"/>
      <c r="BI399" s="18794"/>
      <c r="BJ399" s="18795"/>
      <c r="BK399" s="18796"/>
      <c r="BL399" s="18797"/>
      <c r="BM399" s="18798"/>
      <c r="BN399" s="5316"/>
      <c r="BO399" s="5317"/>
      <c r="BP399" s="18799"/>
      <c r="BQ399" s="18800"/>
      <c r="BR399" s="5318"/>
      <c r="BS399" s="18801"/>
      <c r="BT399" s="18802"/>
      <c r="BU399" s="18803"/>
      <c r="BV399" s="18804"/>
      <c r="BW399" s="18805"/>
      <c r="BX399" s="18806"/>
      <c r="BY399" s="18807"/>
      <c r="BZ399" s="18808"/>
      <c r="CA399" s="18809"/>
      <c r="CB399" s="18810"/>
      <c r="CC399" s="18811"/>
      <c r="CD399" s="18812"/>
      <c r="CE399" s="18813"/>
      <c r="CF399" s="18814"/>
      <c r="CG399" s="18815"/>
      <c r="CH399" s="18816"/>
      <c r="CI399" s="18817"/>
      <c r="CJ399" s="18818"/>
      <c r="CK399" s="18819"/>
      <c r="CL399" s="18820"/>
      <c r="CM399" s="18821"/>
      <c r="CN399" s="18822"/>
      <c r="CO399" s="18823"/>
      <c r="CP399" s="18824"/>
      <c r="CQ399" s="18825"/>
      <c r="CR399" s="18826"/>
      <c r="CS399" s="18827"/>
      <c r="CT399" s="18828"/>
      <c r="CU399" s="18829"/>
      <c r="CV399" s="18830"/>
      <c r="CW399" s="18831"/>
      <c r="CX399" s="18832"/>
      <c r="CY399" s="18833"/>
      <c r="CZ399" s="18834"/>
      <c r="DA399" s="18835"/>
      <c r="DB399" s="18836"/>
      <c r="DC399" s="18837"/>
      <c r="DD399" s="18838"/>
      <c r="DE399" s="18839"/>
      <c r="DF399" s="18840"/>
      <c r="DG399" s="18841"/>
      <c r="DH399" s="18842"/>
      <c r="DI399" s="18843"/>
      <c r="DJ399" s="18844"/>
      <c r="DK399" s="18845"/>
      <c r="DL399" s="18846"/>
      <c r="DM399" s="18847"/>
      <c r="DN399" s="18848"/>
      <c r="DO399" s="18849"/>
      <c r="DP399" s="18850"/>
      <c r="DQ399" s="18851"/>
      <c r="DR399" s="18852"/>
      <c r="DS399" s="18853"/>
      <c r="DT399" s="18854"/>
      <c r="DU399" s="18855"/>
      <c r="DV399" s="18856"/>
      <c r="DW399" s="18857"/>
      <c r="DX399" s="18858"/>
      <c r="DY399" s="18859"/>
      <c r="DZ399" s="18860"/>
      <c r="EA399" s="18861"/>
      <c r="EB399" s="18862"/>
      <c r="EC399" s="18863"/>
      <c r="ED399" s="18864"/>
      <c r="EE399" s="18865"/>
      <c r="EF399" s="18866"/>
      <c r="EG399" s="18867"/>
      <c r="EH399" s="18868"/>
      <c r="EI399" s="18869"/>
      <c r="EJ399" s="18870"/>
      <c r="EK399" s="18871"/>
      <c r="EL399" s="18872"/>
      <c r="EM399" s="21737"/>
      <c r="EN399" s="21738"/>
      <c r="EO399" s="18873"/>
      <c r="EP399" s="18874"/>
      <c r="EQ399" s="21739"/>
      <c r="ER399" s="18875"/>
      <c r="ES399" s="18876"/>
      <c r="ET399" s="18877"/>
      <c r="EU399" s="18878"/>
      <c r="EV399" s="18879"/>
      <c r="EW399" s="18880"/>
      <c r="EX399" s="5319"/>
      <c r="EY399" s="5320"/>
      <c r="EZ399" s="18881"/>
      <c r="FA399" s="18882"/>
      <c r="FB399" s="5321"/>
      <c r="FC399" s="18883"/>
      <c r="FD399" s="18884"/>
      <c r="FE399" s="18885"/>
      <c r="FF399" s="18886"/>
      <c r="FG399" s="18887"/>
      <c r="FH399" s="5763"/>
      <c r="FI399" s="23052"/>
      <c r="FJ399" s="23053"/>
      <c r="FK399" s="23777"/>
      <c r="FL399" s="23778"/>
      <c r="FM399" s="23054"/>
      <c r="FN399" s="23779"/>
      <c r="FO399" s="23780"/>
      <c r="FP399" s="23055"/>
      <c r="FQ399" s="23056"/>
      <c r="FR399" s="23057"/>
      <c r="FS399" s="23781"/>
      <c r="FT399" s="5322"/>
      <c r="FU399" s="1184" t="s">
        <v>713</v>
      </c>
      <c r="FV399" s="1568"/>
      <c r="FW399" s="1550"/>
      <c r="FX399" s="1550" t="str">
        <f t="shared" si="6"/>
        <v>Добавить значение признака дифференциации</v>
      </c>
      <c r="FY399" s="1550"/>
      <c r="FZ399" s="1550"/>
      <c r="GA399" s="1561">
        <v>0</v>
      </c>
    </row>
    <row r="400" spans="1:183" s="1747" customFormat="1" ht="21" customHeight="1">
      <c r="A400" s="1289"/>
      <c r="B400" s="1289"/>
      <c r="C400" s="1289"/>
      <c r="D400" s="1289"/>
      <c r="E400" s="24089"/>
      <c r="F400" s="24089" t="s">
        <v>171</v>
      </c>
      <c r="G400" s="24089"/>
      <c r="H400" s="24089"/>
      <c r="I400" s="24090"/>
      <c r="J400" s="1289"/>
      <c r="K400" s="1289"/>
      <c r="L400" s="1295"/>
      <c r="M400" s="1674"/>
      <c r="N400" s="1674"/>
      <c r="O400" s="1674"/>
      <c r="P400" s="24092"/>
      <c r="Q400" s="1978"/>
      <c r="R400" s="292"/>
      <c r="S400" s="5323"/>
      <c r="T400" s="5324" t="s">
        <v>641</v>
      </c>
      <c r="U400" s="5325"/>
      <c r="V400" s="5326"/>
      <c r="W400" s="5327"/>
      <c r="X400" s="5328"/>
      <c r="Y400" s="5329"/>
      <c r="Z400" s="5330"/>
      <c r="AA400" s="5331"/>
      <c r="AB400" s="5332"/>
      <c r="AC400" s="5333"/>
      <c r="AD400" s="5334"/>
      <c r="AE400" s="5335"/>
      <c r="AF400" s="5336"/>
      <c r="AG400" s="5337"/>
      <c r="AH400" s="5338"/>
      <c r="AI400" s="5339"/>
      <c r="AJ400" s="5340"/>
      <c r="AK400" s="5341"/>
      <c r="AL400" s="5342"/>
      <c r="AM400" s="5343"/>
      <c r="AN400" s="5344"/>
      <c r="AO400" s="5345"/>
      <c r="AP400" s="5346"/>
      <c r="AQ400" s="5347"/>
      <c r="AR400" s="7880"/>
      <c r="AS400" s="7881"/>
      <c r="AT400" s="7882"/>
      <c r="AU400" s="7883"/>
      <c r="AV400" s="7884"/>
      <c r="AW400" s="7885"/>
      <c r="AX400" s="7886"/>
      <c r="AY400" s="7887"/>
      <c r="AZ400" s="7888"/>
      <c r="BA400" s="7889"/>
      <c r="BB400" s="7890"/>
      <c r="BC400" s="7891"/>
      <c r="BD400" s="7892"/>
      <c r="BE400" s="18888"/>
      <c r="BF400" s="18889"/>
      <c r="BG400" s="21928"/>
      <c r="BH400" s="18890"/>
      <c r="BI400" s="18891"/>
      <c r="BJ400" s="18892"/>
      <c r="BK400" s="18893"/>
      <c r="BL400" s="18894"/>
      <c r="BM400" s="18895"/>
      <c r="BN400" s="5348"/>
      <c r="BO400" s="5349"/>
      <c r="BP400" s="18896"/>
      <c r="BQ400" s="18897"/>
      <c r="BR400" s="5350"/>
      <c r="BS400" s="18898"/>
      <c r="BT400" s="18899"/>
      <c r="BU400" s="18900"/>
      <c r="BV400" s="18901"/>
      <c r="BW400" s="18902"/>
      <c r="BX400" s="18903"/>
      <c r="BY400" s="18904"/>
      <c r="BZ400" s="18905"/>
      <c r="CA400" s="18906"/>
      <c r="CB400" s="18907"/>
      <c r="CC400" s="18908"/>
      <c r="CD400" s="18909"/>
      <c r="CE400" s="18910"/>
      <c r="CF400" s="18911"/>
      <c r="CG400" s="18912"/>
      <c r="CH400" s="18913"/>
      <c r="CI400" s="18914"/>
      <c r="CJ400" s="18915"/>
      <c r="CK400" s="18916"/>
      <c r="CL400" s="18917"/>
      <c r="CM400" s="18918"/>
      <c r="CN400" s="18919"/>
      <c r="CO400" s="18920"/>
      <c r="CP400" s="18921"/>
      <c r="CQ400" s="18922"/>
      <c r="CR400" s="18923"/>
      <c r="CS400" s="18924"/>
      <c r="CT400" s="18925"/>
      <c r="CU400" s="18926"/>
      <c r="CV400" s="18927"/>
      <c r="CW400" s="18928"/>
      <c r="CX400" s="18929"/>
      <c r="CY400" s="18930"/>
      <c r="CZ400" s="18931"/>
      <c r="DA400" s="18932"/>
      <c r="DB400" s="18933"/>
      <c r="DC400" s="18934"/>
      <c r="DD400" s="18935"/>
      <c r="DE400" s="18936"/>
      <c r="DF400" s="18937"/>
      <c r="DG400" s="18938"/>
      <c r="DH400" s="18939"/>
      <c r="DI400" s="18940"/>
      <c r="DJ400" s="18941"/>
      <c r="DK400" s="18942"/>
      <c r="DL400" s="18943"/>
      <c r="DM400" s="18944"/>
      <c r="DN400" s="18945"/>
      <c r="DO400" s="18946"/>
      <c r="DP400" s="18947"/>
      <c r="DQ400" s="18948"/>
      <c r="DR400" s="18949"/>
      <c r="DS400" s="18950"/>
      <c r="DT400" s="18951"/>
      <c r="DU400" s="18952"/>
      <c r="DV400" s="18953"/>
      <c r="DW400" s="18954"/>
      <c r="DX400" s="18955"/>
      <c r="DY400" s="18956"/>
      <c r="DZ400" s="18957"/>
      <c r="EA400" s="18958"/>
      <c r="EB400" s="18959"/>
      <c r="EC400" s="18960"/>
      <c r="ED400" s="18961"/>
      <c r="EE400" s="18962"/>
      <c r="EF400" s="18963"/>
      <c r="EG400" s="18964"/>
      <c r="EH400" s="18965"/>
      <c r="EI400" s="18966"/>
      <c r="EJ400" s="18967"/>
      <c r="EK400" s="18968"/>
      <c r="EL400" s="18969"/>
      <c r="EM400" s="21740"/>
      <c r="EN400" s="21741"/>
      <c r="EO400" s="18970"/>
      <c r="EP400" s="18971"/>
      <c r="EQ400" s="21742"/>
      <c r="ER400" s="18972"/>
      <c r="ES400" s="18973"/>
      <c r="ET400" s="18974"/>
      <c r="EU400" s="18975"/>
      <c r="EV400" s="18976"/>
      <c r="EW400" s="18977"/>
      <c r="EX400" s="5351"/>
      <c r="EY400" s="5352"/>
      <c r="EZ400" s="18978"/>
      <c r="FA400" s="18979"/>
      <c r="FB400" s="5353"/>
      <c r="FC400" s="18980"/>
      <c r="FD400" s="18981"/>
      <c r="FE400" s="18982"/>
      <c r="FF400" s="18983"/>
      <c r="FG400" s="18984"/>
      <c r="FH400" s="5764"/>
      <c r="FI400" s="23058"/>
      <c r="FJ400" s="23059"/>
      <c r="FK400" s="23782"/>
      <c r="FL400" s="23783"/>
      <c r="FM400" s="23060"/>
      <c r="FN400" s="23784"/>
      <c r="FO400" s="23785"/>
      <c r="FP400" s="23061"/>
      <c r="FQ400" s="23062"/>
      <c r="FR400" s="23063"/>
      <c r="FS400" s="23786"/>
      <c r="FT400" s="5354"/>
      <c r="FU400" s="5355"/>
      <c r="FV400" s="1568"/>
      <c r="FW400" s="1550"/>
      <c r="FX400" s="1550" t="str">
        <f t="shared" si="6"/>
        <v>Добавить группу потребителей</v>
      </c>
      <c r="FY400" s="1550"/>
      <c r="FZ400" s="1550"/>
      <c r="GA400" s="1561">
        <v>0</v>
      </c>
    </row>
    <row r="401" spans="1:183" s="1747" customFormat="1" ht="21" customHeight="1">
      <c r="A401" s="1289"/>
      <c r="B401" s="1289"/>
      <c r="C401" s="1289"/>
      <c r="D401" s="1289"/>
      <c r="E401" s="24089"/>
      <c r="F401" s="24089" t="s">
        <v>171</v>
      </c>
      <c r="G401" s="24089"/>
      <c r="H401" s="24088"/>
      <c r="I401" s="1289"/>
      <c r="J401" s="1289"/>
      <c r="K401" s="1289"/>
      <c r="L401" s="1295"/>
      <c r="M401" s="1291"/>
      <c r="N401" s="1291"/>
      <c r="O401" s="1292"/>
      <c r="P401" s="1720"/>
      <c r="Q401" s="311"/>
      <c r="R401" s="291"/>
      <c r="S401" s="5356"/>
      <c r="T401" s="5357" t="s">
        <v>714</v>
      </c>
      <c r="U401" s="5358"/>
      <c r="V401" s="5359"/>
      <c r="W401" s="5360"/>
      <c r="X401" s="5361"/>
      <c r="Y401" s="5362"/>
      <c r="Z401" s="5363"/>
      <c r="AA401" s="5364"/>
      <c r="AB401" s="5365"/>
      <c r="AC401" s="5366"/>
      <c r="AD401" s="5367"/>
      <c r="AE401" s="5368"/>
      <c r="AF401" s="5369"/>
      <c r="AG401" s="5370"/>
      <c r="AH401" s="5371"/>
      <c r="AI401" s="5372"/>
      <c r="AJ401" s="5373"/>
      <c r="AK401" s="5374"/>
      <c r="AL401" s="5375"/>
      <c r="AM401" s="5376"/>
      <c r="AN401" s="5377"/>
      <c r="AO401" s="5378"/>
      <c r="AP401" s="5379"/>
      <c r="AQ401" s="5380"/>
      <c r="AR401" s="7893"/>
      <c r="AS401" s="7894"/>
      <c r="AT401" s="7895"/>
      <c r="AU401" s="7896"/>
      <c r="AV401" s="7897"/>
      <c r="AW401" s="7898"/>
      <c r="AX401" s="7899"/>
      <c r="AY401" s="7900"/>
      <c r="AZ401" s="7901"/>
      <c r="BA401" s="7902"/>
      <c r="BB401" s="7903"/>
      <c r="BC401" s="7904"/>
      <c r="BD401" s="7905"/>
      <c r="BE401" s="18985"/>
      <c r="BF401" s="18986"/>
      <c r="BG401" s="21929"/>
      <c r="BH401" s="18987"/>
      <c r="BI401" s="18988"/>
      <c r="BJ401" s="18989"/>
      <c r="BK401" s="18990"/>
      <c r="BL401" s="18991"/>
      <c r="BM401" s="18992"/>
      <c r="BN401" s="5381"/>
      <c r="BO401" s="5382"/>
      <c r="BP401" s="18993"/>
      <c r="BQ401" s="18994"/>
      <c r="BR401" s="5383"/>
      <c r="BS401" s="18995"/>
      <c r="BT401" s="18996"/>
      <c r="BU401" s="18997"/>
      <c r="BV401" s="18998"/>
      <c r="BW401" s="18999"/>
      <c r="BX401" s="19000"/>
      <c r="BY401" s="19001"/>
      <c r="BZ401" s="19002"/>
      <c r="CA401" s="19003"/>
      <c r="CB401" s="19004"/>
      <c r="CC401" s="19005"/>
      <c r="CD401" s="19006"/>
      <c r="CE401" s="19007"/>
      <c r="CF401" s="19008"/>
      <c r="CG401" s="19009"/>
      <c r="CH401" s="19010"/>
      <c r="CI401" s="19011"/>
      <c r="CJ401" s="19012"/>
      <c r="CK401" s="19013"/>
      <c r="CL401" s="19014"/>
      <c r="CM401" s="19015"/>
      <c r="CN401" s="19016"/>
      <c r="CO401" s="19017"/>
      <c r="CP401" s="19018"/>
      <c r="CQ401" s="19019"/>
      <c r="CR401" s="19020"/>
      <c r="CS401" s="19021"/>
      <c r="CT401" s="19022"/>
      <c r="CU401" s="19023"/>
      <c r="CV401" s="19024"/>
      <c r="CW401" s="19025"/>
      <c r="CX401" s="19026"/>
      <c r="CY401" s="19027"/>
      <c r="CZ401" s="19028"/>
      <c r="DA401" s="19029"/>
      <c r="DB401" s="19030"/>
      <c r="DC401" s="19031"/>
      <c r="DD401" s="19032"/>
      <c r="DE401" s="19033"/>
      <c r="DF401" s="19034"/>
      <c r="DG401" s="19035"/>
      <c r="DH401" s="19036"/>
      <c r="DI401" s="19037"/>
      <c r="DJ401" s="19038"/>
      <c r="DK401" s="19039"/>
      <c r="DL401" s="19040"/>
      <c r="DM401" s="19041"/>
      <c r="DN401" s="19042"/>
      <c r="DO401" s="19043"/>
      <c r="DP401" s="19044"/>
      <c r="DQ401" s="19045"/>
      <c r="DR401" s="19046"/>
      <c r="DS401" s="19047"/>
      <c r="DT401" s="19048"/>
      <c r="DU401" s="19049"/>
      <c r="DV401" s="19050"/>
      <c r="DW401" s="19051"/>
      <c r="DX401" s="19052"/>
      <c r="DY401" s="19053"/>
      <c r="DZ401" s="19054"/>
      <c r="EA401" s="19055"/>
      <c r="EB401" s="19056"/>
      <c r="EC401" s="19057"/>
      <c r="ED401" s="19058"/>
      <c r="EE401" s="19059"/>
      <c r="EF401" s="19060"/>
      <c r="EG401" s="19061"/>
      <c r="EH401" s="19062"/>
      <c r="EI401" s="19063"/>
      <c r="EJ401" s="19064"/>
      <c r="EK401" s="19065"/>
      <c r="EL401" s="19066"/>
      <c r="EM401" s="21743"/>
      <c r="EN401" s="21744"/>
      <c r="EO401" s="19067"/>
      <c r="EP401" s="19068"/>
      <c r="EQ401" s="21745"/>
      <c r="ER401" s="19069"/>
      <c r="ES401" s="19070"/>
      <c r="ET401" s="19071"/>
      <c r="EU401" s="19072"/>
      <c r="EV401" s="19073"/>
      <c r="EW401" s="19074"/>
      <c r="EX401" s="5384"/>
      <c r="EY401" s="5385"/>
      <c r="EZ401" s="19075"/>
      <c r="FA401" s="19076"/>
      <c r="FB401" s="5386"/>
      <c r="FC401" s="19077"/>
      <c r="FD401" s="19078"/>
      <c r="FE401" s="19079"/>
      <c r="FF401" s="19080"/>
      <c r="FG401" s="19081"/>
      <c r="FH401" s="5765"/>
      <c r="FI401" s="23064"/>
      <c r="FJ401" s="23065"/>
      <c r="FK401" s="23787"/>
      <c r="FL401" s="23788"/>
      <c r="FM401" s="23066"/>
      <c r="FN401" s="23789"/>
      <c r="FO401" s="23790"/>
      <c r="FP401" s="23067"/>
      <c r="FQ401" s="23068"/>
      <c r="FR401" s="23069"/>
      <c r="FS401" s="23791"/>
      <c r="FT401" s="5387"/>
      <c r="FU401" s="5388"/>
      <c r="FV401" s="1568"/>
      <c r="FW401" s="1550"/>
      <c r="FX401" s="1550" t="str">
        <f t="shared" si="6"/>
        <v>Добавить наименование признака дифференциации</v>
      </c>
      <c r="FY401" s="1550"/>
      <c r="FZ401" s="1550"/>
      <c r="GA401" s="1561">
        <v>0</v>
      </c>
    </row>
    <row r="402" spans="1:183" s="558" customFormat="1" ht="14.25" customHeight="1">
      <c r="A402" s="1269"/>
      <c r="B402" s="1269"/>
      <c r="C402" s="1269"/>
      <c r="D402" s="1269"/>
      <c r="E402" s="24089"/>
      <c r="F402" s="24088" t="s">
        <v>171</v>
      </c>
      <c r="G402" s="1269"/>
      <c r="H402" s="1269"/>
      <c r="I402" s="1269"/>
      <c r="J402" s="1269"/>
      <c r="K402" s="1269"/>
      <c r="L402" s="1471"/>
      <c r="M402" s="1247"/>
      <c r="N402" s="1247"/>
      <c r="O402" s="1568"/>
      <c r="P402" s="1242"/>
      <c r="Q402" s="1270"/>
      <c r="R402" s="1242"/>
      <c r="S402" s="1248"/>
      <c r="T402" s="1251" t="s">
        <v>370</v>
      </c>
      <c r="U402" s="1250"/>
      <c r="V402" s="1250"/>
      <c r="W402" s="1250"/>
      <c r="X402" s="1250"/>
      <c r="Y402" s="1250"/>
      <c r="Z402" s="1250"/>
      <c r="AA402" s="1250"/>
      <c r="AB402" s="1250"/>
      <c r="AC402" s="1250"/>
      <c r="AD402" s="1250"/>
      <c r="AE402" s="1250"/>
      <c r="AF402" s="1250"/>
      <c r="AG402" s="1250"/>
      <c r="AH402" s="1250"/>
      <c r="AI402" s="1250"/>
      <c r="AJ402" s="1250"/>
      <c r="AK402" s="1250"/>
      <c r="AL402" s="1250"/>
      <c r="AM402" s="1250"/>
      <c r="AN402" s="1250"/>
      <c r="AO402" s="1250"/>
      <c r="AP402" s="1250"/>
      <c r="AQ402" s="1250"/>
      <c r="AR402" s="1250"/>
      <c r="AS402" s="1250"/>
      <c r="AT402" s="1250"/>
      <c r="AU402" s="1250"/>
      <c r="AV402" s="1250"/>
      <c r="AW402" s="1250"/>
      <c r="AX402" s="1250"/>
      <c r="AY402" s="1250"/>
      <c r="AZ402" s="1250"/>
      <c r="BA402" s="1250"/>
      <c r="BB402" s="1250"/>
      <c r="BC402" s="1250"/>
      <c r="BD402" s="1250"/>
      <c r="BE402" s="1250"/>
      <c r="BF402" s="1250"/>
      <c r="BG402" s="1250"/>
      <c r="BH402" s="1250"/>
      <c r="BI402" s="1250"/>
      <c r="BJ402" s="1250"/>
      <c r="BK402" s="1250"/>
      <c r="BL402" s="1250"/>
      <c r="BM402" s="1250"/>
      <c r="BN402" s="1250"/>
      <c r="BO402" s="1250"/>
      <c r="BP402" s="1250"/>
      <c r="BQ402" s="1250"/>
      <c r="BR402" s="1250"/>
      <c r="BS402" s="1250"/>
      <c r="BT402" s="1250"/>
      <c r="BU402" s="1250"/>
      <c r="BV402" s="1250"/>
      <c r="BW402" s="1250"/>
      <c r="BX402" s="1250"/>
      <c r="BY402" s="1250"/>
      <c r="BZ402" s="1250"/>
      <c r="CA402" s="1250"/>
      <c r="CB402" s="1250"/>
      <c r="CC402" s="1250"/>
      <c r="CD402" s="1250"/>
      <c r="CE402" s="1250"/>
      <c r="CF402" s="1250"/>
      <c r="CG402" s="1250"/>
      <c r="CH402" s="1250"/>
      <c r="CI402" s="1250"/>
      <c r="CJ402" s="1250"/>
      <c r="CK402" s="1250"/>
      <c r="CL402" s="1250"/>
      <c r="CM402" s="1250"/>
      <c r="CN402" s="1250"/>
      <c r="CO402" s="1250"/>
      <c r="CP402" s="1250"/>
      <c r="CQ402" s="1250"/>
      <c r="CR402" s="1250"/>
      <c r="CS402" s="1250"/>
      <c r="CT402" s="1250"/>
      <c r="CU402" s="1250"/>
      <c r="CV402" s="1250"/>
      <c r="CW402" s="1250"/>
      <c r="CX402" s="1250"/>
      <c r="CY402" s="1250"/>
      <c r="CZ402" s="1250"/>
      <c r="DA402" s="1250"/>
      <c r="DB402" s="1250"/>
      <c r="DC402" s="1250"/>
      <c r="DD402" s="1250"/>
      <c r="DE402" s="1250"/>
      <c r="DF402" s="1250"/>
      <c r="DG402" s="1250"/>
      <c r="DH402" s="1250"/>
      <c r="DI402" s="1250"/>
      <c r="DJ402" s="1250"/>
      <c r="DK402" s="1250"/>
      <c r="DL402" s="1250"/>
      <c r="DM402" s="1250"/>
      <c r="DN402" s="1250"/>
      <c r="DO402" s="1250"/>
      <c r="DP402" s="1250"/>
      <c r="DQ402" s="1250"/>
      <c r="DR402" s="1250"/>
      <c r="DS402" s="1250"/>
      <c r="DT402" s="1250"/>
      <c r="DU402" s="1250"/>
      <c r="DV402" s="1250"/>
      <c r="DW402" s="1250"/>
      <c r="DX402" s="1250"/>
      <c r="DY402" s="1250"/>
      <c r="DZ402" s="1250"/>
      <c r="EA402" s="1250"/>
      <c r="EB402" s="1250"/>
      <c r="EC402" s="1250"/>
      <c r="ED402" s="1250"/>
      <c r="EE402" s="1250"/>
      <c r="EF402" s="1250"/>
      <c r="EG402" s="1250"/>
      <c r="EH402" s="1250"/>
      <c r="EI402" s="1250"/>
      <c r="EJ402" s="1250"/>
      <c r="EK402" s="1250"/>
      <c r="EL402" s="1250"/>
      <c r="EM402" s="1250"/>
      <c r="EN402" s="1250"/>
      <c r="EO402" s="1250"/>
      <c r="EP402" s="1250"/>
      <c r="EQ402" s="1250"/>
      <c r="ER402" s="1250"/>
      <c r="ES402" s="1250"/>
      <c r="ET402" s="1250"/>
      <c r="EU402" s="1250"/>
      <c r="EV402" s="1250"/>
      <c r="EW402" s="1250"/>
      <c r="EX402" s="1250"/>
      <c r="EY402" s="1250"/>
      <c r="EZ402" s="1250"/>
      <c r="FA402" s="1250"/>
      <c r="FB402" s="1250"/>
      <c r="FC402" s="1250"/>
      <c r="FD402" s="1250"/>
      <c r="FE402" s="1250"/>
      <c r="FF402" s="1250"/>
      <c r="FG402" s="1250"/>
      <c r="FH402" s="1250"/>
      <c r="FI402" s="1250"/>
      <c r="FJ402" s="1250"/>
      <c r="FK402" s="1250"/>
      <c r="FL402" s="1250"/>
      <c r="FM402" s="1250"/>
      <c r="FN402" s="1250"/>
      <c r="FO402" s="1250"/>
      <c r="FP402" s="1250"/>
      <c r="FQ402" s="1250"/>
      <c r="FR402" s="1250"/>
      <c r="FS402" s="1250"/>
      <c r="FT402" s="1250"/>
      <c r="FU402" s="1250"/>
      <c r="FV402" s="1568"/>
      <c r="FW402" s="1550"/>
      <c r="FX402" s="1550" t="str">
        <f t="shared" si="6"/>
        <v>Добавить централизованную систему для дифференциации</v>
      </c>
      <c r="FY402" s="1550"/>
      <c r="FZ402" s="1550"/>
      <c r="GA402" s="1568">
        <v>0</v>
      </c>
    </row>
    <row r="403" spans="1:183" s="1747" customFormat="1" ht="23.25" customHeight="1">
      <c r="A403" s="1289"/>
      <c r="B403" s="1289" t="s">
        <v>455</v>
      </c>
      <c r="C403" s="1289"/>
      <c r="D403" s="1289"/>
      <c r="E403" s="24089"/>
      <c r="F403" s="24088" t="s">
        <v>182</v>
      </c>
      <c r="G403" s="1289"/>
      <c r="H403" s="1289"/>
      <c r="I403" s="1289"/>
      <c r="J403" s="1289"/>
      <c r="K403" s="1289"/>
      <c r="L403" s="1295"/>
      <c r="M403" s="1291"/>
      <c r="N403" s="1291"/>
      <c r="O403" s="1291"/>
      <c r="P403" s="1971"/>
      <c r="Q403" s="288"/>
      <c r="R403" s="289"/>
      <c r="S403" s="1976" t="str">
        <f>INDEX(PT_DIFFERENTIATION_NUM_TER,MATCH(B403,PT_DIFFERENTIATION_TER_ID,0))</f>
        <v>1.19</v>
      </c>
      <c r="T403" s="1448" t="s">
        <v>626</v>
      </c>
      <c r="U403" s="236"/>
      <c r="V403" s="24082"/>
      <c r="W403" s="24083"/>
      <c r="X403" s="24083"/>
      <c r="Y403" s="24083"/>
      <c r="Z403" s="24083"/>
      <c r="AA403" s="24083"/>
      <c r="AB403" s="24083"/>
      <c r="AC403" s="24083"/>
      <c r="AD403" s="24083"/>
      <c r="AE403" s="24083"/>
      <c r="AF403" s="24084"/>
      <c r="AG403" s="24082" t="str">
        <f>INDEX(PT_DIFFERENTIATION_TER,MATCH(B403,PT_DIFFERENTIATION_TER_ID,0))</f>
        <v>Территория 19</v>
      </c>
      <c r="AH403" s="24083"/>
      <c r="AI403" s="24083"/>
      <c r="AJ403" s="24083"/>
      <c r="AK403" s="24083"/>
      <c r="AL403" s="24083"/>
      <c r="AM403" s="24083"/>
      <c r="AN403" s="24083"/>
      <c r="AO403" s="24083"/>
      <c r="AP403" s="24083"/>
      <c r="AQ403" s="24083"/>
      <c r="AR403" s="24173"/>
      <c r="AS403" s="24174"/>
      <c r="AT403" s="24174"/>
      <c r="AU403" s="24174"/>
      <c r="AV403" s="24174"/>
      <c r="AW403" s="24174"/>
      <c r="AX403" s="24174"/>
      <c r="AY403" s="24174"/>
      <c r="AZ403" s="24174"/>
      <c r="BA403" s="24174"/>
      <c r="BB403" s="24175"/>
      <c r="BC403" s="24173"/>
      <c r="BD403" s="24174"/>
      <c r="BE403" s="24174"/>
      <c r="BF403" s="24174"/>
      <c r="BG403" s="24174"/>
      <c r="BH403" s="24174"/>
      <c r="BI403" s="24174"/>
      <c r="BJ403" s="24174"/>
      <c r="BK403" s="24174"/>
      <c r="BL403" s="24174"/>
      <c r="BM403" s="24175"/>
      <c r="BN403" s="24082"/>
      <c r="BO403" s="24083"/>
      <c r="BP403" s="24174"/>
      <c r="BQ403" s="24174"/>
      <c r="BR403" s="24083"/>
      <c r="BS403" s="24174"/>
      <c r="BT403" s="24174"/>
      <c r="BU403" s="24174"/>
      <c r="BV403" s="24174"/>
      <c r="BW403" s="24174"/>
      <c r="BX403" s="24175"/>
      <c r="BY403" s="24173"/>
      <c r="BZ403" s="24174"/>
      <c r="CA403" s="24174"/>
      <c r="CB403" s="24174"/>
      <c r="CC403" s="24174"/>
      <c r="CD403" s="24174"/>
      <c r="CE403" s="24174"/>
      <c r="CF403" s="24174"/>
      <c r="CG403" s="24174"/>
      <c r="CH403" s="24174"/>
      <c r="CI403" s="24175"/>
      <c r="CJ403" s="24173"/>
      <c r="CK403" s="24174"/>
      <c r="CL403" s="24174"/>
      <c r="CM403" s="24174"/>
      <c r="CN403" s="24174"/>
      <c r="CO403" s="24174"/>
      <c r="CP403" s="24174"/>
      <c r="CQ403" s="24174"/>
      <c r="CR403" s="24174"/>
      <c r="CS403" s="24174"/>
      <c r="CT403" s="24175"/>
      <c r="CU403" s="24173"/>
      <c r="CV403" s="24174"/>
      <c r="CW403" s="24174"/>
      <c r="CX403" s="24174"/>
      <c r="CY403" s="24174"/>
      <c r="CZ403" s="24174"/>
      <c r="DA403" s="24174"/>
      <c r="DB403" s="24174"/>
      <c r="DC403" s="24174"/>
      <c r="DD403" s="24174"/>
      <c r="DE403" s="24175"/>
      <c r="DF403" s="24173"/>
      <c r="DG403" s="24174"/>
      <c r="DH403" s="24174"/>
      <c r="DI403" s="24174"/>
      <c r="DJ403" s="24174"/>
      <c r="DK403" s="24174"/>
      <c r="DL403" s="24174"/>
      <c r="DM403" s="24174"/>
      <c r="DN403" s="24174"/>
      <c r="DO403" s="24174"/>
      <c r="DP403" s="24175"/>
      <c r="DQ403" s="24173"/>
      <c r="DR403" s="24174"/>
      <c r="DS403" s="24174"/>
      <c r="DT403" s="24174"/>
      <c r="DU403" s="24174"/>
      <c r="DV403" s="24174"/>
      <c r="DW403" s="24174"/>
      <c r="DX403" s="24174"/>
      <c r="DY403" s="24174"/>
      <c r="DZ403" s="24174"/>
      <c r="EA403" s="24175"/>
      <c r="EB403" s="24173"/>
      <c r="EC403" s="24174"/>
      <c r="ED403" s="24174"/>
      <c r="EE403" s="24174"/>
      <c r="EF403" s="24174"/>
      <c r="EG403" s="24174"/>
      <c r="EH403" s="24174"/>
      <c r="EI403" s="24174"/>
      <c r="EJ403" s="24174"/>
      <c r="EK403" s="24174"/>
      <c r="EL403" s="24175"/>
      <c r="EM403" s="24173"/>
      <c r="EN403" s="24174"/>
      <c r="EO403" s="24174"/>
      <c r="EP403" s="24174"/>
      <c r="EQ403" s="24174"/>
      <c r="ER403" s="24174"/>
      <c r="ES403" s="24174"/>
      <c r="ET403" s="24174"/>
      <c r="EU403" s="24174"/>
      <c r="EV403" s="24174"/>
      <c r="EW403" s="24175"/>
      <c r="EX403" s="24082"/>
      <c r="EY403" s="24083"/>
      <c r="EZ403" s="24174"/>
      <c r="FA403" s="24174"/>
      <c r="FB403" s="24083"/>
      <c r="FC403" s="24174"/>
      <c r="FD403" s="24174"/>
      <c r="FE403" s="24174"/>
      <c r="FF403" s="24174"/>
      <c r="FG403" s="24174"/>
      <c r="FH403" s="24175"/>
      <c r="FI403" s="24082"/>
      <c r="FJ403" s="24083"/>
      <c r="FK403" s="24174"/>
      <c r="FL403" s="24174"/>
      <c r="FM403" s="24083"/>
      <c r="FN403" s="24174"/>
      <c r="FO403" s="24174"/>
      <c r="FP403" s="24083"/>
      <c r="FQ403" s="24083"/>
      <c r="FR403" s="24083"/>
      <c r="FS403" s="24175"/>
      <c r="FT403" s="24084"/>
      <c r="FU403" s="1184" t="s">
        <v>627</v>
      </c>
      <c r="FV403" s="1568"/>
      <c r="FW403" s="1550"/>
      <c r="FX403" s="1550" t="str">
        <f t="shared" si="6"/>
        <v>Территория действия тарифа</v>
      </c>
      <c r="FY403" s="1550"/>
      <c r="FZ403" s="1550"/>
      <c r="GA403" s="1561">
        <v>0</v>
      </c>
    </row>
    <row r="404" spans="1:183" s="1747" customFormat="1" ht="23.25" customHeight="1">
      <c r="A404" s="1289"/>
      <c r="B404" s="1289"/>
      <c r="C404" s="1289" t="s">
        <v>456</v>
      </c>
      <c r="D404" s="1289"/>
      <c r="E404" s="24089"/>
      <c r="F404" s="24089" t="s">
        <v>111</v>
      </c>
      <c r="G404" s="24088">
        <v>1</v>
      </c>
      <c r="H404" s="1289"/>
      <c r="I404" s="1289"/>
      <c r="J404" s="1289"/>
      <c r="K404" s="1289"/>
      <c r="L404" s="1295"/>
      <c r="M404" s="1291"/>
      <c r="N404" s="1291"/>
      <c r="O404" s="1291"/>
      <c r="P404" s="290"/>
      <c r="Q404" s="288"/>
      <c r="R404" s="289"/>
      <c r="S404" s="1976" t="str">
        <f>INDEX(PT_DIFFERENTIATION_NUM_CS,MATCH(C404,PT_DIFFERENTIATION_CS_ID,0))</f>
        <v>1.19.1</v>
      </c>
      <c r="T404" s="245" t="s">
        <v>756</v>
      </c>
      <c r="U404" s="236"/>
      <c r="V404" s="24082"/>
      <c r="W404" s="24083"/>
      <c r="X404" s="24083"/>
      <c r="Y404" s="24083"/>
      <c r="Z404" s="24083"/>
      <c r="AA404" s="24083"/>
      <c r="AB404" s="24083"/>
      <c r="AC404" s="24083"/>
      <c r="AD404" s="24083"/>
      <c r="AE404" s="24083"/>
      <c r="AF404" s="24084"/>
      <c r="AG404" s="24082" t="str">
        <f>INDEX(PT_DIFFERENTIATION_CS,MATCH(C404,PT_DIFFERENTIATION_CS_ID,0))</f>
        <v>дер. Сметанино, Смоленский муниципальный округ</v>
      </c>
      <c r="AH404" s="24083"/>
      <c r="AI404" s="24083"/>
      <c r="AJ404" s="24083"/>
      <c r="AK404" s="24083"/>
      <c r="AL404" s="24083"/>
      <c r="AM404" s="24083"/>
      <c r="AN404" s="24083"/>
      <c r="AO404" s="24083"/>
      <c r="AP404" s="24083"/>
      <c r="AQ404" s="24083"/>
      <c r="AR404" s="24173"/>
      <c r="AS404" s="24174"/>
      <c r="AT404" s="24174"/>
      <c r="AU404" s="24174"/>
      <c r="AV404" s="24174"/>
      <c r="AW404" s="24174"/>
      <c r="AX404" s="24174"/>
      <c r="AY404" s="24174"/>
      <c r="AZ404" s="24174"/>
      <c r="BA404" s="24174"/>
      <c r="BB404" s="24175"/>
      <c r="BC404" s="24173"/>
      <c r="BD404" s="24174"/>
      <c r="BE404" s="24174"/>
      <c r="BF404" s="24174"/>
      <c r="BG404" s="24174"/>
      <c r="BH404" s="24174"/>
      <c r="BI404" s="24174"/>
      <c r="BJ404" s="24174"/>
      <c r="BK404" s="24174"/>
      <c r="BL404" s="24174"/>
      <c r="BM404" s="24175"/>
      <c r="BN404" s="24082"/>
      <c r="BO404" s="24083"/>
      <c r="BP404" s="24174"/>
      <c r="BQ404" s="24174"/>
      <c r="BR404" s="24083"/>
      <c r="BS404" s="24174"/>
      <c r="BT404" s="24174"/>
      <c r="BU404" s="24174"/>
      <c r="BV404" s="24174"/>
      <c r="BW404" s="24174"/>
      <c r="BX404" s="24175"/>
      <c r="BY404" s="24173"/>
      <c r="BZ404" s="24174"/>
      <c r="CA404" s="24174"/>
      <c r="CB404" s="24174"/>
      <c r="CC404" s="24174"/>
      <c r="CD404" s="24174"/>
      <c r="CE404" s="24174"/>
      <c r="CF404" s="24174"/>
      <c r="CG404" s="24174"/>
      <c r="CH404" s="24174"/>
      <c r="CI404" s="24175"/>
      <c r="CJ404" s="24173"/>
      <c r="CK404" s="24174"/>
      <c r="CL404" s="24174"/>
      <c r="CM404" s="24174"/>
      <c r="CN404" s="24174"/>
      <c r="CO404" s="24174"/>
      <c r="CP404" s="24174"/>
      <c r="CQ404" s="24174"/>
      <c r="CR404" s="24174"/>
      <c r="CS404" s="24174"/>
      <c r="CT404" s="24175"/>
      <c r="CU404" s="24173"/>
      <c r="CV404" s="24174"/>
      <c r="CW404" s="24174"/>
      <c r="CX404" s="24174"/>
      <c r="CY404" s="24174"/>
      <c r="CZ404" s="24174"/>
      <c r="DA404" s="24174"/>
      <c r="DB404" s="24174"/>
      <c r="DC404" s="24174"/>
      <c r="DD404" s="24174"/>
      <c r="DE404" s="24175"/>
      <c r="DF404" s="24173"/>
      <c r="DG404" s="24174"/>
      <c r="DH404" s="24174"/>
      <c r="DI404" s="24174"/>
      <c r="DJ404" s="24174"/>
      <c r="DK404" s="24174"/>
      <c r="DL404" s="24174"/>
      <c r="DM404" s="24174"/>
      <c r="DN404" s="24174"/>
      <c r="DO404" s="24174"/>
      <c r="DP404" s="24175"/>
      <c r="DQ404" s="24173"/>
      <c r="DR404" s="24174"/>
      <c r="DS404" s="24174"/>
      <c r="DT404" s="24174"/>
      <c r="DU404" s="24174"/>
      <c r="DV404" s="24174"/>
      <c r="DW404" s="24174"/>
      <c r="DX404" s="24174"/>
      <c r="DY404" s="24174"/>
      <c r="DZ404" s="24174"/>
      <c r="EA404" s="24175"/>
      <c r="EB404" s="24173"/>
      <c r="EC404" s="24174"/>
      <c r="ED404" s="24174"/>
      <c r="EE404" s="24174"/>
      <c r="EF404" s="24174"/>
      <c r="EG404" s="24174"/>
      <c r="EH404" s="24174"/>
      <c r="EI404" s="24174"/>
      <c r="EJ404" s="24174"/>
      <c r="EK404" s="24174"/>
      <c r="EL404" s="24175"/>
      <c r="EM404" s="24173"/>
      <c r="EN404" s="24174"/>
      <c r="EO404" s="24174"/>
      <c r="EP404" s="24174"/>
      <c r="EQ404" s="24174"/>
      <c r="ER404" s="24174"/>
      <c r="ES404" s="24174"/>
      <c r="ET404" s="24174"/>
      <c r="EU404" s="24174"/>
      <c r="EV404" s="24174"/>
      <c r="EW404" s="24175"/>
      <c r="EX404" s="24082"/>
      <c r="EY404" s="24083"/>
      <c r="EZ404" s="24174"/>
      <c r="FA404" s="24174"/>
      <c r="FB404" s="24083"/>
      <c r="FC404" s="24174"/>
      <c r="FD404" s="24174"/>
      <c r="FE404" s="24174"/>
      <c r="FF404" s="24174"/>
      <c r="FG404" s="24174"/>
      <c r="FH404" s="24175"/>
      <c r="FI404" s="24082"/>
      <c r="FJ404" s="24083"/>
      <c r="FK404" s="24174"/>
      <c r="FL404" s="24174"/>
      <c r="FM404" s="24083"/>
      <c r="FN404" s="24174"/>
      <c r="FO404" s="24174"/>
      <c r="FP404" s="24083"/>
      <c r="FQ404" s="24083"/>
      <c r="FR404" s="24083"/>
      <c r="FS404" s="24175"/>
      <c r="FT404" s="24084"/>
      <c r="FU404" s="1184" t="s">
        <v>757</v>
      </c>
      <c r="FV404" s="1568"/>
      <c r="FW404" s="1550"/>
      <c r="FX404" s="1550" t="str">
        <f t="shared" si="6"/>
        <v>Наименование централизованной системы горячего водоснабжения</v>
      </c>
      <c r="FY404" s="1550"/>
      <c r="FZ404" s="1550"/>
      <c r="GA404" s="1561">
        <v>0</v>
      </c>
    </row>
    <row r="405" spans="1:183" s="1747" customFormat="1" ht="23.25" customHeight="1">
      <c r="A405" s="1289"/>
      <c r="B405" s="1289"/>
      <c r="C405" s="1289"/>
      <c r="D405" s="1289"/>
      <c r="E405" s="24089"/>
      <c r="F405" s="24089" t="s">
        <v>111</v>
      </c>
      <c r="G405" s="24089"/>
      <c r="H405" s="24089"/>
      <c r="I405" s="24090" t="str">
        <f>S404&amp;".1"</f>
        <v>1.19.1.1</v>
      </c>
      <c r="J405" s="1289"/>
      <c r="K405" s="1289"/>
      <c r="L405" s="1295"/>
      <c r="M405" s="1674"/>
      <c r="N405" s="1674"/>
      <c r="O405" s="1674"/>
      <c r="P405" s="24092">
        <v>1</v>
      </c>
      <c r="Q405" s="1978"/>
      <c r="R405" s="292"/>
      <c r="S405" s="1976" t="str">
        <f>$I405</f>
        <v>1.19.1.1</v>
      </c>
      <c r="T405" s="221" t="s">
        <v>709</v>
      </c>
      <c r="U405" s="236"/>
      <c r="V405" s="24156"/>
      <c r="W405" s="24157"/>
      <c r="X405" s="24157"/>
      <c r="Y405" s="24157"/>
      <c r="Z405" s="24157"/>
      <c r="AA405" s="24157"/>
      <c r="AB405" s="24157"/>
      <c r="AC405" s="24157"/>
      <c r="AD405" s="24157"/>
      <c r="AE405" s="24157"/>
      <c r="AF405" s="24158"/>
      <c r="AG405" s="24159"/>
      <c r="AH405" s="24160"/>
      <c r="AI405" s="24160"/>
      <c r="AJ405" s="24160"/>
      <c r="AK405" s="24160"/>
      <c r="AL405" s="24160"/>
      <c r="AM405" s="24160"/>
      <c r="AN405" s="24160"/>
      <c r="AO405" s="24160"/>
      <c r="AP405" s="24160"/>
      <c r="AQ405" s="24160"/>
      <c r="AR405" s="24176"/>
      <c r="AS405" s="24177"/>
      <c r="AT405" s="24177"/>
      <c r="AU405" s="24177"/>
      <c r="AV405" s="24177"/>
      <c r="AW405" s="24177"/>
      <c r="AX405" s="24177"/>
      <c r="AY405" s="24177"/>
      <c r="AZ405" s="24177"/>
      <c r="BA405" s="24177"/>
      <c r="BB405" s="24178"/>
      <c r="BC405" s="24176"/>
      <c r="BD405" s="24177"/>
      <c r="BE405" s="24177"/>
      <c r="BF405" s="24177"/>
      <c r="BG405" s="24177"/>
      <c r="BH405" s="24177"/>
      <c r="BI405" s="24177"/>
      <c r="BJ405" s="24177"/>
      <c r="BK405" s="24177"/>
      <c r="BL405" s="24177"/>
      <c r="BM405" s="24178"/>
      <c r="BN405" s="24156"/>
      <c r="BO405" s="24157"/>
      <c r="BP405" s="24177"/>
      <c r="BQ405" s="24177"/>
      <c r="BR405" s="24157"/>
      <c r="BS405" s="24177"/>
      <c r="BT405" s="24177"/>
      <c r="BU405" s="24177"/>
      <c r="BV405" s="24177"/>
      <c r="BW405" s="24177"/>
      <c r="BX405" s="24178"/>
      <c r="BY405" s="24176"/>
      <c r="BZ405" s="24177"/>
      <c r="CA405" s="24177"/>
      <c r="CB405" s="24177"/>
      <c r="CC405" s="24177"/>
      <c r="CD405" s="24177"/>
      <c r="CE405" s="24177"/>
      <c r="CF405" s="24177"/>
      <c r="CG405" s="24177"/>
      <c r="CH405" s="24177"/>
      <c r="CI405" s="24178"/>
      <c r="CJ405" s="24176"/>
      <c r="CK405" s="24177"/>
      <c r="CL405" s="24177"/>
      <c r="CM405" s="24177"/>
      <c r="CN405" s="24177"/>
      <c r="CO405" s="24177"/>
      <c r="CP405" s="24177"/>
      <c r="CQ405" s="24177"/>
      <c r="CR405" s="24177"/>
      <c r="CS405" s="24177"/>
      <c r="CT405" s="24178"/>
      <c r="CU405" s="24176"/>
      <c r="CV405" s="24177"/>
      <c r="CW405" s="24177"/>
      <c r="CX405" s="24177"/>
      <c r="CY405" s="24177"/>
      <c r="CZ405" s="24177"/>
      <c r="DA405" s="24177"/>
      <c r="DB405" s="24177"/>
      <c r="DC405" s="24177"/>
      <c r="DD405" s="24177"/>
      <c r="DE405" s="24178"/>
      <c r="DF405" s="24176"/>
      <c r="DG405" s="24177"/>
      <c r="DH405" s="24177"/>
      <c r="DI405" s="24177"/>
      <c r="DJ405" s="24177"/>
      <c r="DK405" s="24177"/>
      <c r="DL405" s="24177"/>
      <c r="DM405" s="24177"/>
      <c r="DN405" s="24177"/>
      <c r="DO405" s="24177"/>
      <c r="DP405" s="24178"/>
      <c r="DQ405" s="24176"/>
      <c r="DR405" s="24177"/>
      <c r="DS405" s="24177"/>
      <c r="DT405" s="24177"/>
      <c r="DU405" s="24177"/>
      <c r="DV405" s="24177"/>
      <c r="DW405" s="24177"/>
      <c r="DX405" s="24177"/>
      <c r="DY405" s="24177"/>
      <c r="DZ405" s="24177"/>
      <c r="EA405" s="24178"/>
      <c r="EB405" s="24176"/>
      <c r="EC405" s="24177"/>
      <c r="ED405" s="24177"/>
      <c r="EE405" s="24177"/>
      <c r="EF405" s="24177"/>
      <c r="EG405" s="24177"/>
      <c r="EH405" s="24177"/>
      <c r="EI405" s="24177"/>
      <c r="EJ405" s="24177"/>
      <c r="EK405" s="24177"/>
      <c r="EL405" s="24178"/>
      <c r="EM405" s="24176"/>
      <c r="EN405" s="24177"/>
      <c r="EO405" s="24177"/>
      <c r="EP405" s="24177"/>
      <c r="EQ405" s="24177"/>
      <c r="ER405" s="24177"/>
      <c r="ES405" s="24177"/>
      <c r="ET405" s="24177"/>
      <c r="EU405" s="24177"/>
      <c r="EV405" s="24177"/>
      <c r="EW405" s="24178"/>
      <c r="EX405" s="24156"/>
      <c r="EY405" s="24157"/>
      <c r="EZ405" s="24177"/>
      <c r="FA405" s="24177"/>
      <c r="FB405" s="24157"/>
      <c r="FC405" s="24177"/>
      <c r="FD405" s="24177"/>
      <c r="FE405" s="24177"/>
      <c r="FF405" s="24177"/>
      <c r="FG405" s="24177"/>
      <c r="FH405" s="24178"/>
      <c r="FI405" s="24156"/>
      <c r="FJ405" s="24157"/>
      <c r="FK405" s="24177"/>
      <c r="FL405" s="24177"/>
      <c r="FM405" s="24157"/>
      <c r="FN405" s="24177"/>
      <c r="FO405" s="24177"/>
      <c r="FP405" s="24157"/>
      <c r="FQ405" s="24157"/>
      <c r="FR405" s="24157"/>
      <c r="FS405" s="24178"/>
      <c r="FT405" s="24161"/>
      <c r="FU405" s="1184" t="s">
        <v>710</v>
      </c>
      <c r="FV405" s="1568"/>
      <c r="FW405" s="1550"/>
      <c r="FX405" s="1550" t="str">
        <f t="shared" si="6"/>
        <v>Наименование признака дифференциации</v>
      </c>
      <c r="FY405" s="1550"/>
      <c r="FZ405" s="1550"/>
      <c r="GA405" s="1561">
        <v>0</v>
      </c>
    </row>
    <row r="406" spans="1:183" s="1747" customFormat="1" ht="23.25" customHeight="1">
      <c r="A406" s="1289"/>
      <c r="B406" s="1289"/>
      <c r="C406" s="1289"/>
      <c r="D406" s="1289"/>
      <c r="E406" s="24089"/>
      <c r="F406" s="24089" t="s">
        <v>111</v>
      </c>
      <c r="G406" s="24089"/>
      <c r="H406" s="24089"/>
      <c r="I406" s="24091"/>
      <c r="J406" s="24090" t="str">
        <f>I405&amp;".1"</f>
        <v>1.19.1.1.1</v>
      </c>
      <c r="K406" s="1289"/>
      <c r="L406" s="1295" t="s">
        <v>635</v>
      </c>
      <c r="M406" s="1674"/>
      <c r="N406" s="1674"/>
      <c r="O406" s="1674"/>
      <c r="P406" s="24092"/>
      <c r="Q406" s="24092">
        <v>1</v>
      </c>
      <c r="R406" s="293"/>
      <c r="S406" s="1976" t="str">
        <f>$J406</f>
        <v>1.19.1.1.1</v>
      </c>
      <c r="T406" s="222" t="s">
        <v>636</v>
      </c>
      <c r="U406" s="236"/>
      <c r="V406" s="24076"/>
      <c r="W406" s="24077"/>
      <c r="X406" s="24077"/>
      <c r="Y406" s="24077"/>
      <c r="Z406" s="24077"/>
      <c r="AA406" s="24077"/>
      <c r="AB406" s="24077"/>
      <c r="AC406" s="24077"/>
      <c r="AD406" s="24077"/>
      <c r="AE406" s="24077"/>
      <c r="AF406" s="24078"/>
      <c r="AG406" s="24076" t="s">
        <v>769</v>
      </c>
      <c r="AH406" s="24077"/>
      <c r="AI406" s="24077"/>
      <c r="AJ406" s="24077"/>
      <c r="AK406" s="24077"/>
      <c r="AL406" s="24077"/>
      <c r="AM406" s="24077"/>
      <c r="AN406" s="24077"/>
      <c r="AO406" s="24077"/>
      <c r="AP406" s="24077"/>
      <c r="AQ406" s="24077"/>
      <c r="AR406" s="24179"/>
      <c r="AS406" s="24180"/>
      <c r="AT406" s="24180"/>
      <c r="AU406" s="24180"/>
      <c r="AV406" s="24180"/>
      <c r="AW406" s="24180"/>
      <c r="AX406" s="24180"/>
      <c r="AY406" s="24180"/>
      <c r="AZ406" s="24180"/>
      <c r="BA406" s="24180"/>
      <c r="BB406" s="24181"/>
      <c r="BC406" s="24179"/>
      <c r="BD406" s="24180"/>
      <c r="BE406" s="24180"/>
      <c r="BF406" s="24180"/>
      <c r="BG406" s="24180"/>
      <c r="BH406" s="24180"/>
      <c r="BI406" s="24180"/>
      <c r="BJ406" s="24180"/>
      <c r="BK406" s="24180"/>
      <c r="BL406" s="24180"/>
      <c r="BM406" s="24181"/>
      <c r="BN406" s="24076"/>
      <c r="BO406" s="24077"/>
      <c r="BP406" s="24180"/>
      <c r="BQ406" s="24180"/>
      <c r="BR406" s="24077"/>
      <c r="BS406" s="24180"/>
      <c r="BT406" s="24180"/>
      <c r="BU406" s="24180"/>
      <c r="BV406" s="24180"/>
      <c r="BW406" s="24180"/>
      <c r="BX406" s="24181"/>
      <c r="BY406" s="24179"/>
      <c r="BZ406" s="24180"/>
      <c r="CA406" s="24180"/>
      <c r="CB406" s="24180"/>
      <c r="CC406" s="24180"/>
      <c r="CD406" s="24180"/>
      <c r="CE406" s="24180"/>
      <c r="CF406" s="24180"/>
      <c r="CG406" s="24180"/>
      <c r="CH406" s="24180"/>
      <c r="CI406" s="24181"/>
      <c r="CJ406" s="24179"/>
      <c r="CK406" s="24180"/>
      <c r="CL406" s="24180"/>
      <c r="CM406" s="24180"/>
      <c r="CN406" s="24180"/>
      <c r="CO406" s="24180"/>
      <c r="CP406" s="24180"/>
      <c r="CQ406" s="24180"/>
      <c r="CR406" s="24180"/>
      <c r="CS406" s="24180"/>
      <c r="CT406" s="24181"/>
      <c r="CU406" s="24179"/>
      <c r="CV406" s="24180"/>
      <c r="CW406" s="24180"/>
      <c r="CX406" s="24180"/>
      <c r="CY406" s="24180"/>
      <c r="CZ406" s="24180"/>
      <c r="DA406" s="24180"/>
      <c r="DB406" s="24180"/>
      <c r="DC406" s="24180"/>
      <c r="DD406" s="24180"/>
      <c r="DE406" s="24181"/>
      <c r="DF406" s="24179"/>
      <c r="DG406" s="24180"/>
      <c r="DH406" s="24180"/>
      <c r="DI406" s="24180"/>
      <c r="DJ406" s="24180"/>
      <c r="DK406" s="24180"/>
      <c r="DL406" s="24180"/>
      <c r="DM406" s="24180"/>
      <c r="DN406" s="24180"/>
      <c r="DO406" s="24180"/>
      <c r="DP406" s="24181"/>
      <c r="DQ406" s="24179"/>
      <c r="DR406" s="24180"/>
      <c r="DS406" s="24180"/>
      <c r="DT406" s="24180"/>
      <c r="DU406" s="24180"/>
      <c r="DV406" s="24180"/>
      <c r="DW406" s="24180"/>
      <c r="DX406" s="24180"/>
      <c r="DY406" s="24180"/>
      <c r="DZ406" s="24180"/>
      <c r="EA406" s="24181"/>
      <c r="EB406" s="24179"/>
      <c r="EC406" s="24180"/>
      <c r="ED406" s="24180"/>
      <c r="EE406" s="24180"/>
      <c r="EF406" s="24180"/>
      <c r="EG406" s="24180"/>
      <c r="EH406" s="24180"/>
      <c r="EI406" s="24180"/>
      <c r="EJ406" s="24180"/>
      <c r="EK406" s="24180"/>
      <c r="EL406" s="24181"/>
      <c r="EM406" s="24179"/>
      <c r="EN406" s="24180"/>
      <c r="EO406" s="24180"/>
      <c r="EP406" s="24180"/>
      <c r="EQ406" s="24180"/>
      <c r="ER406" s="24180"/>
      <c r="ES406" s="24180"/>
      <c r="ET406" s="24180"/>
      <c r="EU406" s="24180"/>
      <c r="EV406" s="24180"/>
      <c r="EW406" s="24181"/>
      <c r="EX406" s="24076"/>
      <c r="EY406" s="24077"/>
      <c r="EZ406" s="24180"/>
      <c r="FA406" s="24180"/>
      <c r="FB406" s="24077"/>
      <c r="FC406" s="24180"/>
      <c r="FD406" s="24180"/>
      <c r="FE406" s="24180"/>
      <c r="FF406" s="24180"/>
      <c r="FG406" s="24180"/>
      <c r="FH406" s="24181"/>
      <c r="FI406" s="24076"/>
      <c r="FJ406" s="24077"/>
      <c r="FK406" s="24180"/>
      <c r="FL406" s="24180"/>
      <c r="FM406" s="24077"/>
      <c r="FN406" s="24180"/>
      <c r="FO406" s="24180"/>
      <c r="FP406" s="24077"/>
      <c r="FQ406" s="24077"/>
      <c r="FR406" s="24077"/>
      <c r="FS406" s="24181"/>
      <c r="FT406" s="24078"/>
      <c r="FU406" s="1233" t="s">
        <v>711</v>
      </c>
      <c r="FV406" s="1568"/>
      <c r="FW406" s="1550"/>
      <c r="FX406" s="1550" t="str">
        <f t="shared" si="6"/>
        <v>Группа потребителей</v>
      </c>
      <c r="FY406" s="1550"/>
      <c r="FZ406" s="1550"/>
      <c r="GA406" s="1561">
        <v>0</v>
      </c>
    </row>
    <row r="407" spans="1:183" s="1747" customFormat="1" ht="23.25" customHeight="1">
      <c r="A407" s="1289"/>
      <c r="B407" s="1289"/>
      <c r="C407" s="1289"/>
      <c r="D407" s="1289"/>
      <c r="E407" s="24089"/>
      <c r="F407" s="24089" t="s">
        <v>111</v>
      </c>
      <c r="G407" s="24089"/>
      <c r="H407" s="24089"/>
      <c r="I407" s="24091"/>
      <c r="J407" s="24091"/>
      <c r="K407" s="24090" t="str">
        <f>J406&amp;".1"</f>
        <v>1.19.1.1.1.1</v>
      </c>
      <c r="L407" s="1295"/>
      <c r="M407" s="1674"/>
      <c r="N407" s="1674"/>
      <c r="O407" s="1674"/>
      <c r="P407" s="24092"/>
      <c r="Q407" s="24092"/>
      <c r="R407" s="293">
        <v>1</v>
      </c>
      <c r="S407" s="1976" t="str">
        <f>$K407</f>
        <v>1.19.1.1.1.1</v>
      </c>
      <c r="T407" s="1363"/>
      <c r="U407" s="236"/>
      <c r="V407" s="687"/>
      <c r="W407" s="687"/>
      <c r="X407" s="687"/>
      <c r="Y407" s="687"/>
      <c r="Z407" s="687"/>
      <c r="AA407" s="687"/>
      <c r="AB407" s="687"/>
      <c r="AC407" s="24093"/>
      <c r="AD407" s="23957" t="s">
        <v>59</v>
      </c>
      <c r="AE407" s="24095"/>
      <c r="AF407" s="23957" t="s">
        <v>59</v>
      </c>
      <c r="AG407" s="687">
        <v>261.83999999999997</v>
      </c>
      <c r="AH407" s="687">
        <v>40.299999999999997</v>
      </c>
      <c r="AI407" s="687"/>
      <c r="AJ407" s="687"/>
      <c r="AK407" s="687">
        <v>3585.52</v>
      </c>
      <c r="AL407" s="687"/>
      <c r="AM407" s="687"/>
      <c r="AN407" s="24093" t="s">
        <v>9</v>
      </c>
      <c r="AO407" s="23957" t="s">
        <v>59</v>
      </c>
      <c r="AP407" s="24095" t="s">
        <v>770</v>
      </c>
      <c r="AQ407" s="23957" t="s">
        <v>59</v>
      </c>
      <c r="AR407" s="687">
        <v>291.70999999999998</v>
      </c>
      <c r="AS407" s="687">
        <v>44.25</v>
      </c>
      <c r="AT407" s="687"/>
      <c r="AU407" s="687"/>
      <c r="AV407" s="687">
        <v>4005.03</v>
      </c>
      <c r="AW407" s="687"/>
      <c r="AX407" s="687"/>
      <c r="AY407" s="24093" t="s">
        <v>772</v>
      </c>
      <c r="AZ407" s="23957" t="s">
        <v>59</v>
      </c>
      <c r="BA407" s="24093" t="s">
        <v>773</v>
      </c>
      <c r="BB407" s="23957" t="s">
        <v>59</v>
      </c>
      <c r="BC407" s="687">
        <v>291.70999999999998</v>
      </c>
      <c r="BD407" s="687">
        <v>44.25</v>
      </c>
      <c r="BE407" s="687"/>
      <c r="BF407" s="687"/>
      <c r="BG407" s="687">
        <v>4005.03</v>
      </c>
      <c r="BH407" s="687"/>
      <c r="BI407" s="687"/>
      <c r="BJ407" s="24093" t="s">
        <v>774</v>
      </c>
      <c r="BK407" s="23957" t="s">
        <v>59</v>
      </c>
      <c r="BL407" s="24093" t="s">
        <v>775</v>
      </c>
      <c r="BM407" s="23957" t="s">
        <v>59</v>
      </c>
      <c r="BN407" s="687">
        <v>330.02</v>
      </c>
      <c r="BO407" s="687">
        <v>53.12</v>
      </c>
      <c r="BP407" s="687"/>
      <c r="BQ407" s="687"/>
      <c r="BR407" s="687">
        <v>4481.53</v>
      </c>
      <c r="BS407" s="687"/>
      <c r="BT407" s="687"/>
      <c r="BU407" s="24093" t="s">
        <v>776</v>
      </c>
      <c r="BV407" s="23957" t="s">
        <v>59</v>
      </c>
      <c r="BW407" s="24093" t="s">
        <v>777</v>
      </c>
      <c r="BX407" s="23957" t="s">
        <v>59</v>
      </c>
      <c r="BY407" s="687">
        <v>362.86</v>
      </c>
      <c r="BZ407" s="687">
        <v>85.96</v>
      </c>
      <c r="CA407" s="687"/>
      <c r="CB407" s="687"/>
      <c r="CC407" s="687">
        <v>4481.53</v>
      </c>
      <c r="CD407" s="687"/>
      <c r="CE407" s="687"/>
      <c r="CF407" s="24093" t="s">
        <v>778</v>
      </c>
      <c r="CG407" s="23957" t="s">
        <v>59</v>
      </c>
      <c r="CH407" s="24185">
        <v>46173</v>
      </c>
      <c r="CI407" s="23957" t="s">
        <v>59</v>
      </c>
      <c r="CJ407" s="687">
        <f>BY407</f>
        <v>362.86</v>
      </c>
      <c r="CK407" s="687">
        <f>BZ407</f>
        <v>85.96</v>
      </c>
      <c r="CL407" s="687"/>
      <c r="CM407" s="687"/>
      <c r="CN407" s="687">
        <f>CC407</f>
        <v>4481.53</v>
      </c>
      <c r="CO407" s="687"/>
      <c r="CP407" s="687"/>
      <c r="CQ407" s="24185">
        <v>46174</v>
      </c>
      <c r="CR407" s="23957" t="s">
        <v>59</v>
      </c>
      <c r="CS407" s="24185">
        <v>46295</v>
      </c>
      <c r="CT407" s="23957" t="s">
        <v>59</v>
      </c>
      <c r="CU407" s="687">
        <v>400.58</v>
      </c>
      <c r="CV407" s="687">
        <v>96.27</v>
      </c>
      <c r="CW407" s="687"/>
      <c r="CX407" s="687"/>
      <c r="CY407" s="687">
        <v>4925.08</v>
      </c>
      <c r="CZ407" s="687"/>
      <c r="DA407" s="687"/>
      <c r="DB407" s="24185">
        <v>46296</v>
      </c>
      <c r="DC407" s="23957" t="s">
        <v>59</v>
      </c>
      <c r="DD407" s="24185">
        <v>46387</v>
      </c>
      <c r="DE407" s="23957" t="s">
        <v>59</v>
      </c>
      <c r="DF407" s="687">
        <v>398.7</v>
      </c>
      <c r="DG407" s="687">
        <v>94.39</v>
      </c>
      <c r="DH407" s="687"/>
      <c r="DI407" s="687"/>
      <c r="DJ407" s="687">
        <v>4925.08</v>
      </c>
      <c r="DK407" s="687"/>
      <c r="DL407" s="687"/>
      <c r="DM407" s="24185">
        <v>46388</v>
      </c>
      <c r="DN407" s="23957" t="s">
        <v>59</v>
      </c>
      <c r="DO407" s="24185">
        <v>46568</v>
      </c>
      <c r="DP407" s="23957" t="s">
        <v>59</v>
      </c>
      <c r="DQ407" s="687">
        <v>425.15</v>
      </c>
      <c r="DR407" s="687">
        <f>DG407</f>
        <v>94.39</v>
      </c>
      <c r="DS407" s="687"/>
      <c r="DT407" s="687"/>
      <c r="DU407" s="687">
        <v>5353.25</v>
      </c>
      <c r="DV407" s="687"/>
      <c r="DW407" s="687"/>
      <c r="DX407" s="24185">
        <v>46569</v>
      </c>
      <c r="DY407" s="23957" t="s">
        <v>59</v>
      </c>
      <c r="DZ407" s="24185">
        <v>46752</v>
      </c>
      <c r="EA407" s="23957" t="s">
        <v>59</v>
      </c>
      <c r="EB407" s="687">
        <f>DQ407</f>
        <v>425.15</v>
      </c>
      <c r="EC407" s="687">
        <f>DR407</f>
        <v>94.39</v>
      </c>
      <c r="ED407" s="687"/>
      <c r="EE407" s="687"/>
      <c r="EF407" s="687">
        <f>DU407</f>
        <v>5353.25</v>
      </c>
      <c r="EG407" s="687"/>
      <c r="EH407" s="687"/>
      <c r="EI407" s="24185">
        <v>46753</v>
      </c>
      <c r="EJ407" s="23957" t="s">
        <v>59</v>
      </c>
      <c r="EK407" s="24185">
        <v>46934</v>
      </c>
      <c r="EL407" s="23957" t="s">
        <v>59</v>
      </c>
      <c r="EM407" s="687">
        <v>453.33</v>
      </c>
      <c r="EN407" s="687">
        <v>101.25</v>
      </c>
      <c r="EO407" s="687"/>
      <c r="EP407" s="687"/>
      <c r="EQ407" s="687">
        <v>5698.32</v>
      </c>
      <c r="ER407" s="687"/>
      <c r="ES407" s="687"/>
      <c r="ET407" s="24185">
        <v>46935</v>
      </c>
      <c r="EU407" s="23957" t="s">
        <v>59</v>
      </c>
      <c r="EV407" s="24207">
        <v>47118</v>
      </c>
      <c r="EW407" s="23957" t="s">
        <v>59</v>
      </c>
      <c r="EX407" s="687">
        <v>325.08</v>
      </c>
      <c r="EY407" s="687">
        <v>0</v>
      </c>
      <c r="EZ407" s="687"/>
      <c r="FA407" s="687"/>
      <c r="FB407" s="687">
        <f>EQ407</f>
        <v>5698.32</v>
      </c>
      <c r="FC407" s="687"/>
      <c r="FD407" s="687"/>
      <c r="FE407" s="24185">
        <v>47119</v>
      </c>
      <c r="FF407" s="23957" t="s">
        <v>59</v>
      </c>
      <c r="FG407" s="24207">
        <v>47299</v>
      </c>
      <c r="FH407" s="23957" t="s">
        <v>59</v>
      </c>
      <c r="FI407" s="687">
        <v>365.74</v>
      </c>
      <c r="FJ407" s="687"/>
      <c r="FK407" s="687"/>
      <c r="FL407" s="687"/>
      <c r="FM407" s="687">
        <v>5919.36</v>
      </c>
      <c r="FN407" s="687"/>
      <c r="FO407" s="687"/>
      <c r="FP407" s="24093">
        <v>47300.675324074073</v>
      </c>
      <c r="FQ407" s="23957" t="s">
        <v>59</v>
      </c>
      <c r="FR407" s="24095">
        <v>47483.675717592596</v>
      </c>
      <c r="FS407" s="23957" t="s">
        <v>59</v>
      </c>
      <c r="FT407" s="1364"/>
      <c r="FU40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07" s="1568" t="e">
        <f ca="1">STRCHECKDATE(V408:FT408)</f>
        <v>#NAME?</v>
      </c>
      <c r="FW407" s="1550"/>
      <c r="FX407" s="1550" t="str">
        <f t="shared" si="6"/>
        <v/>
      </c>
      <c r="FY407" s="1550"/>
      <c r="FZ407" s="1550"/>
      <c r="GA407" s="1561">
        <v>0</v>
      </c>
    </row>
    <row r="408" spans="1:183" s="1747" customFormat="1" ht="14.25" customHeight="1">
      <c r="A408" s="1289"/>
      <c r="B408" s="1289"/>
      <c r="C408" s="1289"/>
      <c r="D408" s="1289"/>
      <c r="E408" s="24089"/>
      <c r="F408" s="24089" t="s">
        <v>111</v>
      </c>
      <c r="G408" s="24089"/>
      <c r="H408" s="24089"/>
      <c r="I408" s="24091"/>
      <c r="J408" s="24091"/>
      <c r="K408" s="24090"/>
      <c r="L408" s="1295"/>
      <c r="M408" s="1674"/>
      <c r="N408" s="1674"/>
      <c r="O408" s="1674"/>
      <c r="P408" s="24092"/>
      <c r="Q408" s="24092"/>
      <c r="R408" s="293"/>
      <c r="S408" s="1982"/>
      <c r="T408" s="236"/>
      <c r="U408" s="236"/>
      <c r="V408" s="261"/>
      <c r="W408" s="261"/>
      <c r="X408" s="261"/>
      <c r="Y408" s="261"/>
      <c r="Z408" s="261"/>
      <c r="AA408" s="261"/>
      <c r="AB408" s="261"/>
      <c r="AC408" s="24094"/>
      <c r="AD408" s="23957"/>
      <c r="AE408" s="24096"/>
      <c r="AF408" s="23957"/>
      <c r="AG408" s="261"/>
      <c r="AH408" s="261"/>
      <c r="AI408" s="261"/>
      <c r="AJ408" s="261"/>
      <c r="AK408" s="261"/>
      <c r="AL408" s="261"/>
      <c r="AM408" s="261"/>
      <c r="AN408" s="24094"/>
      <c r="AO408" s="23957"/>
      <c r="AP408" s="24096"/>
      <c r="AQ408" s="23957"/>
      <c r="AR408" s="261"/>
      <c r="AS408" s="261"/>
      <c r="AT408" s="261"/>
      <c r="AU408" s="261"/>
      <c r="AV408" s="261"/>
      <c r="AW408" s="261"/>
      <c r="AX408" s="261"/>
      <c r="AY408" s="24094"/>
      <c r="AZ408" s="23957"/>
      <c r="BA408" s="24094"/>
      <c r="BB408" s="23957"/>
      <c r="BC408" s="261"/>
      <c r="BD408" s="261"/>
      <c r="BE408" s="261"/>
      <c r="BF408" s="261"/>
      <c r="BG408" s="261"/>
      <c r="BH408" s="261"/>
      <c r="BI408" s="261"/>
      <c r="BJ408" s="24094"/>
      <c r="BK408" s="23957"/>
      <c r="BL408" s="24094"/>
      <c r="BM408" s="23957"/>
      <c r="BN408" s="261"/>
      <c r="BO408" s="261"/>
      <c r="BP408" s="261"/>
      <c r="BQ408" s="261"/>
      <c r="BR408" s="261"/>
      <c r="BS408" s="261"/>
      <c r="BT408" s="261"/>
      <c r="BU408" s="24094"/>
      <c r="BV408" s="23957"/>
      <c r="BW408" s="24094"/>
      <c r="BX408" s="23957"/>
      <c r="BY408" s="261"/>
      <c r="BZ408" s="261"/>
      <c r="CA408" s="261"/>
      <c r="CB408" s="261"/>
      <c r="CC408" s="261"/>
      <c r="CD408" s="261"/>
      <c r="CE408" s="261"/>
      <c r="CF408" s="24094"/>
      <c r="CG408" s="23957"/>
      <c r="CH408" s="24094"/>
      <c r="CI408" s="23957"/>
      <c r="CJ408" s="261"/>
      <c r="CK408" s="261"/>
      <c r="CL408" s="261"/>
      <c r="CM408" s="261"/>
      <c r="CN408" s="261"/>
      <c r="CO408" s="261"/>
      <c r="CP408" s="261"/>
      <c r="CQ408" s="24094"/>
      <c r="CR408" s="23957"/>
      <c r="CS408" s="24094"/>
      <c r="CT408" s="23957"/>
      <c r="CU408" s="261"/>
      <c r="CV408" s="261"/>
      <c r="CW408" s="261"/>
      <c r="CX408" s="261"/>
      <c r="CY408" s="261"/>
      <c r="CZ408" s="261"/>
      <c r="DA408" s="261"/>
      <c r="DB408" s="24094"/>
      <c r="DC408" s="23957"/>
      <c r="DD408" s="24094"/>
      <c r="DE408" s="23957"/>
      <c r="DF408" s="261"/>
      <c r="DG408" s="261"/>
      <c r="DH408" s="261"/>
      <c r="DI408" s="261"/>
      <c r="DJ408" s="261"/>
      <c r="DK408" s="261"/>
      <c r="DL408" s="261"/>
      <c r="DM408" s="24094"/>
      <c r="DN408" s="23957"/>
      <c r="DO408" s="24094"/>
      <c r="DP408" s="23957"/>
      <c r="DQ408" s="261"/>
      <c r="DR408" s="261"/>
      <c r="DS408" s="261"/>
      <c r="DT408" s="261"/>
      <c r="DU408" s="261"/>
      <c r="DV408" s="261"/>
      <c r="DW408" s="261"/>
      <c r="DX408" s="24094"/>
      <c r="DY408" s="23957"/>
      <c r="DZ408" s="24094"/>
      <c r="EA408" s="23957"/>
      <c r="EB408" s="261"/>
      <c r="EC408" s="261"/>
      <c r="ED408" s="261"/>
      <c r="EE408" s="261"/>
      <c r="EF408" s="261"/>
      <c r="EG408" s="261"/>
      <c r="EH408" s="261"/>
      <c r="EI408" s="24094"/>
      <c r="EJ408" s="23957"/>
      <c r="EK408" s="24094"/>
      <c r="EL408" s="23957"/>
      <c r="EM408" s="261"/>
      <c r="EN408" s="261"/>
      <c r="EO408" s="261"/>
      <c r="EP408" s="261"/>
      <c r="EQ408" s="261"/>
      <c r="ER408" s="261"/>
      <c r="ES408" s="261"/>
      <c r="ET408" s="24094"/>
      <c r="EU408" s="23957"/>
      <c r="EV408" s="24096"/>
      <c r="EW408" s="23957"/>
      <c r="EX408" s="261"/>
      <c r="EY408" s="261"/>
      <c r="EZ408" s="261"/>
      <c r="FA408" s="261"/>
      <c r="FB408" s="261"/>
      <c r="FC408" s="261"/>
      <c r="FD408" s="261"/>
      <c r="FE408" s="24094"/>
      <c r="FF408" s="23957"/>
      <c r="FG408" s="24096"/>
      <c r="FH408" s="23957"/>
      <c r="FI408" s="261"/>
      <c r="FJ408" s="261"/>
      <c r="FK408" s="261"/>
      <c r="FL408" s="261"/>
      <c r="FM408" s="261"/>
      <c r="FN408" s="261"/>
      <c r="FO408" s="261"/>
      <c r="FP408" s="24094"/>
      <c r="FQ408" s="23957"/>
      <c r="FR408" s="24096"/>
      <c r="FS408" s="23957"/>
      <c r="FT408" s="1365"/>
      <c r="FU408" s="24162"/>
      <c r="FV408" s="1568"/>
      <c r="FW408" s="1550"/>
      <c r="FX408" s="1550" t="str">
        <f t="shared" si="6"/>
        <v/>
      </c>
      <c r="FY408" s="1550"/>
      <c r="FZ408" s="1550"/>
      <c r="GA408" s="1561">
        <v>0</v>
      </c>
    </row>
    <row r="409" spans="1:183" s="1747" customFormat="1" ht="21" customHeight="1">
      <c r="A409" s="1289"/>
      <c r="B409" s="1289"/>
      <c r="C409" s="1289"/>
      <c r="D409" s="1289"/>
      <c r="E409" s="24089"/>
      <c r="F409" s="24089" t="s">
        <v>111</v>
      </c>
      <c r="G409" s="24089"/>
      <c r="H409" s="24089"/>
      <c r="I409" s="24091"/>
      <c r="J409" s="24090"/>
      <c r="K409" s="1289"/>
      <c r="L409" s="1295"/>
      <c r="M409" s="1674"/>
      <c r="N409" s="1674"/>
      <c r="O409" s="1674"/>
      <c r="P409" s="24092"/>
      <c r="Q409" s="24092"/>
      <c r="R409" s="292"/>
      <c r="S409" s="5389"/>
      <c r="T409" s="5390" t="s">
        <v>712</v>
      </c>
      <c r="U409" s="5391"/>
      <c r="V409" s="5392"/>
      <c r="W409" s="5393"/>
      <c r="X409" s="5394"/>
      <c r="Y409" s="5395"/>
      <c r="Z409" s="5396"/>
      <c r="AA409" s="5397"/>
      <c r="AB409" s="5398"/>
      <c r="AC409" s="5399"/>
      <c r="AD409" s="5400"/>
      <c r="AE409" s="5401"/>
      <c r="AF409" s="5402"/>
      <c r="AG409" s="5403"/>
      <c r="AH409" s="5404"/>
      <c r="AI409" s="5405"/>
      <c r="AJ409" s="5406"/>
      <c r="AK409" s="5407"/>
      <c r="AL409" s="5408"/>
      <c r="AM409" s="5409"/>
      <c r="AN409" s="5410"/>
      <c r="AO409" s="5411"/>
      <c r="AP409" s="5412"/>
      <c r="AQ409" s="5413"/>
      <c r="AR409" s="7906"/>
      <c r="AS409" s="7907"/>
      <c r="AT409" s="7908"/>
      <c r="AU409" s="7909"/>
      <c r="AV409" s="7910"/>
      <c r="AW409" s="7911"/>
      <c r="AX409" s="7912"/>
      <c r="AY409" s="7913"/>
      <c r="AZ409" s="7914"/>
      <c r="BA409" s="7915"/>
      <c r="BB409" s="7916"/>
      <c r="BC409" s="7917"/>
      <c r="BD409" s="7918"/>
      <c r="BE409" s="19082"/>
      <c r="BF409" s="19083"/>
      <c r="BG409" s="21930"/>
      <c r="BH409" s="19084"/>
      <c r="BI409" s="19085"/>
      <c r="BJ409" s="19086"/>
      <c r="BK409" s="19087"/>
      <c r="BL409" s="19088"/>
      <c r="BM409" s="19089"/>
      <c r="BN409" s="5414"/>
      <c r="BO409" s="5415"/>
      <c r="BP409" s="19090"/>
      <c r="BQ409" s="19091"/>
      <c r="BR409" s="5416"/>
      <c r="BS409" s="19092"/>
      <c r="BT409" s="19093"/>
      <c r="BU409" s="19094"/>
      <c r="BV409" s="19095"/>
      <c r="BW409" s="19096"/>
      <c r="BX409" s="19097"/>
      <c r="BY409" s="19098"/>
      <c r="BZ409" s="19099"/>
      <c r="CA409" s="19100"/>
      <c r="CB409" s="19101"/>
      <c r="CC409" s="19102"/>
      <c r="CD409" s="19103"/>
      <c r="CE409" s="19104"/>
      <c r="CF409" s="19105"/>
      <c r="CG409" s="19106"/>
      <c r="CH409" s="19107"/>
      <c r="CI409" s="19108"/>
      <c r="CJ409" s="19109"/>
      <c r="CK409" s="19110"/>
      <c r="CL409" s="19111"/>
      <c r="CM409" s="19112"/>
      <c r="CN409" s="19113"/>
      <c r="CO409" s="19114"/>
      <c r="CP409" s="19115"/>
      <c r="CQ409" s="19116"/>
      <c r="CR409" s="19117"/>
      <c r="CS409" s="19118"/>
      <c r="CT409" s="19119"/>
      <c r="CU409" s="19120"/>
      <c r="CV409" s="19121"/>
      <c r="CW409" s="19122"/>
      <c r="CX409" s="19123"/>
      <c r="CY409" s="19124"/>
      <c r="CZ409" s="19125"/>
      <c r="DA409" s="19126"/>
      <c r="DB409" s="19127"/>
      <c r="DC409" s="19128"/>
      <c r="DD409" s="19129"/>
      <c r="DE409" s="19130"/>
      <c r="DF409" s="19131"/>
      <c r="DG409" s="19132"/>
      <c r="DH409" s="19133"/>
      <c r="DI409" s="19134"/>
      <c r="DJ409" s="19135"/>
      <c r="DK409" s="19136"/>
      <c r="DL409" s="19137"/>
      <c r="DM409" s="19138"/>
      <c r="DN409" s="19139"/>
      <c r="DO409" s="19140"/>
      <c r="DP409" s="19141"/>
      <c r="DQ409" s="19142"/>
      <c r="DR409" s="19143"/>
      <c r="DS409" s="19144"/>
      <c r="DT409" s="19145"/>
      <c r="DU409" s="19146"/>
      <c r="DV409" s="19147"/>
      <c r="DW409" s="19148"/>
      <c r="DX409" s="19149"/>
      <c r="DY409" s="19150"/>
      <c r="DZ409" s="19151"/>
      <c r="EA409" s="19152"/>
      <c r="EB409" s="19153"/>
      <c r="EC409" s="19154"/>
      <c r="ED409" s="19155"/>
      <c r="EE409" s="19156"/>
      <c r="EF409" s="19157"/>
      <c r="EG409" s="19158"/>
      <c r="EH409" s="19159"/>
      <c r="EI409" s="19160"/>
      <c r="EJ409" s="19161"/>
      <c r="EK409" s="19162"/>
      <c r="EL409" s="19163"/>
      <c r="EM409" s="21746"/>
      <c r="EN409" s="21747"/>
      <c r="EO409" s="19164"/>
      <c r="EP409" s="19165"/>
      <c r="EQ409" s="21748"/>
      <c r="ER409" s="19166"/>
      <c r="ES409" s="19167"/>
      <c r="ET409" s="19168"/>
      <c r="EU409" s="19169"/>
      <c r="EV409" s="19170"/>
      <c r="EW409" s="19171"/>
      <c r="EX409" s="5417"/>
      <c r="EY409" s="5418"/>
      <c r="EZ409" s="19172"/>
      <c r="FA409" s="19173"/>
      <c r="FB409" s="5419"/>
      <c r="FC409" s="19174"/>
      <c r="FD409" s="19175"/>
      <c r="FE409" s="19176"/>
      <c r="FF409" s="19177"/>
      <c r="FG409" s="19178"/>
      <c r="FH409" s="5766"/>
      <c r="FI409" s="23070"/>
      <c r="FJ409" s="23071"/>
      <c r="FK409" s="23792"/>
      <c r="FL409" s="23793"/>
      <c r="FM409" s="23072"/>
      <c r="FN409" s="23794"/>
      <c r="FO409" s="23795"/>
      <c r="FP409" s="23073"/>
      <c r="FQ409" s="23074"/>
      <c r="FR409" s="23075"/>
      <c r="FS409" s="23796"/>
      <c r="FT409" s="5420"/>
      <c r="FU409" s="1184" t="s">
        <v>713</v>
      </c>
      <c r="FV409" s="1568"/>
      <c r="FW409" s="1550"/>
      <c r="FX409" s="1550" t="str">
        <f t="shared" si="6"/>
        <v>Добавить значение признака дифференциации</v>
      </c>
      <c r="FY409" s="1550"/>
      <c r="FZ409" s="1550"/>
      <c r="GA409" s="1561">
        <v>0</v>
      </c>
    </row>
    <row r="410" spans="1:183" s="1747" customFormat="1" ht="23.25" customHeight="1">
      <c r="A410" s="1289"/>
      <c r="B410" s="1289"/>
      <c r="C410" s="1289"/>
      <c r="D410" s="1289"/>
      <c r="E410" s="24089"/>
      <c r="F410" s="24089"/>
      <c r="G410" s="24089"/>
      <c r="H410" s="24089"/>
      <c r="I410" s="24091"/>
      <c r="J410" s="24090" t="str">
        <f>I405&amp;".2"</f>
        <v>1.19.1.1.2</v>
      </c>
      <c r="K410" s="1289"/>
      <c r="L410" s="1295" t="s">
        <v>635</v>
      </c>
      <c r="M410" s="1674"/>
      <c r="N410" s="1674"/>
      <c r="O410" s="1674"/>
      <c r="P410" s="24092"/>
      <c r="Q410" s="24206" t="s">
        <v>96</v>
      </c>
      <c r="R410" s="293"/>
      <c r="S410" s="1976" t="str">
        <f>$J410</f>
        <v>1.19.1.1.2</v>
      </c>
      <c r="T410" s="222" t="s">
        <v>636</v>
      </c>
      <c r="U410" s="236"/>
      <c r="V410" s="24076"/>
      <c r="W410" s="24077"/>
      <c r="X410" s="24077"/>
      <c r="Y410" s="24077"/>
      <c r="Z410" s="24077"/>
      <c r="AA410" s="24077"/>
      <c r="AB410" s="24077"/>
      <c r="AC410" s="24077"/>
      <c r="AD410" s="24077"/>
      <c r="AE410" s="24077"/>
      <c r="AF410" s="24078"/>
      <c r="AG410" s="24076" t="s">
        <v>771</v>
      </c>
      <c r="AH410" s="24077"/>
      <c r="AI410" s="24077"/>
      <c r="AJ410" s="24077"/>
      <c r="AK410" s="24077"/>
      <c r="AL410" s="24077"/>
      <c r="AM410" s="24077"/>
      <c r="AN410" s="24077"/>
      <c r="AO410" s="24077"/>
      <c r="AP410" s="24077"/>
      <c r="AQ410" s="24077"/>
      <c r="AR410" s="24179"/>
      <c r="AS410" s="24180"/>
      <c r="AT410" s="24180"/>
      <c r="AU410" s="24180"/>
      <c r="AV410" s="24180"/>
      <c r="AW410" s="24180"/>
      <c r="AX410" s="24180"/>
      <c r="AY410" s="24180"/>
      <c r="AZ410" s="24180"/>
      <c r="BA410" s="24180"/>
      <c r="BB410" s="24181"/>
      <c r="BC410" s="24179"/>
      <c r="BD410" s="24180"/>
      <c r="BE410" s="24180"/>
      <c r="BF410" s="24180"/>
      <c r="BG410" s="24180"/>
      <c r="BH410" s="24180"/>
      <c r="BI410" s="24180"/>
      <c r="BJ410" s="24180"/>
      <c r="BK410" s="24180"/>
      <c r="BL410" s="24180"/>
      <c r="BM410" s="24181"/>
      <c r="BN410" s="24076"/>
      <c r="BO410" s="24077"/>
      <c r="BP410" s="24180"/>
      <c r="BQ410" s="24180"/>
      <c r="BR410" s="24077"/>
      <c r="BS410" s="24180"/>
      <c r="BT410" s="24180"/>
      <c r="BU410" s="24180"/>
      <c r="BV410" s="24180"/>
      <c r="BW410" s="24180"/>
      <c r="BX410" s="24181"/>
      <c r="BY410" s="24179"/>
      <c r="BZ410" s="24180"/>
      <c r="CA410" s="24180"/>
      <c r="CB410" s="24180"/>
      <c r="CC410" s="24180"/>
      <c r="CD410" s="24180"/>
      <c r="CE410" s="24180"/>
      <c r="CF410" s="24180"/>
      <c r="CG410" s="24180"/>
      <c r="CH410" s="24180"/>
      <c r="CI410" s="24181"/>
      <c r="CJ410" s="24179"/>
      <c r="CK410" s="24180"/>
      <c r="CL410" s="24180"/>
      <c r="CM410" s="24180"/>
      <c r="CN410" s="24180"/>
      <c r="CO410" s="24180"/>
      <c r="CP410" s="24180"/>
      <c r="CQ410" s="24180"/>
      <c r="CR410" s="24180"/>
      <c r="CS410" s="24180"/>
      <c r="CT410" s="24181"/>
      <c r="CU410" s="24179"/>
      <c r="CV410" s="24180"/>
      <c r="CW410" s="24180"/>
      <c r="CX410" s="24180"/>
      <c r="CY410" s="24180"/>
      <c r="CZ410" s="24180"/>
      <c r="DA410" s="24180"/>
      <c r="DB410" s="24180"/>
      <c r="DC410" s="24180"/>
      <c r="DD410" s="24180"/>
      <c r="DE410" s="24181"/>
      <c r="DF410" s="24179"/>
      <c r="DG410" s="24180"/>
      <c r="DH410" s="24180"/>
      <c r="DI410" s="24180"/>
      <c r="DJ410" s="24180"/>
      <c r="DK410" s="24180"/>
      <c r="DL410" s="24180"/>
      <c r="DM410" s="24180"/>
      <c r="DN410" s="24180"/>
      <c r="DO410" s="24180"/>
      <c r="DP410" s="24181"/>
      <c r="DQ410" s="24179"/>
      <c r="DR410" s="24180"/>
      <c r="DS410" s="24180"/>
      <c r="DT410" s="24180"/>
      <c r="DU410" s="24180"/>
      <c r="DV410" s="24180"/>
      <c r="DW410" s="24180"/>
      <c r="DX410" s="24180"/>
      <c r="DY410" s="24180"/>
      <c r="DZ410" s="24180"/>
      <c r="EA410" s="24181"/>
      <c r="EB410" s="24179"/>
      <c r="EC410" s="24180"/>
      <c r="ED410" s="24180"/>
      <c r="EE410" s="24180"/>
      <c r="EF410" s="24180"/>
      <c r="EG410" s="24180"/>
      <c r="EH410" s="24180"/>
      <c r="EI410" s="24180"/>
      <c r="EJ410" s="24180"/>
      <c r="EK410" s="24180"/>
      <c r="EL410" s="24181"/>
      <c r="EM410" s="24179"/>
      <c r="EN410" s="24180"/>
      <c r="EO410" s="24180"/>
      <c r="EP410" s="24180"/>
      <c r="EQ410" s="24180"/>
      <c r="ER410" s="24180"/>
      <c r="ES410" s="24180"/>
      <c r="ET410" s="24180"/>
      <c r="EU410" s="24180"/>
      <c r="EV410" s="24180"/>
      <c r="EW410" s="24181"/>
      <c r="EX410" s="24076"/>
      <c r="EY410" s="24077"/>
      <c r="EZ410" s="24180"/>
      <c r="FA410" s="24180"/>
      <c r="FB410" s="24077"/>
      <c r="FC410" s="24180"/>
      <c r="FD410" s="24180"/>
      <c r="FE410" s="24180"/>
      <c r="FF410" s="24180"/>
      <c r="FG410" s="24180"/>
      <c r="FH410" s="24181"/>
      <c r="FI410" s="24076"/>
      <c r="FJ410" s="24077"/>
      <c r="FK410" s="24180"/>
      <c r="FL410" s="24180"/>
      <c r="FM410" s="24077"/>
      <c r="FN410" s="24180"/>
      <c r="FO410" s="24180"/>
      <c r="FP410" s="24077"/>
      <c r="FQ410" s="24077"/>
      <c r="FR410" s="24077"/>
      <c r="FS410" s="24181"/>
      <c r="FT410" s="24078"/>
      <c r="FU410" s="1233" t="s">
        <v>711</v>
      </c>
      <c r="FV410" s="1568"/>
      <c r="FW410" s="1550"/>
      <c r="FX410" s="1550" t="str">
        <f t="shared" si="6"/>
        <v>Группа потребителей</v>
      </c>
      <c r="FY410" s="1550"/>
      <c r="FZ410" s="1550"/>
      <c r="GA410" s="1561">
        <v>0</v>
      </c>
    </row>
    <row r="411" spans="1:183" s="1747" customFormat="1" ht="23.25" customHeight="1">
      <c r="A411" s="1289"/>
      <c r="B411" s="1289"/>
      <c r="C411" s="1289"/>
      <c r="D411" s="1289"/>
      <c r="E411" s="24089"/>
      <c r="F411" s="24089"/>
      <c r="G411" s="24089"/>
      <c r="H411" s="24089"/>
      <c r="I411" s="24091"/>
      <c r="J411" s="24091" t="str">
        <f>I405&amp;".1"</f>
        <v>1.19.1.1.1</v>
      </c>
      <c r="K411" s="24090" t="str">
        <f>J410&amp;".1"</f>
        <v>1.19.1.1.2.1</v>
      </c>
      <c r="L411" s="1295"/>
      <c r="M411" s="1674"/>
      <c r="N411" s="1674"/>
      <c r="O411" s="1674"/>
      <c r="P411" s="24092"/>
      <c r="Q411" s="24092"/>
      <c r="R411" s="293">
        <v>1</v>
      </c>
      <c r="S411" s="1976" t="str">
        <f>$K411</f>
        <v>1.19.1.1.2.1</v>
      </c>
      <c r="T411" s="1363"/>
      <c r="U411" s="236"/>
      <c r="V411" s="687"/>
      <c r="W411" s="687"/>
      <c r="X411" s="687"/>
      <c r="Y411" s="687"/>
      <c r="Z411" s="687"/>
      <c r="AA411" s="687"/>
      <c r="AB411" s="687"/>
      <c r="AC411" s="24093"/>
      <c r="AD411" s="23957" t="s">
        <v>59</v>
      </c>
      <c r="AE411" s="24095"/>
      <c r="AF411" s="23957" t="s">
        <v>59</v>
      </c>
      <c r="AG411" s="687">
        <v>244.3</v>
      </c>
      <c r="AH411" s="687">
        <v>40.299999999999997</v>
      </c>
      <c r="AI411" s="687"/>
      <c r="AJ411" s="687"/>
      <c r="AK411" s="687">
        <v>3171.22</v>
      </c>
      <c r="AL411" s="687"/>
      <c r="AM411" s="687"/>
      <c r="AN411" s="24093" t="s">
        <v>9</v>
      </c>
      <c r="AO411" s="23957" t="s">
        <v>59</v>
      </c>
      <c r="AP411" s="24095" t="s">
        <v>770</v>
      </c>
      <c r="AQ411" s="23957" t="s">
        <v>59</v>
      </c>
      <c r="AR411" s="687">
        <v>268.63</v>
      </c>
      <c r="AS411" s="687">
        <v>44.25</v>
      </c>
      <c r="AT411" s="687"/>
      <c r="AU411" s="687"/>
      <c r="AV411" s="687">
        <v>3488.34</v>
      </c>
      <c r="AW411" s="687"/>
      <c r="AX411" s="687"/>
      <c r="AY411" s="24093" t="s">
        <v>772</v>
      </c>
      <c r="AZ411" s="23957" t="s">
        <v>59</v>
      </c>
      <c r="BA411" s="24093" t="s">
        <v>773</v>
      </c>
      <c r="BB411" s="23957" t="s">
        <v>59</v>
      </c>
      <c r="BC411" s="687">
        <v>268.63</v>
      </c>
      <c r="BD411" s="687">
        <v>44.25</v>
      </c>
      <c r="BE411" s="687"/>
      <c r="BF411" s="687"/>
      <c r="BG411" s="687">
        <v>3488.34</v>
      </c>
      <c r="BH411" s="687"/>
      <c r="BI411" s="687"/>
      <c r="BJ411" s="24093" t="s">
        <v>774</v>
      </c>
      <c r="BK411" s="23957" t="s">
        <v>59</v>
      </c>
      <c r="BL411" s="24093" t="s">
        <v>775</v>
      </c>
      <c r="BM411" s="23957" t="s">
        <v>59</v>
      </c>
      <c r="BN411" s="687">
        <v>299.11</v>
      </c>
      <c r="BO411" s="687">
        <v>53.12</v>
      </c>
      <c r="BP411" s="687"/>
      <c r="BQ411" s="687"/>
      <c r="BR411" s="687">
        <v>3809.27</v>
      </c>
      <c r="BS411" s="687"/>
      <c r="BT411" s="687"/>
      <c r="BU411" s="24093" t="s">
        <v>776</v>
      </c>
      <c r="BV411" s="23957" t="s">
        <v>59</v>
      </c>
      <c r="BW411" s="24093" t="s">
        <v>777</v>
      </c>
      <c r="BX411" s="23957" t="s">
        <v>59</v>
      </c>
      <c r="BY411" s="687">
        <v>304.19</v>
      </c>
      <c r="BZ411" s="687">
        <v>54</v>
      </c>
      <c r="CA411" s="687"/>
      <c r="CB411" s="687"/>
      <c r="CC411" s="687">
        <v>3857.03</v>
      </c>
      <c r="CD411" s="687"/>
      <c r="CE411" s="687"/>
      <c r="CF411" s="24093" t="s">
        <v>778</v>
      </c>
      <c r="CG411" s="23957" t="s">
        <v>59</v>
      </c>
      <c r="CH411" s="24185">
        <v>46173</v>
      </c>
      <c r="CI411" s="23957" t="s">
        <v>59</v>
      </c>
      <c r="CJ411" s="687">
        <f>BY411</f>
        <v>304.19</v>
      </c>
      <c r="CK411" s="687">
        <f>BZ411</f>
        <v>54</v>
      </c>
      <c r="CL411" s="687"/>
      <c r="CM411" s="687"/>
      <c r="CN411" s="687">
        <v>3907.76</v>
      </c>
      <c r="CO411" s="687"/>
      <c r="CP411" s="687"/>
      <c r="CQ411" s="24185">
        <v>46174</v>
      </c>
      <c r="CR411" s="23957" t="s">
        <v>59</v>
      </c>
      <c r="CS411" s="24185">
        <v>46295</v>
      </c>
      <c r="CT411" s="23957" t="s">
        <v>59</v>
      </c>
      <c r="CU411" s="687">
        <v>343.71</v>
      </c>
      <c r="CV411" s="687">
        <v>63.07</v>
      </c>
      <c r="CW411" s="687"/>
      <c r="CX411" s="687"/>
      <c r="CY411" s="687">
        <v>4376.6899999999996</v>
      </c>
      <c r="CZ411" s="687"/>
      <c r="DA411" s="687"/>
      <c r="DB411" s="24185">
        <v>46296</v>
      </c>
      <c r="DC411" s="23957" t="s">
        <v>59</v>
      </c>
      <c r="DD411" s="24185">
        <v>46387</v>
      </c>
      <c r="DE411" s="23957" t="s">
        <v>59</v>
      </c>
      <c r="DF411" s="687">
        <f>CU411</f>
        <v>343.71</v>
      </c>
      <c r="DG411" s="687">
        <f>CV411</f>
        <v>63.07</v>
      </c>
      <c r="DH411" s="687"/>
      <c r="DI411" s="687"/>
      <c r="DJ411" s="687">
        <f>CY411</f>
        <v>4376.6899999999996</v>
      </c>
      <c r="DK411" s="687"/>
      <c r="DL411" s="687"/>
      <c r="DM411" s="24185">
        <v>46388</v>
      </c>
      <c r="DN411" s="23957" t="s">
        <v>59</v>
      </c>
      <c r="DO411" s="24185">
        <v>46568</v>
      </c>
      <c r="DP411" s="23957" t="s">
        <v>59</v>
      </c>
      <c r="DQ411" s="687">
        <v>373.83</v>
      </c>
      <c r="DR411" s="687">
        <v>68.75</v>
      </c>
      <c r="DS411" s="687"/>
      <c r="DT411" s="687"/>
      <c r="DU411" s="687">
        <v>4757.46</v>
      </c>
      <c r="DV411" s="687"/>
      <c r="DW411" s="687"/>
      <c r="DX411" s="24185">
        <v>46569</v>
      </c>
      <c r="DY411" s="23957" t="s">
        <v>59</v>
      </c>
      <c r="DZ411" s="24185">
        <v>46752</v>
      </c>
      <c r="EA411" s="23957" t="s">
        <v>59</v>
      </c>
      <c r="EB411" s="687">
        <v>373.83</v>
      </c>
      <c r="EC411" s="687">
        <v>68.75</v>
      </c>
      <c r="ED411" s="687"/>
      <c r="EE411" s="687"/>
      <c r="EF411" s="687">
        <f>DU411</f>
        <v>4757.46</v>
      </c>
      <c r="EG411" s="687"/>
      <c r="EH411" s="687"/>
      <c r="EI411" s="24185">
        <v>46753</v>
      </c>
      <c r="EJ411" s="23957" t="s">
        <v>59</v>
      </c>
      <c r="EK411" s="24185">
        <v>46934</v>
      </c>
      <c r="EL411" s="23957" t="s">
        <v>59</v>
      </c>
      <c r="EM411" s="687">
        <v>400.38</v>
      </c>
      <c r="EN411" s="687">
        <v>73.64</v>
      </c>
      <c r="EO411" s="687"/>
      <c r="EP411" s="687"/>
      <c r="EQ411" s="687">
        <v>5095.24</v>
      </c>
      <c r="ER411" s="687"/>
      <c r="ES411" s="687"/>
      <c r="ET411" s="24185">
        <v>46935</v>
      </c>
      <c r="EU411" s="23957" t="s">
        <v>59</v>
      </c>
      <c r="EV411" s="24207">
        <v>47118</v>
      </c>
      <c r="EW411" s="23957" t="s">
        <v>59</v>
      </c>
      <c r="EX411" s="687">
        <v>314.82</v>
      </c>
      <c r="EY411" s="687">
        <v>0</v>
      </c>
      <c r="EZ411" s="687"/>
      <c r="FA411" s="687"/>
      <c r="FB411" s="687">
        <v>5059.24</v>
      </c>
      <c r="FC411" s="687"/>
      <c r="FD411" s="687"/>
      <c r="FE411" s="24185">
        <v>47119</v>
      </c>
      <c r="FF411" s="23957" t="s">
        <v>59</v>
      </c>
      <c r="FG411" s="24207">
        <v>47299</v>
      </c>
      <c r="FH411" s="23957" t="s">
        <v>59</v>
      </c>
      <c r="FI411" s="687">
        <v>327.41000000000003</v>
      </c>
      <c r="FJ411" s="687"/>
      <c r="FK411" s="687"/>
      <c r="FL411" s="687"/>
      <c r="FM411" s="687">
        <v>5299.06</v>
      </c>
      <c r="FN411" s="687"/>
      <c r="FO411" s="687"/>
      <c r="FP411" s="24093">
        <v>47300.675578703704</v>
      </c>
      <c r="FQ411" s="23957" t="s">
        <v>59</v>
      </c>
      <c r="FR411" s="24095">
        <v>47483.675844907404</v>
      </c>
      <c r="FS411" s="23957" t="s">
        <v>59</v>
      </c>
      <c r="FT411" s="1364"/>
      <c r="FU41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11" s="1568" t="e">
        <f ca="1">STRCHECKDATE(V412:FT412)</f>
        <v>#NAME?</v>
      </c>
      <c r="FW411" s="1550"/>
      <c r="FX411" s="1550" t="str">
        <f t="shared" si="6"/>
        <v/>
      </c>
      <c r="FY411" s="1550"/>
      <c r="FZ411" s="1550"/>
      <c r="GA411" s="1561">
        <v>0</v>
      </c>
    </row>
    <row r="412" spans="1:183" s="1747" customFormat="1" ht="14.25" customHeight="1">
      <c r="A412" s="1289"/>
      <c r="B412" s="1289"/>
      <c r="C412" s="1289"/>
      <c r="D412" s="1289"/>
      <c r="E412" s="24089"/>
      <c r="F412" s="24089"/>
      <c r="G412" s="24089"/>
      <c r="H412" s="24089"/>
      <c r="I412" s="24091"/>
      <c r="J412" s="24091" t="str">
        <f>I405&amp;".1"</f>
        <v>1.19.1.1.1</v>
      </c>
      <c r="K412" s="24090"/>
      <c r="L412" s="1295"/>
      <c r="M412" s="1674"/>
      <c r="N412" s="1674"/>
      <c r="O412" s="1674"/>
      <c r="P412" s="24092"/>
      <c r="Q412" s="24092"/>
      <c r="R412" s="293"/>
      <c r="S412" s="1982"/>
      <c r="T412" s="236"/>
      <c r="U412" s="236"/>
      <c r="V412" s="261"/>
      <c r="W412" s="261"/>
      <c r="X412" s="261"/>
      <c r="Y412" s="261"/>
      <c r="Z412" s="261"/>
      <c r="AA412" s="261"/>
      <c r="AB412" s="261"/>
      <c r="AC412" s="24094"/>
      <c r="AD412" s="23957"/>
      <c r="AE412" s="24096"/>
      <c r="AF412" s="23957"/>
      <c r="AG412" s="261"/>
      <c r="AH412" s="261"/>
      <c r="AI412" s="261"/>
      <c r="AJ412" s="261"/>
      <c r="AK412" s="261"/>
      <c r="AL412" s="261"/>
      <c r="AM412" s="261"/>
      <c r="AN412" s="24094"/>
      <c r="AO412" s="23957"/>
      <c r="AP412" s="24096"/>
      <c r="AQ412" s="23957"/>
      <c r="AR412" s="261"/>
      <c r="AS412" s="261"/>
      <c r="AT412" s="261"/>
      <c r="AU412" s="261"/>
      <c r="AV412" s="261"/>
      <c r="AW412" s="261"/>
      <c r="AX412" s="261"/>
      <c r="AY412" s="24094"/>
      <c r="AZ412" s="23957"/>
      <c r="BA412" s="24094"/>
      <c r="BB412" s="23957"/>
      <c r="BC412" s="261"/>
      <c r="BD412" s="261"/>
      <c r="BE412" s="261"/>
      <c r="BF412" s="261"/>
      <c r="BG412" s="261"/>
      <c r="BH412" s="261"/>
      <c r="BI412" s="261"/>
      <c r="BJ412" s="24094"/>
      <c r="BK412" s="23957"/>
      <c r="BL412" s="24094"/>
      <c r="BM412" s="23957"/>
      <c r="BN412" s="261"/>
      <c r="BO412" s="261"/>
      <c r="BP412" s="261"/>
      <c r="BQ412" s="261"/>
      <c r="BR412" s="261"/>
      <c r="BS412" s="261"/>
      <c r="BT412" s="261"/>
      <c r="BU412" s="24094"/>
      <c r="BV412" s="23957"/>
      <c r="BW412" s="24094"/>
      <c r="BX412" s="23957"/>
      <c r="BY412" s="261"/>
      <c r="BZ412" s="261"/>
      <c r="CA412" s="261"/>
      <c r="CB412" s="261"/>
      <c r="CC412" s="261"/>
      <c r="CD412" s="261"/>
      <c r="CE412" s="261"/>
      <c r="CF412" s="24094"/>
      <c r="CG412" s="23957"/>
      <c r="CH412" s="24094"/>
      <c r="CI412" s="23957"/>
      <c r="CJ412" s="261"/>
      <c r="CK412" s="261"/>
      <c r="CL412" s="261"/>
      <c r="CM412" s="261"/>
      <c r="CN412" s="261"/>
      <c r="CO412" s="261"/>
      <c r="CP412" s="261"/>
      <c r="CQ412" s="24094"/>
      <c r="CR412" s="23957"/>
      <c r="CS412" s="24094"/>
      <c r="CT412" s="23957"/>
      <c r="CU412" s="261"/>
      <c r="CV412" s="261"/>
      <c r="CW412" s="261"/>
      <c r="CX412" s="261"/>
      <c r="CY412" s="261"/>
      <c r="CZ412" s="261"/>
      <c r="DA412" s="261"/>
      <c r="DB412" s="24094"/>
      <c r="DC412" s="23957"/>
      <c r="DD412" s="24094"/>
      <c r="DE412" s="23957"/>
      <c r="DF412" s="261"/>
      <c r="DG412" s="261"/>
      <c r="DH412" s="261"/>
      <c r="DI412" s="261"/>
      <c r="DJ412" s="261"/>
      <c r="DK412" s="261"/>
      <c r="DL412" s="261"/>
      <c r="DM412" s="24094"/>
      <c r="DN412" s="23957"/>
      <c r="DO412" s="24094"/>
      <c r="DP412" s="23957"/>
      <c r="DQ412" s="261"/>
      <c r="DR412" s="261"/>
      <c r="DS412" s="261"/>
      <c r="DT412" s="261"/>
      <c r="DU412" s="261"/>
      <c r="DV412" s="261"/>
      <c r="DW412" s="261"/>
      <c r="DX412" s="24094"/>
      <c r="DY412" s="23957"/>
      <c r="DZ412" s="24094"/>
      <c r="EA412" s="23957"/>
      <c r="EB412" s="261"/>
      <c r="EC412" s="261"/>
      <c r="ED412" s="261"/>
      <c r="EE412" s="261"/>
      <c r="EF412" s="261"/>
      <c r="EG412" s="261"/>
      <c r="EH412" s="261"/>
      <c r="EI412" s="24094"/>
      <c r="EJ412" s="23957"/>
      <c r="EK412" s="24094"/>
      <c r="EL412" s="23957"/>
      <c r="EM412" s="261"/>
      <c r="EN412" s="261"/>
      <c r="EO412" s="261"/>
      <c r="EP412" s="261"/>
      <c r="EQ412" s="261"/>
      <c r="ER412" s="261"/>
      <c r="ES412" s="261"/>
      <c r="ET412" s="24094"/>
      <c r="EU412" s="23957"/>
      <c r="EV412" s="24096"/>
      <c r="EW412" s="23957"/>
      <c r="EX412" s="261"/>
      <c r="EY412" s="261"/>
      <c r="EZ412" s="261"/>
      <c r="FA412" s="261"/>
      <c r="FB412" s="261"/>
      <c r="FC412" s="261"/>
      <c r="FD412" s="261"/>
      <c r="FE412" s="24094"/>
      <c r="FF412" s="23957"/>
      <c r="FG412" s="24096"/>
      <c r="FH412" s="23957"/>
      <c r="FI412" s="261"/>
      <c r="FJ412" s="261"/>
      <c r="FK412" s="261"/>
      <c r="FL412" s="261"/>
      <c r="FM412" s="261"/>
      <c r="FN412" s="261"/>
      <c r="FO412" s="261"/>
      <c r="FP412" s="24094"/>
      <c r="FQ412" s="23957"/>
      <c r="FR412" s="24096"/>
      <c r="FS412" s="23957"/>
      <c r="FT412" s="1365"/>
      <c r="FU412" s="24162"/>
      <c r="FV412" s="1568"/>
      <c r="FW412" s="1550"/>
      <c r="FX412" s="1550" t="str">
        <f t="shared" si="6"/>
        <v/>
      </c>
      <c r="FY412" s="1550"/>
      <c r="FZ412" s="1550"/>
      <c r="GA412" s="1561">
        <v>0</v>
      </c>
    </row>
    <row r="413" spans="1:183" s="1747" customFormat="1" ht="21" customHeight="1">
      <c r="A413" s="1289"/>
      <c r="B413" s="1289"/>
      <c r="C413" s="1289"/>
      <c r="D413" s="1289"/>
      <c r="E413" s="24089"/>
      <c r="F413" s="24089"/>
      <c r="G413" s="24089"/>
      <c r="H413" s="24089"/>
      <c r="I413" s="24091"/>
      <c r="J413" s="24090" t="str">
        <f>I405&amp;".1"</f>
        <v>1.19.1.1.1</v>
      </c>
      <c r="K413" s="1289"/>
      <c r="L413" s="1295"/>
      <c r="M413" s="1674"/>
      <c r="N413" s="1674"/>
      <c r="O413" s="1674"/>
      <c r="P413" s="24092"/>
      <c r="Q413" s="24092"/>
      <c r="R413" s="292"/>
      <c r="S413" s="5421"/>
      <c r="T413" s="5422" t="s">
        <v>712</v>
      </c>
      <c r="U413" s="5423"/>
      <c r="V413" s="5424"/>
      <c r="W413" s="5425"/>
      <c r="X413" s="5426"/>
      <c r="Y413" s="5427"/>
      <c r="Z413" s="5428"/>
      <c r="AA413" s="5429"/>
      <c r="AB413" s="5430"/>
      <c r="AC413" s="5431"/>
      <c r="AD413" s="5432"/>
      <c r="AE413" s="5433"/>
      <c r="AF413" s="5434"/>
      <c r="AG413" s="5435"/>
      <c r="AH413" s="5436"/>
      <c r="AI413" s="5437"/>
      <c r="AJ413" s="5438"/>
      <c r="AK413" s="5439"/>
      <c r="AL413" s="5440"/>
      <c r="AM413" s="5441"/>
      <c r="AN413" s="5442"/>
      <c r="AO413" s="5443"/>
      <c r="AP413" s="5444"/>
      <c r="AQ413" s="5445"/>
      <c r="AR413" s="7919"/>
      <c r="AS413" s="7920"/>
      <c r="AT413" s="7921"/>
      <c r="AU413" s="7922"/>
      <c r="AV413" s="7923"/>
      <c r="AW413" s="7924"/>
      <c r="AX413" s="7925"/>
      <c r="AY413" s="7926"/>
      <c r="AZ413" s="7927"/>
      <c r="BA413" s="7928"/>
      <c r="BB413" s="7929"/>
      <c r="BC413" s="7930"/>
      <c r="BD413" s="7931"/>
      <c r="BE413" s="19179"/>
      <c r="BF413" s="19180"/>
      <c r="BG413" s="21931"/>
      <c r="BH413" s="19181"/>
      <c r="BI413" s="19182"/>
      <c r="BJ413" s="19183"/>
      <c r="BK413" s="19184"/>
      <c r="BL413" s="19185"/>
      <c r="BM413" s="19186"/>
      <c r="BN413" s="5446"/>
      <c r="BO413" s="5447"/>
      <c r="BP413" s="19187"/>
      <c r="BQ413" s="19188"/>
      <c r="BR413" s="5448"/>
      <c r="BS413" s="19189"/>
      <c r="BT413" s="19190"/>
      <c r="BU413" s="19191"/>
      <c r="BV413" s="19192"/>
      <c r="BW413" s="19193"/>
      <c r="BX413" s="19194"/>
      <c r="BY413" s="19195"/>
      <c r="BZ413" s="19196"/>
      <c r="CA413" s="19197"/>
      <c r="CB413" s="19198"/>
      <c r="CC413" s="19199"/>
      <c r="CD413" s="19200"/>
      <c r="CE413" s="19201"/>
      <c r="CF413" s="19202"/>
      <c r="CG413" s="19203"/>
      <c r="CH413" s="19204"/>
      <c r="CI413" s="19205"/>
      <c r="CJ413" s="19206"/>
      <c r="CK413" s="19207"/>
      <c r="CL413" s="19208"/>
      <c r="CM413" s="19209"/>
      <c r="CN413" s="19210"/>
      <c r="CO413" s="19211"/>
      <c r="CP413" s="19212"/>
      <c r="CQ413" s="19213"/>
      <c r="CR413" s="19214"/>
      <c r="CS413" s="19215"/>
      <c r="CT413" s="19216"/>
      <c r="CU413" s="19217"/>
      <c r="CV413" s="19218"/>
      <c r="CW413" s="19219"/>
      <c r="CX413" s="19220"/>
      <c r="CY413" s="19221"/>
      <c r="CZ413" s="19222"/>
      <c r="DA413" s="19223"/>
      <c r="DB413" s="19224"/>
      <c r="DC413" s="19225"/>
      <c r="DD413" s="19226"/>
      <c r="DE413" s="19227"/>
      <c r="DF413" s="19228"/>
      <c r="DG413" s="19229"/>
      <c r="DH413" s="19230"/>
      <c r="DI413" s="19231"/>
      <c r="DJ413" s="19232"/>
      <c r="DK413" s="19233"/>
      <c r="DL413" s="19234"/>
      <c r="DM413" s="19235"/>
      <c r="DN413" s="19236"/>
      <c r="DO413" s="19237"/>
      <c r="DP413" s="19238"/>
      <c r="DQ413" s="19239"/>
      <c r="DR413" s="19240"/>
      <c r="DS413" s="19241"/>
      <c r="DT413" s="19242"/>
      <c r="DU413" s="19243"/>
      <c r="DV413" s="19244"/>
      <c r="DW413" s="19245"/>
      <c r="DX413" s="19246"/>
      <c r="DY413" s="19247"/>
      <c r="DZ413" s="19248"/>
      <c r="EA413" s="19249"/>
      <c r="EB413" s="19250"/>
      <c r="EC413" s="19251"/>
      <c r="ED413" s="19252"/>
      <c r="EE413" s="19253"/>
      <c r="EF413" s="19254"/>
      <c r="EG413" s="19255"/>
      <c r="EH413" s="19256"/>
      <c r="EI413" s="19257"/>
      <c r="EJ413" s="19258"/>
      <c r="EK413" s="19259"/>
      <c r="EL413" s="19260"/>
      <c r="EM413" s="21749"/>
      <c r="EN413" s="21750"/>
      <c r="EO413" s="19261"/>
      <c r="EP413" s="19262"/>
      <c r="EQ413" s="21751"/>
      <c r="ER413" s="19263"/>
      <c r="ES413" s="19264"/>
      <c r="ET413" s="19265"/>
      <c r="EU413" s="19266"/>
      <c r="EV413" s="19267"/>
      <c r="EW413" s="19268"/>
      <c r="EX413" s="5449"/>
      <c r="EY413" s="5450"/>
      <c r="EZ413" s="19269"/>
      <c r="FA413" s="19270"/>
      <c r="FB413" s="5451"/>
      <c r="FC413" s="19271"/>
      <c r="FD413" s="19272"/>
      <c r="FE413" s="19273"/>
      <c r="FF413" s="19274"/>
      <c r="FG413" s="19275"/>
      <c r="FH413" s="5767"/>
      <c r="FI413" s="23076"/>
      <c r="FJ413" s="23077"/>
      <c r="FK413" s="23797"/>
      <c r="FL413" s="23798"/>
      <c r="FM413" s="23078"/>
      <c r="FN413" s="23799"/>
      <c r="FO413" s="23800"/>
      <c r="FP413" s="23079"/>
      <c r="FQ413" s="23080"/>
      <c r="FR413" s="23081"/>
      <c r="FS413" s="23801"/>
      <c r="FT413" s="5452"/>
      <c r="FU413" s="1184" t="s">
        <v>713</v>
      </c>
      <c r="FV413" s="1568"/>
      <c r="FW413" s="1550"/>
      <c r="FX413" s="1550" t="str">
        <f t="shared" si="6"/>
        <v>Добавить значение признака дифференциации</v>
      </c>
      <c r="FY413" s="1550"/>
      <c r="FZ413" s="1550"/>
      <c r="GA413" s="1561">
        <v>0</v>
      </c>
    </row>
    <row r="414" spans="1:183" s="1747" customFormat="1" ht="21" customHeight="1">
      <c r="A414" s="1289"/>
      <c r="B414" s="1289"/>
      <c r="C414" s="1289"/>
      <c r="D414" s="1289"/>
      <c r="E414" s="24089"/>
      <c r="F414" s="24089" t="s">
        <v>111</v>
      </c>
      <c r="G414" s="24089"/>
      <c r="H414" s="24089"/>
      <c r="I414" s="24090"/>
      <c r="J414" s="1289"/>
      <c r="K414" s="1289"/>
      <c r="L414" s="1295"/>
      <c r="M414" s="1674"/>
      <c r="N414" s="1674"/>
      <c r="O414" s="1674"/>
      <c r="P414" s="24092"/>
      <c r="Q414" s="1978"/>
      <c r="R414" s="292"/>
      <c r="S414" s="5453"/>
      <c r="T414" s="5454" t="s">
        <v>641</v>
      </c>
      <c r="U414" s="5455"/>
      <c r="V414" s="5456"/>
      <c r="W414" s="5457"/>
      <c r="X414" s="5458"/>
      <c r="Y414" s="5459"/>
      <c r="Z414" s="5460"/>
      <c r="AA414" s="5461"/>
      <c r="AB414" s="5462"/>
      <c r="AC414" s="5463"/>
      <c r="AD414" s="5464"/>
      <c r="AE414" s="5465"/>
      <c r="AF414" s="5466"/>
      <c r="AG414" s="5467"/>
      <c r="AH414" s="5468"/>
      <c r="AI414" s="5469"/>
      <c r="AJ414" s="5470"/>
      <c r="AK414" s="5471"/>
      <c r="AL414" s="5472"/>
      <c r="AM414" s="5473"/>
      <c r="AN414" s="5474"/>
      <c r="AO414" s="5475"/>
      <c r="AP414" s="5476"/>
      <c r="AQ414" s="5477"/>
      <c r="AR414" s="7932"/>
      <c r="AS414" s="7933"/>
      <c r="AT414" s="7934"/>
      <c r="AU414" s="7935"/>
      <c r="AV414" s="7936"/>
      <c r="AW414" s="7937"/>
      <c r="AX414" s="7938"/>
      <c r="AY414" s="7939"/>
      <c r="AZ414" s="7940"/>
      <c r="BA414" s="7941"/>
      <c r="BB414" s="7942"/>
      <c r="BC414" s="7943"/>
      <c r="BD414" s="7944"/>
      <c r="BE414" s="19276"/>
      <c r="BF414" s="19277"/>
      <c r="BG414" s="21932"/>
      <c r="BH414" s="19278"/>
      <c r="BI414" s="19279"/>
      <c r="BJ414" s="19280"/>
      <c r="BK414" s="19281"/>
      <c r="BL414" s="19282"/>
      <c r="BM414" s="19283"/>
      <c r="BN414" s="5478"/>
      <c r="BO414" s="5479"/>
      <c r="BP414" s="19284"/>
      <c r="BQ414" s="19285"/>
      <c r="BR414" s="5480"/>
      <c r="BS414" s="19286"/>
      <c r="BT414" s="19287"/>
      <c r="BU414" s="19288"/>
      <c r="BV414" s="19289"/>
      <c r="BW414" s="19290"/>
      <c r="BX414" s="19291"/>
      <c r="BY414" s="19292"/>
      <c r="BZ414" s="19293"/>
      <c r="CA414" s="19294"/>
      <c r="CB414" s="19295"/>
      <c r="CC414" s="19296"/>
      <c r="CD414" s="19297"/>
      <c r="CE414" s="19298"/>
      <c r="CF414" s="19299"/>
      <c r="CG414" s="19300"/>
      <c r="CH414" s="19301"/>
      <c r="CI414" s="19302"/>
      <c r="CJ414" s="19303"/>
      <c r="CK414" s="19304"/>
      <c r="CL414" s="19305"/>
      <c r="CM414" s="19306"/>
      <c r="CN414" s="19307"/>
      <c r="CO414" s="19308"/>
      <c r="CP414" s="19309"/>
      <c r="CQ414" s="19310"/>
      <c r="CR414" s="19311"/>
      <c r="CS414" s="19312"/>
      <c r="CT414" s="19313"/>
      <c r="CU414" s="19314"/>
      <c r="CV414" s="19315"/>
      <c r="CW414" s="19316"/>
      <c r="CX414" s="19317"/>
      <c r="CY414" s="19318"/>
      <c r="CZ414" s="19319"/>
      <c r="DA414" s="19320"/>
      <c r="DB414" s="19321"/>
      <c r="DC414" s="19322"/>
      <c r="DD414" s="19323"/>
      <c r="DE414" s="19324"/>
      <c r="DF414" s="19325"/>
      <c r="DG414" s="19326"/>
      <c r="DH414" s="19327"/>
      <c r="DI414" s="19328"/>
      <c r="DJ414" s="19329"/>
      <c r="DK414" s="19330"/>
      <c r="DL414" s="19331"/>
      <c r="DM414" s="19332"/>
      <c r="DN414" s="19333"/>
      <c r="DO414" s="19334"/>
      <c r="DP414" s="19335"/>
      <c r="DQ414" s="19336"/>
      <c r="DR414" s="19337"/>
      <c r="DS414" s="19338"/>
      <c r="DT414" s="19339"/>
      <c r="DU414" s="19340"/>
      <c r="DV414" s="19341"/>
      <c r="DW414" s="19342"/>
      <c r="DX414" s="19343"/>
      <c r="DY414" s="19344"/>
      <c r="DZ414" s="19345"/>
      <c r="EA414" s="19346"/>
      <c r="EB414" s="19347"/>
      <c r="EC414" s="19348"/>
      <c r="ED414" s="19349"/>
      <c r="EE414" s="19350"/>
      <c r="EF414" s="19351"/>
      <c r="EG414" s="19352"/>
      <c r="EH414" s="19353"/>
      <c r="EI414" s="19354"/>
      <c r="EJ414" s="19355"/>
      <c r="EK414" s="19356"/>
      <c r="EL414" s="19357"/>
      <c r="EM414" s="21752"/>
      <c r="EN414" s="21753"/>
      <c r="EO414" s="19358"/>
      <c r="EP414" s="19359"/>
      <c r="EQ414" s="21754"/>
      <c r="ER414" s="19360"/>
      <c r="ES414" s="19361"/>
      <c r="ET414" s="19362"/>
      <c r="EU414" s="19363"/>
      <c r="EV414" s="19364"/>
      <c r="EW414" s="19365"/>
      <c r="EX414" s="5481"/>
      <c r="EY414" s="5482"/>
      <c r="EZ414" s="19366"/>
      <c r="FA414" s="19367"/>
      <c r="FB414" s="5483"/>
      <c r="FC414" s="19368"/>
      <c r="FD414" s="19369"/>
      <c r="FE414" s="19370"/>
      <c r="FF414" s="19371"/>
      <c r="FG414" s="19372"/>
      <c r="FH414" s="5768"/>
      <c r="FI414" s="23082"/>
      <c r="FJ414" s="23083"/>
      <c r="FK414" s="23802"/>
      <c r="FL414" s="23803"/>
      <c r="FM414" s="23084"/>
      <c r="FN414" s="23804"/>
      <c r="FO414" s="23805"/>
      <c r="FP414" s="23085"/>
      <c r="FQ414" s="23086"/>
      <c r="FR414" s="23087"/>
      <c r="FS414" s="23806"/>
      <c r="FT414" s="5484"/>
      <c r="FU414" s="5485"/>
      <c r="FV414" s="1568"/>
      <c r="FW414" s="1550"/>
      <c r="FX414" s="1550" t="str">
        <f t="shared" si="6"/>
        <v>Добавить группу потребителей</v>
      </c>
      <c r="FY414" s="1550"/>
      <c r="FZ414" s="1550"/>
      <c r="GA414" s="1561">
        <v>0</v>
      </c>
    </row>
    <row r="415" spans="1:183" s="1747" customFormat="1" ht="21" customHeight="1">
      <c r="A415" s="1289"/>
      <c r="B415" s="1289"/>
      <c r="C415" s="1289"/>
      <c r="D415" s="1289"/>
      <c r="E415" s="24089"/>
      <c r="F415" s="24089" t="s">
        <v>111</v>
      </c>
      <c r="G415" s="24089"/>
      <c r="H415" s="24088"/>
      <c r="I415" s="1289"/>
      <c r="J415" s="1289"/>
      <c r="K415" s="1289"/>
      <c r="L415" s="1295"/>
      <c r="M415" s="1291"/>
      <c r="N415" s="1291"/>
      <c r="O415" s="1292"/>
      <c r="P415" s="1720"/>
      <c r="Q415" s="311"/>
      <c r="R415" s="291"/>
      <c r="S415" s="5486"/>
      <c r="T415" s="5487" t="s">
        <v>714</v>
      </c>
      <c r="U415" s="5488"/>
      <c r="V415" s="5489"/>
      <c r="W415" s="5490"/>
      <c r="X415" s="5491"/>
      <c r="Y415" s="5492"/>
      <c r="Z415" s="5493"/>
      <c r="AA415" s="5494"/>
      <c r="AB415" s="5495"/>
      <c r="AC415" s="5496"/>
      <c r="AD415" s="5497"/>
      <c r="AE415" s="5498"/>
      <c r="AF415" s="5499"/>
      <c r="AG415" s="5500"/>
      <c r="AH415" s="5501"/>
      <c r="AI415" s="5502"/>
      <c r="AJ415" s="5503"/>
      <c r="AK415" s="5504"/>
      <c r="AL415" s="5505"/>
      <c r="AM415" s="5506"/>
      <c r="AN415" s="5507"/>
      <c r="AO415" s="5508"/>
      <c r="AP415" s="5509"/>
      <c r="AQ415" s="5510"/>
      <c r="AR415" s="7945"/>
      <c r="AS415" s="7946"/>
      <c r="AT415" s="7947"/>
      <c r="AU415" s="7948"/>
      <c r="AV415" s="7949"/>
      <c r="AW415" s="7950"/>
      <c r="AX415" s="7951"/>
      <c r="AY415" s="7952"/>
      <c r="AZ415" s="7953"/>
      <c r="BA415" s="7954"/>
      <c r="BB415" s="7955"/>
      <c r="BC415" s="7956"/>
      <c r="BD415" s="7957"/>
      <c r="BE415" s="19373"/>
      <c r="BF415" s="19374"/>
      <c r="BG415" s="21933"/>
      <c r="BH415" s="19375"/>
      <c r="BI415" s="19376"/>
      <c r="BJ415" s="19377"/>
      <c r="BK415" s="19378"/>
      <c r="BL415" s="19379"/>
      <c r="BM415" s="19380"/>
      <c r="BN415" s="5511"/>
      <c r="BO415" s="5512"/>
      <c r="BP415" s="19381"/>
      <c r="BQ415" s="19382"/>
      <c r="BR415" s="5513"/>
      <c r="BS415" s="19383"/>
      <c r="BT415" s="19384"/>
      <c r="BU415" s="19385"/>
      <c r="BV415" s="19386"/>
      <c r="BW415" s="19387"/>
      <c r="BX415" s="19388"/>
      <c r="BY415" s="19389"/>
      <c r="BZ415" s="19390"/>
      <c r="CA415" s="19391"/>
      <c r="CB415" s="19392"/>
      <c r="CC415" s="19393"/>
      <c r="CD415" s="19394"/>
      <c r="CE415" s="19395"/>
      <c r="CF415" s="19396"/>
      <c r="CG415" s="19397"/>
      <c r="CH415" s="19398"/>
      <c r="CI415" s="19399"/>
      <c r="CJ415" s="19400"/>
      <c r="CK415" s="19401"/>
      <c r="CL415" s="19402"/>
      <c r="CM415" s="19403"/>
      <c r="CN415" s="19404"/>
      <c r="CO415" s="19405"/>
      <c r="CP415" s="19406"/>
      <c r="CQ415" s="19407"/>
      <c r="CR415" s="19408"/>
      <c r="CS415" s="19409"/>
      <c r="CT415" s="19410"/>
      <c r="CU415" s="19411"/>
      <c r="CV415" s="19412"/>
      <c r="CW415" s="19413"/>
      <c r="CX415" s="19414"/>
      <c r="CY415" s="19415"/>
      <c r="CZ415" s="19416"/>
      <c r="DA415" s="19417"/>
      <c r="DB415" s="19418"/>
      <c r="DC415" s="19419"/>
      <c r="DD415" s="19420"/>
      <c r="DE415" s="19421"/>
      <c r="DF415" s="19422"/>
      <c r="DG415" s="19423"/>
      <c r="DH415" s="19424"/>
      <c r="DI415" s="19425"/>
      <c r="DJ415" s="19426"/>
      <c r="DK415" s="19427"/>
      <c r="DL415" s="19428"/>
      <c r="DM415" s="19429"/>
      <c r="DN415" s="19430"/>
      <c r="DO415" s="19431"/>
      <c r="DP415" s="19432"/>
      <c r="DQ415" s="19433"/>
      <c r="DR415" s="19434"/>
      <c r="DS415" s="19435"/>
      <c r="DT415" s="19436"/>
      <c r="DU415" s="19437"/>
      <c r="DV415" s="19438"/>
      <c r="DW415" s="19439"/>
      <c r="DX415" s="19440"/>
      <c r="DY415" s="19441"/>
      <c r="DZ415" s="19442"/>
      <c r="EA415" s="19443"/>
      <c r="EB415" s="19444"/>
      <c r="EC415" s="19445"/>
      <c r="ED415" s="19446"/>
      <c r="EE415" s="19447"/>
      <c r="EF415" s="19448"/>
      <c r="EG415" s="19449"/>
      <c r="EH415" s="19450"/>
      <c r="EI415" s="19451"/>
      <c r="EJ415" s="19452"/>
      <c r="EK415" s="19453"/>
      <c r="EL415" s="19454"/>
      <c r="EM415" s="21755"/>
      <c r="EN415" s="21756"/>
      <c r="EO415" s="19455"/>
      <c r="EP415" s="19456"/>
      <c r="EQ415" s="21757"/>
      <c r="ER415" s="19457"/>
      <c r="ES415" s="19458"/>
      <c r="ET415" s="19459"/>
      <c r="EU415" s="19460"/>
      <c r="EV415" s="19461"/>
      <c r="EW415" s="19462"/>
      <c r="EX415" s="5514"/>
      <c r="EY415" s="5515"/>
      <c r="EZ415" s="19463"/>
      <c r="FA415" s="19464"/>
      <c r="FB415" s="5516"/>
      <c r="FC415" s="19465"/>
      <c r="FD415" s="19466"/>
      <c r="FE415" s="19467"/>
      <c r="FF415" s="19468"/>
      <c r="FG415" s="19469"/>
      <c r="FH415" s="5769"/>
      <c r="FI415" s="23088"/>
      <c r="FJ415" s="23089"/>
      <c r="FK415" s="23807"/>
      <c r="FL415" s="23808"/>
      <c r="FM415" s="23090"/>
      <c r="FN415" s="23809"/>
      <c r="FO415" s="23810"/>
      <c r="FP415" s="23091"/>
      <c r="FQ415" s="23092"/>
      <c r="FR415" s="23093"/>
      <c r="FS415" s="23811"/>
      <c r="FT415" s="5517"/>
      <c r="FU415" s="5518"/>
      <c r="FV415" s="1568"/>
      <c r="FW415" s="1550"/>
      <c r="FX415" s="1550" t="str">
        <f t="shared" si="6"/>
        <v>Добавить наименование признака дифференциации</v>
      </c>
      <c r="FY415" s="1550"/>
      <c r="FZ415" s="1550"/>
      <c r="GA415" s="1561">
        <v>0</v>
      </c>
    </row>
    <row r="416" spans="1:183" s="558" customFormat="1" ht="14.25" customHeight="1">
      <c r="A416" s="1269"/>
      <c r="B416" s="1269"/>
      <c r="C416" s="1269"/>
      <c r="D416" s="1269"/>
      <c r="E416" s="24089"/>
      <c r="F416" s="24088" t="s">
        <v>111</v>
      </c>
      <c r="G416" s="1269"/>
      <c r="H416" s="1269"/>
      <c r="I416" s="1269"/>
      <c r="J416" s="1269"/>
      <c r="K416" s="1269"/>
      <c r="L416" s="1471"/>
      <c r="M416" s="1247"/>
      <c r="N416" s="1247"/>
      <c r="O416" s="1568"/>
      <c r="P416" s="1242"/>
      <c r="Q416" s="1270"/>
      <c r="R416" s="1242"/>
      <c r="S416" s="1248"/>
      <c r="T416" s="1251" t="s">
        <v>370</v>
      </c>
      <c r="U416" s="1250"/>
      <c r="V416" s="1250"/>
      <c r="W416" s="1250"/>
      <c r="X416" s="1250"/>
      <c r="Y416" s="1250"/>
      <c r="Z416" s="1250"/>
      <c r="AA416" s="1250"/>
      <c r="AB416" s="1250"/>
      <c r="AC416" s="1250"/>
      <c r="AD416" s="1250"/>
      <c r="AE416" s="1250"/>
      <c r="AF416" s="1250"/>
      <c r="AG416" s="1250"/>
      <c r="AH416" s="1250"/>
      <c r="AI416" s="1250"/>
      <c r="AJ416" s="1250"/>
      <c r="AK416" s="1250"/>
      <c r="AL416" s="1250"/>
      <c r="AM416" s="1250"/>
      <c r="AN416" s="1250"/>
      <c r="AO416" s="1250"/>
      <c r="AP416" s="1250"/>
      <c r="AQ416" s="1250"/>
      <c r="AR416" s="1250"/>
      <c r="AS416" s="1250"/>
      <c r="AT416" s="1250"/>
      <c r="AU416" s="1250"/>
      <c r="AV416" s="1250"/>
      <c r="AW416" s="1250"/>
      <c r="AX416" s="1250"/>
      <c r="AY416" s="1250"/>
      <c r="AZ416" s="1250"/>
      <c r="BA416" s="1250"/>
      <c r="BB416" s="1250"/>
      <c r="BC416" s="1250"/>
      <c r="BD416" s="1250"/>
      <c r="BE416" s="1250"/>
      <c r="BF416" s="1250"/>
      <c r="BG416" s="1250"/>
      <c r="BH416" s="1250"/>
      <c r="BI416" s="1250"/>
      <c r="BJ416" s="1250"/>
      <c r="BK416" s="1250"/>
      <c r="BL416" s="1250"/>
      <c r="BM416" s="1250"/>
      <c r="BN416" s="1250"/>
      <c r="BO416" s="1250"/>
      <c r="BP416" s="1250"/>
      <c r="BQ416" s="1250"/>
      <c r="BR416" s="1250"/>
      <c r="BS416" s="1250"/>
      <c r="BT416" s="1250"/>
      <c r="BU416" s="1250"/>
      <c r="BV416" s="1250"/>
      <c r="BW416" s="1250"/>
      <c r="BX416" s="1250"/>
      <c r="BY416" s="1250"/>
      <c r="BZ416" s="1250"/>
      <c r="CA416" s="1250"/>
      <c r="CB416" s="1250"/>
      <c r="CC416" s="1250"/>
      <c r="CD416" s="1250"/>
      <c r="CE416" s="1250"/>
      <c r="CF416" s="1250"/>
      <c r="CG416" s="1250"/>
      <c r="CH416" s="1250"/>
      <c r="CI416" s="1250"/>
      <c r="CJ416" s="1250"/>
      <c r="CK416" s="1250"/>
      <c r="CL416" s="1250"/>
      <c r="CM416" s="1250"/>
      <c r="CN416" s="1250"/>
      <c r="CO416" s="1250"/>
      <c r="CP416" s="1250"/>
      <c r="CQ416" s="1250"/>
      <c r="CR416" s="1250"/>
      <c r="CS416" s="1250"/>
      <c r="CT416" s="1250"/>
      <c r="CU416" s="1250"/>
      <c r="CV416" s="1250"/>
      <c r="CW416" s="1250"/>
      <c r="CX416" s="1250"/>
      <c r="CY416" s="1250"/>
      <c r="CZ416" s="1250"/>
      <c r="DA416" s="1250"/>
      <c r="DB416" s="1250"/>
      <c r="DC416" s="1250"/>
      <c r="DD416" s="1250"/>
      <c r="DE416" s="1250"/>
      <c r="DF416" s="1250"/>
      <c r="DG416" s="1250"/>
      <c r="DH416" s="1250"/>
      <c r="DI416" s="1250"/>
      <c r="DJ416" s="1250"/>
      <c r="DK416" s="1250"/>
      <c r="DL416" s="1250"/>
      <c r="DM416" s="1250"/>
      <c r="DN416" s="1250"/>
      <c r="DO416" s="1250"/>
      <c r="DP416" s="1250"/>
      <c r="DQ416" s="1250"/>
      <c r="DR416" s="1250"/>
      <c r="DS416" s="1250"/>
      <c r="DT416" s="1250"/>
      <c r="DU416" s="1250"/>
      <c r="DV416" s="1250"/>
      <c r="DW416" s="1250"/>
      <c r="DX416" s="1250"/>
      <c r="DY416" s="1250"/>
      <c r="DZ416" s="1250"/>
      <c r="EA416" s="1250"/>
      <c r="EB416" s="1250"/>
      <c r="EC416" s="1250"/>
      <c r="ED416" s="1250"/>
      <c r="EE416" s="1250"/>
      <c r="EF416" s="1250"/>
      <c r="EG416" s="1250"/>
      <c r="EH416" s="1250"/>
      <c r="EI416" s="1250"/>
      <c r="EJ416" s="1250"/>
      <c r="EK416" s="1250"/>
      <c r="EL416" s="1250"/>
      <c r="EM416" s="1250"/>
      <c r="EN416" s="1250"/>
      <c r="EO416" s="1250"/>
      <c r="EP416" s="1250"/>
      <c r="EQ416" s="1250"/>
      <c r="ER416" s="1250"/>
      <c r="ES416" s="1250"/>
      <c r="ET416" s="1250"/>
      <c r="EU416" s="1250"/>
      <c r="EV416" s="1250"/>
      <c r="EW416" s="1250"/>
      <c r="EX416" s="1250"/>
      <c r="EY416" s="1250"/>
      <c r="EZ416" s="1250"/>
      <c r="FA416" s="1250"/>
      <c r="FB416" s="1250"/>
      <c r="FC416" s="1250"/>
      <c r="FD416" s="1250"/>
      <c r="FE416" s="1250"/>
      <c r="FF416" s="1250"/>
      <c r="FG416" s="1250"/>
      <c r="FH416" s="1250"/>
      <c r="FI416" s="1250"/>
      <c r="FJ416" s="1250"/>
      <c r="FK416" s="1250"/>
      <c r="FL416" s="1250"/>
      <c r="FM416" s="1250"/>
      <c r="FN416" s="1250"/>
      <c r="FO416" s="1250"/>
      <c r="FP416" s="1250"/>
      <c r="FQ416" s="1250"/>
      <c r="FR416" s="1250"/>
      <c r="FS416" s="1250"/>
      <c r="FT416" s="1250"/>
      <c r="FU416" s="1250"/>
      <c r="FV416" s="1568"/>
      <c r="FW416" s="1550"/>
      <c r="FX416" s="1550" t="str">
        <f t="shared" si="6"/>
        <v>Добавить централизованную систему для дифференциации</v>
      </c>
      <c r="FY416" s="1550"/>
      <c r="FZ416" s="1550"/>
      <c r="GA416" s="1568">
        <v>0</v>
      </c>
    </row>
    <row r="417" spans="1:183" s="1747" customFormat="1" ht="23.25" customHeight="1">
      <c r="A417" s="1289"/>
      <c r="B417" s="1289" t="s">
        <v>459</v>
      </c>
      <c r="C417" s="1289"/>
      <c r="D417" s="1289"/>
      <c r="E417" s="24089"/>
      <c r="F417" s="24088" t="s">
        <v>187</v>
      </c>
      <c r="G417" s="1289"/>
      <c r="H417" s="1289"/>
      <c r="I417" s="1289"/>
      <c r="J417" s="1289"/>
      <c r="K417" s="1289"/>
      <c r="L417" s="1295"/>
      <c r="M417" s="1291"/>
      <c r="N417" s="1291"/>
      <c r="O417" s="1291"/>
      <c r="P417" s="1971"/>
      <c r="Q417" s="288"/>
      <c r="R417" s="289"/>
      <c r="S417" s="1976" t="str">
        <f>INDEX(PT_DIFFERENTIATION_NUM_TER,MATCH(B417,PT_DIFFERENTIATION_TER_ID,0))</f>
        <v>1.20</v>
      </c>
      <c r="T417" s="1448" t="s">
        <v>626</v>
      </c>
      <c r="U417" s="236"/>
      <c r="V417" s="24082"/>
      <c r="W417" s="24083"/>
      <c r="X417" s="24083"/>
      <c r="Y417" s="24083"/>
      <c r="Z417" s="24083"/>
      <c r="AA417" s="24083"/>
      <c r="AB417" s="24083"/>
      <c r="AC417" s="24083"/>
      <c r="AD417" s="24083"/>
      <c r="AE417" s="24083"/>
      <c r="AF417" s="24084"/>
      <c r="AG417" s="24082" t="str">
        <f>INDEX(PT_DIFFERENTIATION_TER,MATCH(B417,PT_DIFFERENTIATION_TER_ID,0))</f>
        <v>Территория 20</v>
      </c>
      <c r="AH417" s="24083"/>
      <c r="AI417" s="24083"/>
      <c r="AJ417" s="24083"/>
      <c r="AK417" s="24083"/>
      <c r="AL417" s="24083"/>
      <c r="AM417" s="24083"/>
      <c r="AN417" s="24083"/>
      <c r="AO417" s="24083"/>
      <c r="AP417" s="24083"/>
      <c r="AQ417" s="24083"/>
      <c r="AR417" s="24173"/>
      <c r="AS417" s="24174"/>
      <c r="AT417" s="24174"/>
      <c r="AU417" s="24174"/>
      <c r="AV417" s="24174"/>
      <c r="AW417" s="24174"/>
      <c r="AX417" s="24174"/>
      <c r="AY417" s="24174"/>
      <c r="AZ417" s="24174"/>
      <c r="BA417" s="24174"/>
      <c r="BB417" s="24175"/>
      <c r="BC417" s="24173"/>
      <c r="BD417" s="24174"/>
      <c r="BE417" s="24174"/>
      <c r="BF417" s="24174"/>
      <c r="BG417" s="24174"/>
      <c r="BH417" s="24174"/>
      <c r="BI417" s="24174"/>
      <c r="BJ417" s="24174"/>
      <c r="BK417" s="24174"/>
      <c r="BL417" s="24174"/>
      <c r="BM417" s="24175"/>
      <c r="BN417" s="24082"/>
      <c r="BO417" s="24083"/>
      <c r="BP417" s="24174"/>
      <c r="BQ417" s="24174"/>
      <c r="BR417" s="24083"/>
      <c r="BS417" s="24174"/>
      <c r="BT417" s="24174"/>
      <c r="BU417" s="24174"/>
      <c r="BV417" s="24174"/>
      <c r="BW417" s="24174"/>
      <c r="BX417" s="24175"/>
      <c r="BY417" s="24173"/>
      <c r="BZ417" s="24174"/>
      <c r="CA417" s="24174"/>
      <c r="CB417" s="24174"/>
      <c r="CC417" s="24174"/>
      <c r="CD417" s="24174"/>
      <c r="CE417" s="24174"/>
      <c r="CF417" s="24174"/>
      <c r="CG417" s="24174"/>
      <c r="CH417" s="24174"/>
      <c r="CI417" s="24175"/>
      <c r="CJ417" s="24173"/>
      <c r="CK417" s="24174"/>
      <c r="CL417" s="24174"/>
      <c r="CM417" s="24174"/>
      <c r="CN417" s="24174"/>
      <c r="CO417" s="24174"/>
      <c r="CP417" s="24174"/>
      <c r="CQ417" s="24174"/>
      <c r="CR417" s="24174"/>
      <c r="CS417" s="24174"/>
      <c r="CT417" s="24175"/>
      <c r="CU417" s="24173"/>
      <c r="CV417" s="24174"/>
      <c r="CW417" s="24174"/>
      <c r="CX417" s="24174"/>
      <c r="CY417" s="24174"/>
      <c r="CZ417" s="24174"/>
      <c r="DA417" s="24174"/>
      <c r="DB417" s="24174"/>
      <c r="DC417" s="24174"/>
      <c r="DD417" s="24174"/>
      <c r="DE417" s="24175"/>
      <c r="DF417" s="24173"/>
      <c r="DG417" s="24174"/>
      <c r="DH417" s="24174"/>
      <c r="DI417" s="24174"/>
      <c r="DJ417" s="24174"/>
      <c r="DK417" s="24174"/>
      <c r="DL417" s="24174"/>
      <c r="DM417" s="24174"/>
      <c r="DN417" s="24174"/>
      <c r="DO417" s="24174"/>
      <c r="DP417" s="24175"/>
      <c r="DQ417" s="24173"/>
      <c r="DR417" s="24174"/>
      <c r="DS417" s="24174"/>
      <c r="DT417" s="24174"/>
      <c r="DU417" s="24174"/>
      <c r="DV417" s="24174"/>
      <c r="DW417" s="24174"/>
      <c r="DX417" s="24174"/>
      <c r="DY417" s="24174"/>
      <c r="DZ417" s="24174"/>
      <c r="EA417" s="24175"/>
      <c r="EB417" s="24173"/>
      <c r="EC417" s="24174"/>
      <c r="ED417" s="24174"/>
      <c r="EE417" s="24174"/>
      <c r="EF417" s="24174"/>
      <c r="EG417" s="24174"/>
      <c r="EH417" s="24174"/>
      <c r="EI417" s="24174"/>
      <c r="EJ417" s="24174"/>
      <c r="EK417" s="24174"/>
      <c r="EL417" s="24175"/>
      <c r="EM417" s="24173"/>
      <c r="EN417" s="24174"/>
      <c r="EO417" s="24174"/>
      <c r="EP417" s="24174"/>
      <c r="EQ417" s="24174"/>
      <c r="ER417" s="24174"/>
      <c r="ES417" s="24174"/>
      <c r="ET417" s="24174"/>
      <c r="EU417" s="24174"/>
      <c r="EV417" s="24174"/>
      <c r="EW417" s="24175"/>
      <c r="EX417" s="24082"/>
      <c r="EY417" s="24083"/>
      <c r="EZ417" s="24174"/>
      <c r="FA417" s="24174"/>
      <c r="FB417" s="24083"/>
      <c r="FC417" s="24174"/>
      <c r="FD417" s="24174"/>
      <c r="FE417" s="24174"/>
      <c r="FF417" s="24174"/>
      <c r="FG417" s="24174"/>
      <c r="FH417" s="24175"/>
      <c r="FI417" s="24082"/>
      <c r="FJ417" s="24083"/>
      <c r="FK417" s="24174"/>
      <c r="FL417" s="24174"/>
      <c r="FM417" s="24083"/>
      <c r="FN417" s="24174"/>
      <c r="FO417" s="24174"/>
      <c r="FP417" s="24083"/>
      <c r="FQ417" s="24083"/>
      <c r="FR417" s="24083"/>
      <c r="FS417" s="24175"/>
      <c r="FT417" s="24084"/>
      <c r="FU417" s="1184" t="s">
        <v>627</v>
      </c>
      <c r="FV417" s="1568"/>
      <c r="FW417" s="1550"/>
      <c r="FX417" s="1550" t="str">
        <f t="shared" si="6"/>
        <v>Территория действия тарифа</v>
      </c>
      <c r="FY417" s="1550"/>
      <c r="FZ417" s="1550"/>
      <c r="GA417" s="1561">
        <v>0</v>
      </c>
    </row>
    <row r="418" spans="1:183" s="1747" customFormat="1" ht="23.25" customHeight="1">
      <c r="A418" s="1289"/>
      <c r="B418" s="1289"/>
      <c r="C418" s="1289" t="s">
        <v>460</v>
      </c>
      <c r="D418" s="1289"/>
      <c r="E418" s="24089"/>
      <c r="F418" s="24089" t="s">
        <v>182</v>
      </c>
      <c r="G418" s="24088">
        <v>1</v>
      </c>
      <c r="H418" s="1289"/>
      <c r="I418" s="1289"/>
      <c r="J418" s="1289"/>
      <c r="K418" s="1289"/>
      <c r="L418" s="1295"/>
      <c r="M418" s="1291"/>
      <c r="N418" s="1291"/>
      <c r="O418" s="1291"/>
      <c r="P418" s="290"/>
      <c r="Q418" s="288"/>
      <c r="R418" s="289"/>
      <c r="S418" s="1976" t="str">
        <f>INDEX(PT_DIFFERENTIATION_NUM_CS,MATCH(C418,PT_DIFFERENTIATION_CS_ID,0))</f>
        <v>1.20.1</v>
      </c>
      <c r="T418" s="245" t="s">
        <v>756</v>
      </c>
      <c r="U418" s="236"/>
      <c r="V418" s="24082"/>
      <c r="W418" s="24083"/>
      <c r="X418" s="24083"/>
      <c r="Y418" s="24083"/>
      <c r="Z418" s="24083"/>
      <c r="AA418" s="24083"/>
      <c r="AB418" s="24083"/>
      <c r="AC418" s="24083"/>
      <c r="AD418" s="24083"/>
      <c r="AE418" s="24083"/>
      <c r="AF418" s="24084"/>
      <c r="AG418" s="24082" t="str">
        <f>INDEX(PT_DIFFERENTIATION_CS,MATCH(C418,PT_DIFFERENTIATION_CS_ID,0))</f>
        <v>с. Талашкино, Смоленский муниципальный округ</v>
      </c>
      <c r="AH418" s="24083"/>
      <c r="AI418" s="24083"/>
      <c r="AJ418" s="24083"/>
      <c r="AK418" s="24083"/>
      <c r="AL418" s="24083"/>
      <c r="AM418" s="24083"/>
      <c r="AN418" s="24083"/>
      <c r="AO418" s="24083"/>
      <c r="AP418" s="24083"/>
      <c r="AQ418" s="24083"/>
      <c r="AR418" s="24173"/>
      <c r="AS418" s="24174"/>
      <c r="AT418" s="24174"/>
      <c r="AU418" s="24174"/>
      <c r="AV418" s="24174"/>
      <c r="AW418" s="24174"/>
      <c r="AX418" s="24174"/>
      <c r="AY418" s="24174"/>
      <c r="AZ418" s="24174"/>
      <c r="BA418" s="24174"/>
      <c r="BB418" s="24175"/>
      <c r="BC418" s="24173"/>
      <c r="BD418" s="24174"/>
      <c r="BE418" s="24174"/>
      <c r="BF418" s="24174"/>
      <c r="BG418" s="24174"/>
      <c r="BH418" s="24174"/>
      <c r="BI418" s="24174"/>
      <c r="BJ418" s="24174"/>
      <c r="BK418" s="24174"/>
      <c r="BL418" s="24174"/>
      <c r="BM418" s="24175"/>
      <c r="BN418" s="24082"/>
      <c r="BO418" s="24083"/>
      <c r="BP418" s="24174"/>
      <c r="BQ418" s="24174"/>
      <c r="BR418" s="24083"/>
      <c r="BS418" s="24174"/>
      <c r="BT418" s="24174"/>
      <c r="BU418" s="24174"/>
      <c r="BV418" s="24174"/>
      <c r="BW418" s="24174"/>
      <c r="BX418" s="24175"/>
      <c r="BY418" s="24173"/>
      <c r="BZ418" s="24174"/>
      <c r="CA418" s="24174"/>
      <c r="CB418" s="24174"/>
      <c r="CC418" s="24174"/>
      <c r="CD418" s="24174"/>
      <c r="CE418" s="24174"/>
      <c r="CF418" s="24174"/>
      <c r="CG418" s="24174"/>
      <c r="CH418" s="24174"/>
      <c r="CI418" s="24175"/>
      <c r="CJ418" s="24173"/>
      <c r="CK418" s="24174"/>
      <c r="CL418" s="24174"/>
      <c r="CM418" s="24174"/>
      <c r="CN418" s="24174"/>
      <c r="CO418" s="24174"/>
      <c r="CP418" s="24174"/>
      <c r="CQ418" s="24174"/>
      <c r="CR418" s="24174"/>
      <c r="CS418" s="24174"/>
      <c r="CT418" s="24175"/>
      <c r="CU418" s="24173"/>
      <c r="CV418" s="24174"/>
      <c r="CW418" s="24174"/>
      <c r="CX418" s="24174"/>
      <c r="CY418" s="24174"/>
      <c r="CZ418" s="24174"/>
      <c r="DA418" s="24174"/>
      <c r="DB418" s="24174"/>
      <c r="DC418" s="24174"/>
      <c r="DD418" s="24174"/>
      <c r="DE418" s="24175"/>
      <c r="DF418" s="24173"/>
      <c r="DG418" s="24174"/>
      <c r="DH418" s="24174"/>
      <c r="DI418" s="24174"/>
      <c r="DJ418" s="24174"/>
      <c r="DK418" s="24174"/>
      <c r="DL418" s="24174"/>
      <c r="DM418" s="24174"/>
      <c r="DN418" s="24174"/>
      <c r="DO418" s="24174"/>
      <c r="DP418" s="24175"/>
      <c r="DQ418" s="24173"/>
      <c r="DR418" s="24174"/>
      <c r="DS418" s="24174"/>
      <c r="DT418" s="24174"/>
      <c r="DU418" s="24174"/>
      <c r="DV418" s="24174"/>
      <c r="DW418" s="24174"/>
      <c r="DX418" s="24174"/>
      <c r="DY418" s="24174"/>
      <c r="DZ418" s="24174"/>
      <c r="EA418" s="24175"/>
      <c r="EB418" s="24173"/>
      <c r="EC418" s="24174"/>
      <c r="ED418" s="24174"/>
      <c r="EE418" s="24174"/>
      <c r="EF418" s="24174"/>
      <c r="EG418" s="24174"/>
      <c r="EH418" s="24174"/>
      <c r="EI418" s="24174"/>
      <c r="EJ418" s="24174"/>
      <c r="EK418" s="24174"/>
      <c r="EL418" s="24175"/>
      <c r="EM418" s="24173"/>
      <c r="EN418" s="24174"/>
      <c r="EO418" s="24174"/>
      <c r="EP418" s="24174"/>
      <c r="EQ418" s="24174"/>
      <c r="ER418" s="24174"/>
      <c r="ES418" s="24174"/>
      <c r="ET418" s="24174"/>
      <c r="EU418" s="24174"/>
      <c r="EV418" s="24174"/>
      <c r="EW418" s="24175"/>
      <c r="EX418" s="24082"/>
      <c r="EY418" s="24083"/>
      <c r="EZ418" s="24174"/>
      <c r="FA418" s="24174"/>
      <c r="FB418" s="24083"/>
      <c r="FC418" s="24174"/>
      <c r="FD418" s="24174"/>
      <c r="FE418" s="24174"/>
      <c r="FF418" s="24174"/>
      <c r="FG418" s="24174"/>
      <c r="FH418" s="24175"/>
      <c r="FI418" s="24082"/>
      <c r="FJ418" s="24083"/>
      <c r="FK418" s="24174"/>
      <c r="FL418" s="24174"/>
      <c r="FM418" s="24083"/>
      <c r="FN418" s="24174"/>
      <c r="FO418" s="24174"/>
      <c r="FP418" s="24083"/>
      <c r="FQ418" s="24083"/>
      <c r="FR418" s="24083"/>
      <c r="FS418" s="24175"/>
      <c r="FT418" s="24084"/>
      <c r="FU418" s="1184" t="s">
        <v>757</v>
      </c>
      <c r="FV418" s="1568"/>
      <c r="FW418" s="1550"/>
      <c r="FX418" s="1550" t="str">
        <f t="shared" si="6"/>
        <v>Наименование централизованной системы горячего водоснабжения</v>
      </c>
      <c r="FY418" s="1550"/>
      <c r="FZ418" s="1550"/>
      <c r="GA418" s="1561">
        <v>0</v>
      </c>
    </row>
    <row r="419" spans="1:183" s="1747" customFormat="1" ht="23.25" customHeight="1">
      <c r="A419" s="1289"/>
      <c r="B419" s="1289"/>
      <c r="C419" s="1289"/>
      <c r="D419" s="1289"/>
      <c r="E419" s="24089"/>
      <c r="F419" s="24089" t="s">
        <v>182</v>
      </c>
      <c r="G419" s="24089"/>
      <c r="H419" s="24089"/>
      <c r="I419" s="24090" t="str">
        <f>S418&amp;".1"</f>
        <v>1.20.1.1</v>
      </c>
      <c r="J419" s="1289"/>
      <c r="K419" s="1289"/>
      <c r="L419" s="1295"/>
      <c r="M419" s="1674"/>
      <c r="N419" s="1674"/>
      <c r="O419" s="1674"/>
      <c r="P419" s="24092">
        <v>1</v>
      </c>
      <c r="Q419" s="1978"/>
      <c r="R419" s="292"/>
      <c r="S419" s="1976" t="str">
        <f>$I419</f>
        <v>1.20.1.1</v>
      </c>
      <c r="T419" s="221" t="s">
        <v>709</v>
      </c>
      <c r="U419" s="236"/>
      <c r="V419" s="24156"/>
      <c r="W419" s="24157"/>
      <c r="X419" s="24157"/>
      <c r="Y419" s="24157"/>
      <c r="Z419" s="24157"/>
      <c r="AA419" s="24157"/>
      <c r="AB419" s="24157"/>
      <c r="AC419" s="24157"/>
      <c r="AD419" s="24157"/>
      <c r="AE419" s="24157"/>
      <c r="AF419" s="24158"/>
      <c r="AG419" s="24159"/>
      <c r="AH419" s="24160"/>
      <c r="AI419" s="24160"/>
      <c r="AJ419" s="24160"/>
      <c r="AK419" s="24160"/>
      <c r="AL419" s="24160"/>
      <c r="AM419" s="24160"/>
      <c r="AN419" s="24160"/>
      <c r="AO419" s="24160"/>
      <c r="AP419" s="24160"/>
      <c r="AQ419" s="24160"/>
      <c r="AR419" s="24176"/>
      <c r="AS419" s="24177"/>
      <c r="AT419" s="24177"/>
      <c r="AU419" s="24177"/>
      <c r="AV419" s="24177"/>
      <c r="AW419" s="24177"/>
      <c r="AX419" s="24177"/>
      <c r="AY419" s="24177"/>
      <c r="AZ419" s="24177"/>
      <c r="BA419" s="24177"/>
      <c r="BB419" s="24178"/>
      <c r="BC419" s="24176"/>
      <c r="BD419" s="24177"/>
      <c r="BE419" s="24177"/>
      <c r="BF419" s="24177"/>
      <c r="BG419" s="24177"/>
      <c r="BH419" s="24177"/>
      <c r="BI419" s="24177"/>
      <c r="BJ419" s="24177"/>
      <c r="BK419" s="24177"/>
      <c r="BL419" s="24177"/>
      <c r="BM419" s="24178"/>
      <c r="BN419" s="24156"/>
      <c r="BO419" s="24157"/>
      <c r="BP419" s="24177"/>
      <c r="BQ419" s="24177"/>
      <c r="BR419" s="24157"/>
      <c r="BS419" s="24177"/>
      <c r="BT419" s="24177"/>
      <c r="BU419" s="24177"/>
      <c r="BV419" s="24177"/>
      <c r="BW419" s="24177"/>
      <c r="BX419" s="24178"/>
      <c r="BY419" s="24176"/>
      <c r="BZ419" s="24177"/>
      <c r="CA419" s="24177"/>
      <c r="CB419" s="24177"/>
      <c r="CC419" s="24177"/>
      <c r="CD419" s="24177"/>
      <c r="CE419" s="24177"/>
      <c r="CF419" s="24177"/>
      <c r="CG419" s="24177"/>
      <c r="CH419" s="24177"/>
      <c r="CI419" s="24178"/>
      <c r="CJ419" s="24176"/>
      <c r="CK419" s="24177"/>
      <c r="CL419" s="24177"/>
      <c r="CM419" s="24177"/>
      <c r="CN419" s="24177"/>
      <c r="CO419" s="24177"/>
      <c r="CP419" s="24177"/>
      <c r="CQ419" s="24177"/>
      <c r="CR419" s="24177"/>
      <c r="CS419" s="24177"/>
      <c r="CT419" s="24178"/>
      <c r="CU419" s="24176"/>
      <c r="CV419" s="24177"/>
      <c r="CW419" s="24177"/>
      <c r="CX419" s="24177"/>
      <c r="CY419" s="24177"/>
      <c r="CZ419" s="24177"/>
      <c r="DA419" s="24177"/>
      <c r="DB419" s="24177"/>
      <c r="DC419" s="24177"/>
      <c r="DD419" s="24177"/>
      <c r="DE419" s="24178"/>
      <c r="DF419" s="24176"/>
      <c r="DG419" s="24177"/>
      <c r="DH419" s="24177"/>
      <c r="DI419" s="24177"/>
      <c r="DJ419" s="24177"/>
      <c r="DK419" s="24177"/>
      <c r="DL419" s="24177"/>
      <c r="DM419" s="24177"/>
      <c r="DN419" s="24177"/>
      <c r="DO419" s="24177"/>
      <c r="DP419" s="24178"/>
      <c r="DQ419" s="24176"/>
      <c r="DR419" s="24177"/>
      <c r="DS419" s="24177"/>
      <c r="DT419" s="24177"/>
      <c r="DU419" s="24177"/>
      <c r="DV419" s="24177"/>
      <c r="DW419" s="24177"/>
      <c r="DX419" s="24177"/>
      <c r="DY419" s="24177"/>
      <c r="DZ419" s="24177"/>
      <c r="EA419" s="24178"/>
      <c r="EB419" s="24176"/>
      <c r="EC419" s="24177"/>
      <c r="ED419" s="24177"/>
      <c r="EE419" s="24177"/>
      <c r="EF419" s="24177"/>
      <c r="EG419" s="24177"/>
      <c r="EH419" s="24177"/>
      <c r="EI419" s="24177"/>
      <c r="EJ419" s="24177"/>
      <c r="EK419" s="24177"/>
      <c r="EL419" s="24178"/>
      <c r="EM419" s="24176"/>
      <c r="EN419" s="24177"/>
      <c r="EO419" s="24177"/>
      <c r="EP419" s="24177"/>
      <c r="EQ419" s="24177"/>
      <c r="ER419" s="24177"/>
      <c r="ES419" s="24177"/>
      <c r="ET419" s="24177"/>
      <c r="EU419" s="24177"/>
      <c r="EV419" s="24177"/>
      <c r="EW419" s="24178"/>
      <c r="EX419" s="24156"/>
      <c r="EY419" s="24157"/>
      <c r="EZ419" s="24177"/>
      <c r="FA419" s="24177"/>
      <c r="FB419" s="24157"/>
      <c r="FC419" s="24177"/>
      <c r="FD419" s="24177"/>
      <c r="FE419" s="24177"/>
      <c r="FF419" s="24177"/>
      <c r="FG419" s="24177"/>
      <c r="FH419" s="24178"/>
      <c r="FI419" s="24156"/>
      <c r="FJ419" s="24157"/>
      <c r="FK419" s="24177"/>
      <c r="FL419" s="24177"/>
      <c r="FM419" s="24157"/>
      <c r="FN419" s="24177"/>
      <c r="FO419" s="24177"/>
      <c r="FP419" s="24157"/>
      <c r="FQ419" s="24157"/>
      <c r="FR419" s="24157"/>
      <c r="FS419" s="24178"/>
      <c r="FT419" s="24161"/>
      <c r="FU419" s="1184" t="s">
        <v>710</v>
      </c>
      <c r="FV419" s="1568"/>
      <c r="FW419" s="1550"/>
      <c r="FX419" s="1550" t="str">
        <f t="shared" si="6"/>
        <v>Наименование признака дифференциации</v>
      </c>
      <c r="FY419" s="1550"/>
      <c r="FZ419" s="1550"/>
      <c r="GA419" s="1561">
        <v>0</v>
      </c>
    </row>
    <row r="420" spans="1:183" s="1747" customFormat="1" ht="23.25" customHeight="1">
      <c r="A420" s="1289"/>
      <c r="B420" s="1289"/>
      <c r="C420" s="1289"/>
      <c r="D420" s="1289"/>
      <c r="E420" s="24089"/>
      <c r="F420" s="24089" t="s">
        <v>182</v>
      </c>
      <c r="G420" s="24089"/>
      <c r="H420" s="24089"/>
      <c r="I420" s="24091"/>
      <c r="J420" s="24090" t="str">
        <f>I419&amp;".1"</f>
        <v>1.20.1.1.1</v>
      </c>
      <c r="K420" s="1289"/>
      <c r="L420" s="1295" t="s">
        <v>635</v>
      </c>
      <c r="M420" s="1674"/>
      <c r="N420" s="1674"/>
      <c r="O420" s="1674"/>
      <c r="P420" s="24092"/>
      <c r="Q420" s="24092">
        <v>1</v>
      </c>
      <c r="R420" s="293"/>
      <c r="S420" s="1976" t="str">
        <f>$J420</f>
        <v>1.20.1.1.1</v>
      </c>
      <c r="T420" s="222" t="s">
        <v>636</v>
      </c>
      <c r="U420" s="236"/>
      <c r="V420" s="24076"/>
      <c r="W420" s="24077"/>
      <c r="X420" s="24077"/>
      <c r="Y420" s="24077"/>
      <c r="Z420" s="24077"/>
      <c r="AA420" s="24077"/>
      <c r="AB420" s="24077"/>
      <c r="AC420" s="24077"/>
      <c r="AD420" s="24077"/>
      <c r="AE420" s="24077"/>
      <c r="AF420" s="24078"/>
      <c r="AG420" s="24076" t="s">
        <v>769</v>
      </c>
      <c r="AH420" s="24077"/>
      <c r="AI420" s="24077"/>
      <c r="AJ420" s="24077"/>
      <c r="AK420" s="24077"/>
      <c r="AL420" s="24077"/>
      <c r="AM420" s="24077"/>
      <c r="AN420" s="24077"/>
      <c r="AO420" s="24077"/>
      <c r="AP420" s="24077"/>
      <c r="AQ420" s="24077"/>
      <c r="AR420" s="24179"/>
      <c r="AS420" s="24180"/>
      <c r="AT420" s="24180"/>
      <c r="AU420" s="24180"/>
      <c r="AV420" s="24180"/>
      <c r="AW420" s="24180"/>
      <c r="AX420" s="24180"/>
      <c r="AY420" s="24180"/>
      <c r="AZ420" s="24180"/>
      <c r="BA420" s="24180"/>
      <c r="BB420" s="24181"/>
      <c r="BC420" s="24179"/>
      <c r="BD420" s="24180"/>
      <c r="BE420" s="24180"/>
      <c r="BF420" s="24180"/>
      <c r="BG420" s="24180"/>
      <c r="BH420" s="24180"/>
      <c r="BI420" s="24180"/>
      <c r="BJ420" s="24180"/>
      <c r="BK420" s="24180"/>
      <c r="BL420" s="24180"/>
      <c r="BM420" s="24181"/>
      <c r="BN420" s="24076"/>
      <c r="BO420" s="24077"/>
      <c r="BP420" s="24180"/>
      <c r="BQ420" s="24180"/>
      <c r="BR420" s="24077"/>
      <c r="BS420" s="24180"/>
      <c r="BT420" s="24180"/>
      <c r="BU420" s="24180"/>
      <c r="BV420" s="24180"/>
      <c r="BW420" s="24180"/>
      <c r="BX420" s="24181"/>
      <c r="BY420" s="24179"/>
      <c r="BZ420" s="24180"/>
      <c r="CA420" s="24180"/>
      <c r="CB420" s="24180"/>
      <c r="CC420" s="24180"/>
      <c r="CD420" s="24180"/>
      <c r="CE420" s="24180"/>
      <c r="CF420" s="24180"/>
      <c r="CG420" s="24180"/>
      <c r="CH420" s="24180"/>
      <c r="CI420" s="24181"/>
      <c r="CJ420" s="24179"/>
      <c r="CK420" s="24180"/>
      <c r="CL420" s="24180"/>
      <c r="CM420" s="24180"/>
      <c r="CN420" s="24180"/>
      <c r="CO420" s="24180"/>
      <c r="CP420" s="24180"/>
      <c r="CQ420" s="24180"/>
      <c r="CR420" s="24180"/>
      <c r="CS420" s="24180"/>
      <c r="CT420" s="24181"/>
      <c r="CU420" s="24179"/>
      <c r="CV420" s="24180"/>
      <c r="CW420" s="24180"/>
      <c r="CX420" s="24180"/>
      <c r="CY420" s="24180"/>
      <c r="CZ420" s="24180"/>
      <c r="DA420" s="24180"/>
      <c r="DB420" s="24180"/>
      <c r="DC420" s="24180"/>
      <c r="DD420" s="24180"/>
      <c r="DE420" s="24181"/>
      <c r="DF420" s="24179"/>
      <c r="DG420" s="24180"/>
      <c r="DH420" s="24180"/>
      <c r="DI420" s="24180"/>
      <c r="DJ420" s="24180"/>
      <c r="DK420" s="24180"/>
      <c r="DL420" s="24180"/>
      <c r="DM420" s="24180"/>
      <c r="DN420" s="24180"/>
      <c r="DO420" s="24180"/>
      <c r="DP420" s="24181"/>
      <c r="DQ420" s="24179"/>
      <c r="DR420" s="24180"/>
      <c r="DS420" s="24180"/>
      <c r="DT420" s="24180"/>
      <c r="DU420" s="24180"/>
      <c r="DV420" s="24180"/>
      <c r="DW420" s="24180"/>
      <c r="DX420" s="24180"/>
      <c r="DY420" s="24180"/>
      <c r="DZ420" s="24180"/>
      <c r="EA420" s="24181"/>
      <c r="EB420" s="24179"/>
      <c r="EC420" s="24180"/>
      <c r="ED420" s="24180"/>
      <c r="EE420" s="24180"/>
      <c r="EF420" s="24180"/>
      <c r="EG420" s="24180"/>
      <c r="EH420" s="24180"/>
      <c r="EI420" s="24180"/>
      <c r="EJ420" s="24180"/>
      <c r="EK420" s="24180"/>
      <c r="EL420" s="24181"/>
      <c r="EM420" s="24179"/>
      <c r="EN420" s="24180"/>
      <c r="EO420" s="24180"/>
      <c r="EP420" s="24180"/>
      <c r="EQ420" s="24180"/>
      <c r="ER420" s="24180"/>
      <c r="ES420" s="24180"/>
      <c r="ET420" s="24180"/>
      <c r="EU420" s="24180"/>
      <c r="EV420" s="24180"/>
      <c r="EW420" s="24181"/>
      <c r="EX420" s="24076"/>
      <c r="EY420" s="24077"/>
      <c r="EZ420" s="24180"/>
      <c r="FA420" s="24180"/>
      <c r="FB420" s="24077"/>
      <c r="FC420" s="24180"/>
      <c r="FD420" s="24180"/>
      <c r="FE420" s="24180"/>
      <c r="FF420" s="24180"/>
      <c r="FG420" s="24180"/>
      <c r="FH420" s="24181"/>
      <c r="FI420" s="24076"/>
      <c r="FJ420" s="24077"/>
      <c r="FK420" s="24180"/>
      <c r="FL420" s="24180"/>
      <c r="FM420" s="24077"/>
      <c r="FN420" s="24180"/>
      <c r="FO420" s="24180"/>
      <c r="FP420" s="24077"/>
      <c r="FQ420" s="24077"/>
      <c r="FR420" s="24077"/>
      <c r="FS420" s="24181"/>
      <c r="FT420" s="24078"/>
      <c r="FU420" s="1233" t="s">
        <v>711</v>
      </c>
      <c r="FV420" s="1568"/>
      <c r="FW420" s="1550"/>
      <c r="FX420" s="1550" t="str">
        <f t="shared" si="6"/>
        <v>Группа потребителей</v>
      </c>
      <c r="FY420" s="1550"/>
      <c r="FZ420" s="1550"/>
      <c r="GA420" s="1561">
        <v>0</v>
      </c>
    </row>
    <row r="421" spans="1:183" s="1747" customFormat="1" ht="23.25" customHeight="1">
      <c r="A421" s="1289"/>
      <c r="B421" s="1289"/>
      <c r="C421" s="1289"/>
      <c r="D421" s="1289"/>
      <c r="E421" s="24089"/>
      <c r="F421" s="24089" t="s">
        <v>182</v>
      </c>
      <c r="G421" s="24089"/>
      <c r="H421" s="24089"/>
      <c r="I421" s="24091"/>
      <c r="J421" s="24091"/>
      <c r="K421" s="24090" t="str">
        <f>J420&amp;".1"</f>
        <v>1.20.1.1.1.1</v>
      </c>
      <c r="L421" s="1295"/>
      <c r="M421" s="1674"/>
      <c r="N421" s="1674"/>
      <c r="O421" s="1674"/>
      <c r="P421" s="24092"/>
      <c r="Q421" s="24092"/>
      <c r="R421" s="293">
        <v>1</v>
      </c>
      <c r="S421" s="1976" t="str">
        <f>$K421</f>
        <v>1.20.1.1.1.1</v>
      </c>
      <c r="T421" s="1363"/>
      <c r="U421" s="236"/>
      <c r="V421" s="1286"/>
      <c r="W421" s="1286"/>
      <c r="X421" s="1286"/>
      <c r="Y421" s="1286"/>
      <c r="Z421" s="1286"/>
      <c r="AA421" s="1286"/>
      <c r="AB421" s="1286"/>
      <c r="AC421" s="24086"/>
      <c r="AD421" s="24085" t="s">
        <v>59</v>
      </c>
      <c r="AE421" s="24086"/>
      <c r="AF421" s="24085" t="s">
        <v>59</v>
      </c>
      <c r="AG421" s="687">
        <v>233.8</v>
      </c>
      <c r="AH421" s="687">
        <v>45.43</v>
      </c>
      <c r="AI421" s="687"/>
      <c r="AJ421" s="687"/>
      <c r="AK421" s="687">
        <v>2891.6</v>
      </c>
      <c r="AL421" s="687"/>
      <c r="AM421" s="687"/>
      <c r="AN421" s="24093" t="s">
        <v>9</v>
      </c>
      <c r="AO421" s="23957" t="s">
        <v>59</v>
      </c>
      <c r="AP421" s="24095" t="s">
        <v>770</v>
      </c>
      <c r="AQ421" s="23957" t="s">
        <v>59</v>
      </c>
      <c r="AR421" s="687">
        <v>260.27</v>
      </c>
      <c r="AS421" s="687">
        <v>49.86</v>
      </c>
      <c r="AT421" s="687"/>
      <c r="AU421" s="687"/>
      <c r="AV421" s="687">
        <v>3229.92</v>
      </c>
      <c r="AW421" s="687"/>
      <c r="AX421" s="687"/>
      <c r="AY421" s="24093" t="s">
        <v>772</v>
      </c>
      <c r="AZ421" s="23957" t="s">
        <v>59</v>
      </c>
      <c r="BA421" s="24093" t="s">
        <v>773</v>
      </c>
      <c r="BB421" s="23957" t="s">
        <v>59</v>
      </c>
      <c r="BC421" s="687">
        <v>260.27</v>
      </c>
      <c r="BD421" s="687">
        <v>49.86</v>
      </c>
      <c r="BE421" s="687"/>
      <c r="BF421" s="687"/>
      <c r="BG421" s="687">
        <v>3229.92</v>
      </c>
      <c r="BH421" s="687"/>
      <c r="BI421" s="687"/>
      <c r="BJ421" s="24093" t="s">
        <v>774</v>
      </c>
      <c r="BK421" s="23957" t="s">
        <v>59</v>
      </c>
      <c r="BL421" s="24093" t="s">
        <v>775</v>
      </c>
      <c r="BM421" s="23957" t="s">
        <v>59</v>
      </c>
      <c r="BN421" s="687">
        <v>295.27999999999997</v>
      </c>
      <c r="BO421" s="687">
        <v>59.82</v>
      </c>
      <c r="BP421" s="687"/>
      <c r="BQ421" s="687"/>
      <c r="BR421" s="687">
        <v>3614.36</v>
      </c>
      <c r="BS421" s="687"/>
      <c r="BT421" s="687"/>
      <c r="BU421" s="24093" t="s">
        <v>776</v>
      </c>
      <c r="BV421" s="23957" t="s">
        <v>59</v>
      </c>
      <c r="BW421" s="24093" t="s">
        <v>777</v>
      </c>
      <c r="BX421" s="23957" t="s">
        <v>59</v>
      </c>
      <c r="BY421" s="687">
        <v>291.88</v>
      </c>
      <c r="BZ421" s="687">
        <v>56.42</v>
      </c>
      <c r="CA421" s="687"/>
      <c r="CB421" s="687"/>
      <c r="CC421" s="687">
        <v>3614.36</v>
      </c>
      <c r="CD421" s="687"/>
      <c r="CE421" s="687"/>
      <c r="CF421" s="24093" t="s">
        <v>778</v>
      </c>
      <c r="CG421" s="23957" t="s">
        <v>59</v>
      </c>
      <c r="CH421" s="24185">
        <v>46295</v>
      </c>
      <c r="CI421" s="23957" t="s">
        <v>59</v>
      </c>
      <c r="CJ421" s="687">
        <v>321.95999999999998</v>
      </c>
      <c r="CK421" s="687">
        <v>63.19</v>
      </c>
      <c r="CL421" s="687"/>
      <c r="CM421" s="687"/>
      <c r="CN421" s="687">
        <v>3972.14</v>
      </c>
      <c r="CO421" s="687"/>
      <c r="CP421" s="687"/>
      <c r="CQ421" s="24185">
        <v>46296</v>
      </c>
      <c r="CR421" s="23957" t="s">
        <v>59</v>
      </c>
      <c r="CS421" s="24093" t="s">
        <v>779</v>
      </c>
      <c r="CT421" s="23957" t="s">
        <v>59</v>
      </c>
      <c r="CU421" s="687">
        <f>CJ421</f>
        <v>321.95999999999998</v>
      </c>
      <c r="CV421" s="687">
        <f>CK421</f>
        <v>63.19</v>
      </c>
      <c r="CW421" s="687"/>
      <c r="CX421" s="687"/>
      <c r="CY421" s="687">
        <f>CN421</f>
        <v>3972.14</v>
      </c>
      <c r="CZ421" s="687"/>
      <c r="DA421" s="687"/>
      <c r="DB421" s="24093" t="s">
        <v>780</v>
      </c>
      <c r="DC421" s="23957" t="s">
        <v>59</v>
      </c>
      <c r="DD421" s="24093" t="s">
        <v>781</v>
      </c>
      <c r="DE421" s="23957" t="s">
        <v>59</v>
      </c>
      <c r="DF421" s="687">
        <v>349.97</v>
      </c>
      <c r="DG421" s="687">
        <v>68.69</v>
      </c>
      <c r="DH421" s="687"/>
      <c r="DI421" s="687"/>
      <c r="DJ421" s="687">
        <v>4317.68</v>
      </c>
      <c r="DK421" s="687"/>
      <c r="DL421" s="687"/>
      <c r="DM421" s="24093" t="s">
        <v>782</v>
      </c>
      <c r="DN421" s="23957" t="s">
        <v>59</v>
      </c>
      <c r="DO421" s="24093" t="s">
        <v>783</v>
      </c>
      <c r="DP421" s="23957" t="s">
        <v>59</v>
      </c>
      <c r="DQ421" s="687">
        <v>344.12</v>
      </c>
      <c r="DR421" s="687">
        <v>62.84</v>
      </c>
      <c r="DS421" s="687"/>
      <c r="DT421" s="687"/>
      <c r="DU421" s="687">
        <f>DJ421</f>
        <v>4317.68</v>
      </c>
      <c r="DV421" s="687"/>
      <c r="DW421" s="687"/>
      <c r="DX421" s="24093" t="s">
        <v>784</v>
      </c>
      <c r="DY421" s="23957" t="s">
        <v>59</v>
      </c>
      <c r="DZ421" s="24093" t="s">
        <v>785</v>
      </c>
      <c r="EA421" s="23957" t="s">
        <v>59</v>
      </c>
      <c r="EB421" s="687">
        <v>363.24</v>
      </c>
      <c r="EC421" s="687">
        <f>DR421</f>
        <v>62.84</v>
      </c>
      <c r="ED421" s="687"/>
      <c r="EE421" s="687"/>
      <c r="EF421" s="687">
        <v>4611.3100000000004</v>
      </c>
      <c r="EG421" s="687"/>
      <c r="EH421" s="687"/>
      <c r="EI421" s="24093" t="s">
        <v>786</v>
      </c>
      <c r="EJ421" s="23957" t="s">
        <v>59</v>
      </c>
      <c r="EK421" s="24093" t="s">
        <v>787</v>
      </c>
      <c r="EL421" s="23957" t="s">
        <v>59</v>
      </c>
      <c r="EM421" s="687">
        <f>EB421</f>
        <v>363.24</v>
      </c>
      <c r="EN421" s="687">
        <f>EC421</f>
        <v>62.84</v>
      </c>
      <c r="EO421" s="687"/>
      <c r="EP421" s="687"/>
      <c r="EQ421" s="687">
        <f>EF421</f>
        <v>4611.3100000000004</v>
      </c>
      <c r="ER421" s="687"/>
      <c r="ES421" s="687"/>
      <c r="ET421" s="24093" t="s">
        <v>788</v>
      </c>
      <c r="EU421" s="23957" t="s">
        <v>59</v>
      </c>
      <c r="EV421" s="24095" t="s">
        <v>789</v>
      </c>
      <c r="EW421" s="23957" t="s">
        <v>59</v>
      </c>
      <c r="EX421" s="687">
        <v>377.61</v>
      </c>
      <c r="EY421" s="687">
        <v>65.19</v>
      </c>
      <c r="EZ421" s="687"/>
      <c r="FA421" s="687"/>
      <c r="FB421" s="687">
        <v>4795.76</v>
      </c>
      <c r="FC421" s="687"/>
      <c r="FD421" s="687"/>
      <c r="FE421" s="24093" t="s">
        <v>790</v>
      </c>
      <c r="FF421" s="23957" t="s">
        <v>59</v>
      </c>
      <c r="FG421" s="24095" t="s">
        <v>13</v>
      </c>
      <c r="FH421" s="23957" t="s">
        <v>6</v>
      </c>
      <c r="FI421" s="1286"/>
      <c r="FJ421" s="1286"/>
      <c r="FK421" s="6354"/>
      <c r="FL421" s="6354"/>
      <c r="FM421" s="1286"/>
      <c r="FN421" s="6354"/>
      <c r="FO421" s="6354"/>
      <c r="FP421" s="24086"/>
      <c r="FQ421" s="24085" t="s">
        <v>59</v>
      </c>
      <c r="FR421" s="24086"/>
      <c r="FS421" s="24208" t="s">
        <v>59</v>
      </c>
      <c r="FT421" s="1364"/>
      <c r="FU42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21" s="1568" t="e">
        <f ca="1">STRCHECKDATE(V422:FT422)</f>
        <v>#NAME?</v>
      </c>
      <c r="FW421" s="1550"/>
      <c r="FX421" s="1550" t="str">
        <f t="shared" si="6"/>
        <v/>
      </c>
      <c r="FY421" s="1550"/>
      <c r="FZ421" s="1550"/>
      <c r="GA421" s="1561">
        <v>0</v>
      </c>
    </row>
    <row r="422" spans="1:183" s="1747" customFormat="1" ht="14.25" customHeight="1">
      <c r="A422" s="1289"/>
      <c r="B422" s="1289"/>
      <c r="C422" s="1289"/>
      <c r="D422" s="1289"/>
      <c r="E422" s="24089"/>
      <c r="F422" s="24089" t="s">
        <v>182</v>
      </c>
      <c r="G422" s="24089"/>
      <c r="H422" s="24089"/>
      <c r="I422" s="24091"/>
      <c r="J422" s="24091"/>
      <c r="K422" s="24090"/>
      <c r="L422" s="1295"/>
      <c r="M422" s="1674"/>
      <c r="N422" s="1674"/>
      <c r="O422" s="1674"/>
      <c r="P422" s="24092"/>
      <c r="Q422" s="24092"/>
      <c r="R422" s="293"/>
      <c r="S422" s="1982"/>
      <c r="T422" s="236"/>
      <c r="U422" s="236"/>
      <c r="V422" s="1286"/>
      <c r="W422" s="1286"/>
      <c r="X422" s="1286"/>
      <c r="Y422" s="1286"/>
      <c r="Z422" s="1286"/>
      <c r="AA422" s="1286"/>
      <c r="AB422" s="1286"/>
      <c r="AC422" s="24085"/>
      <c r="AD422" s="24085"/>
      <c r="AE422" s="24085"/>
      <c r="AF422" s="24085"/>
      <c r="AG422" s="261"/>
      <c r="AH422" s="261"/>
      <c r="AI422" s="261"/>
      <c r="AJ422" s="261"/>
      <c r="AK422" s="261"/>
      <c r="AL422" s="261"/>
      <c r="AM422" s="261"/>
      <c r="AN422" s="24094"/>
      <c r="AO422" s="23957"/>
      <c r="AP422" s="24096"/>
      <c r="AQ422" s="23957"/>
      <c r="AR422" s="261"/>
      <c r="AS422" s="261"/>
      <c r="AT422" s="261"/>
      <c r="AU422" s="261"/>
      <c r="AV422" s="261"/>
      <c r="AW422" s="261"/>
      <c r="AX422" s="261"/>
      <c r="AY422" s="24094"/>
      <c r="AZ422" s="23957"/>
      <c r="BA422" s="24094"/>
      <c r="BB422" s="23957"/>
      <c r="BC422" s="261"/>
      <c r="BD422" s="261"/>
      <c r="BE422" s="261"/>
      <c r="BF422" s="261"/>
      <c r="BG422" s="261"/>
      <c r="BH422" s="261"/>
      <c r="BI422" s="261"/>
      <c r="BJ422" s="24094"/>
      <c r="BK422" s="23957"/>
      <c r="BL422" s="24094"/>
      <c r="BM422" s="23957"/>
      <c r="BN422" s="261"/>
      <c r="BO422" s="261"/>
      <c r="BP422" s="261"/>
      <c r="BQ422" s="261"/>
      <c r="BR422" s="261"/>
      <c r="BS422" s="261"/>
      <c r="BT422" s="261"/>
      <c r="BU422" s="24094"/>
      <c r="BV422" s="23957"/>
      <c r="BW422" s="24094"/>
      <c r="BX422" s="23957"/>
      <c r="BY422" s="261"/>
      <c r="BZ422" s="261"/>
      <c r="CA422" s="261"/>
      <c r="CB422" s="261"/>
      <c r="CC422" s="261"/>
      <c r="CD422" s="261"/>
      <c r="CE422" s="261"/>
      <c r="CF422" s="24094"/>
      <c r="CG422" s="23957"/>
      <c r="CH422" s="24094"/>
      <c r="CI422" s="23957"/>
      <c r="CJ422" s="261"/>
      <c r="CK422" s="261"/>
      <c r="CL422" s="261"/>
      <c r="CM422" s="261"/>
      <c r="CN422" s="261"/>
      <c r="CO422" s="261"/>
      <c r="CP422" s="261"/>
      <c r="CQ422" s="24094"/>
      <c r="CR422" s="23957"/>
      <c r="CS422" s="24094"/>
      <c r="CT422" s="23957"/>
      <c r="CU422" s="261"/>
      <c r="CV422" s="261"/>
      <c r="CW422" s="261"/>
      <c r="CX422" s="261"/>
      <c r="CY422" s="261"/>
      <c r="CZ422" s="261"/>
      <c r="DA422" s="261"/>
      <c r="DB422" s="24094"/>
      <c r="DC422" s="23957"/>
      <c r="DD422" s="24094"/>
      <c r="DE422" s="23957"/>
      <c r="DF422" s="261"/>
      <c r="DG422" s="261"/>
      <c r="DH422" s="261"/>
      <c r="DI422" s="261"/>
      <c r="DJ422" s="261"/>
      <c r="DK422" s="261"/>
      <c r="DL422" s="261"/>
      <c r="DM422" s="24094"/>
      <c r="DN422" s="23957"/>
      <c r="DO422" s="24094"/>
      <c r="DP422" s="23957"/>
      <c r="DQ422" s="261"/>
      <c r="DR422" s="261"/>
      <c r="DS422" s="261"/>
      <c r="DT422" s="261"/>
      <c r="DU422" s="261"/>
      <c r="DV422" s="261"/>
      <c r="DW422" s="261"/>
      <c r="DX422" s="24094"/>
      <c r="DY422" s="23957"/>
      <c r="DZ422" s="24094"/>
      <c r="EA422" s="23957"/>
      <c r="EB422" s="261"/>
      <c r="EC422" s="261"/>
      <c r="ED422" s="261"/>
      <c r="EE422" s="261"/>
      <c r="EF422" s="261"/>
      <c r="EG422" s="261"/>
      <c r="EH422" s="261"/>
      <c r="EI422" s="24094"/>
      <c r="EJ422" s="23957"/>
      <c r="EK422" s="24094"/>
      <c r="EL422" s="23957"/>
      <c r="EM422" s="261"/>
      <c r="EN422" s="261"/>
      <c r="EO422" s="261"/>
      <c r="EP422" s="261"/>
      <c r="EQ422" s="261"/>
      <c r="ER422" s="261"/>
      <c r="ES422" s="261"/>
      <c r="ET422" s="24094"/>
      <c r="EU422" s="23957"/>
      <c r="EV422" s="24096"/>
      <c r="EW422" s="23957"/>
      <c r="EX422" s="261"/>
      <c r="EY422" s="261"/>
      <c r="EZ422" s="261"/>
      <c r="FA422" s="261"/>
      <c r="FB422" s="261"/>
      <c r="FC422" s="261"/>
      <c r="FD422" s="261"/>
      <c r="FE422" s="24094"/>
      <c r="FF422" s="23957"/>
      <c r="FG422" s="24096"/>
      <c r="FH422" s="23957"/>
      <c r="FI422" s="1286"/>
      <c r="FJ422" s="1286"/>
      <c r="FK422" s="6354"/>
      <c r="FL422" s="6354"/>
      <c r="FM422" s="1286"/>
      <c r="FN422" s="6354"/>
      <c r="FO422" s="6354"/>
      <c r="FP422" s="24085"/>
      <c r="FQ422" s="24085"/>
      <c r="FR422" s="24085"/>
      <c r="FS422" s="24208"/>
      <c r="FT422" s="1365"/>
      <c r="FU422" s="24162"/>
      <c r="FV422" s="1568"/>
      <c r="FW422" s="1550"/>
      <c r="FX422" s="1550" t="str">
        <f t="shared" si="6"/>
        <v/>
      </c>
      <c r="FY422" s="1550"/>
      <c r="FZ422" s="1550"/>
      <c r="GA422" s="1561">
        <v>0</v>
      </c>
    </row>
    <row r="423" spans="1:183" s="1747" customFormat="1" ht="21" customHeight="1">
      <c r="A423" s="1289"/>
      <c r="B423" s="1289"/>
      <c r="C423" s="1289"/>
      <c r="D423" s="1289"/>
      <c r="E423" s="24089"/>
      <c r="F423" s="24089" t="s">
        <v>182</v>
      </c>
      <c r="G423" s="24089"/>
      <c r="H423" s="24089"/>
      <c r="I423" s="24091"/>
      <c r="J423" s="24090"/>
      <c r="K423" s="1289"/>
      <c r="L423" s="1295"/>
      <c r="M423" s="1674"/>
      <c r="N423" s="1674"/>
      <c r="O423" s="1674"/>
      <c r="P423" s="24092"/>
      <c r="Q423" s="24092"/>
      <c r="R423" s="292"/>
      <c r="S423" s="5519"/>
      <c r="T423" s="5520" t="s">
        <v>712</v>
      </c>
      <c r="U423" s="5521"/>
      <c r="V423" s="5522"/>
      <c r="W423" s="5523"/>
      <c r="X423" s="5524"/>
      <c r="Y423" s="5525"/>
      <c r="Z423" s="5526"/>
      <c r="AA423" s="5527"/>
      <c r="AB423" s="5528"/>
      <c r="AC423" s="5529"/>
      <c r="AD423" s="5530"/>
      <c r="AE423" s="5531"/>
      <c r="AF423" s="5532"/>
      <c r="AG423" s="5533"/>
      <c r="AH423" s="5534"/>
      <c r="AI423" s="5535"/>
      <c r="AJ423" s="5536"/>
      <c r="AK423" s="5537"/>
      <c r="AL423" s="5538"/>
      <c r="AM423" s="5539"/>
      <c r="AN423" s="5540"/>
      <c r="AO423" s="5541"/>
      <c r="AP423" s="5542"/>
      <c r="AQ423" s="5543"/>
      <c r="AR423" s="7958"/>
      <c r="AS423" s="7959"/>
      <c r="AT423" s="7960"/>
      <c r="AU423" s="7961"/>
      <c r="AV423" s="7962"/>
      <c r="AW423" s="7963"/>
      <c r="AX423" s="7964"/>
      <c r="AY423" s="7965"/>
      <c r="AZ423" s="7966"/>
      <c r="BA423" s="7967"/>
      <c r="BB423" s="7968"/>
      <c r="BC423" s="7969"/>
      <c r="BD423" s="7970"/>
      <c r="BE423" s="19470"/>
      <c r="BF423" s="19471"/>
      <c r="BG423" s="21934"/>
      <c r="BH423" s="19472"/>
      <c r="BI423" s="19473"/>
      <c r="BJ423" s="19474"/>
      <c r="BK423" s="19475"/>
      <c r="BL423" s="19476"/>
      <c r="BM423" s="19477"/>
      <c r="BN423" s="5544"/>
      <c r="BO423" s="5545"/>
      <c r="BP423" s="19478"/>
      <c r="BQ423" s="19479"/>
      <c r="BR423" s="5546"/>
      <c r="BS423" s="19480"/>
      <c r="BT423" s="19481"/>
      <c r="BU423" s="19482"/>
      <c r="BV423" s="19483"/>
      <c r="BW423" s="19484"/>
      <c r="BX423" s="19485"/>
      <c r="BY423" s="19486"/>
      <c r="BZ423" s="19487"/>
      <c r="CA423" s="19488"/>
      <c r="CB423" s="19489"/>
      <c r="CC423" s="19490"/>
      <c r="CD423" s="19491"/>
      <c r="CE423" s="19492"/>
      <c r="CF423" s="19493"/>
      <c r="CG423" s="19494"/>
      <c r="CH423" s="19495"/>
      <c r="CI423" s="19496"/>
      <c r="CJ423" s="19497"/>
      <c r="CK423" s="19498"/>
      <c r="CL423" s="19499"/>
      <c r="CM423" s="19500"/>
      <c r="CN423" s="19501"/>
      <c r="CO423" s="19502"/>
      <c r="CP423" s="19503"/>
      <c r="CQ423" s="19504"/>
      <c r="CR423" s="19505"/>
      <c r="CS423" s="19506"/>
      <c r="CT423" s="19507"/>
      <c r="CU423" s="19508"/>
      <c r="CV423" s="19509"/>
      <c r="CW423" s="19510"/>
      <c r="CX423" s="19511"/>
      <c r="CY423" s="19512"/>
      <c r="CZ423" s="19513"/>
      <c r="DA423" s="19514"/>
      <c r="DB423" s="19515"/>
      <c r="DC423" s="19516"/>
      <c r="DD423" s="19517"/>
      <c r="DE423" s="19518"/>
      <c r="DF423" s="19519"/>
      <c r="DG423" s="19520"/>
      <c r="DH423" s="19521"/>
      <c r="DI423" s="19522"/>
      <c r="DJ423" s="19523"/>
      <c r="DK423" s="19524"/>
      <c r="DL423" s="19525"/>
      <c r="DM423" s="19526"/>
      <c r="DN423" s="19527"/>
      <c r="DO423" s="19528"/>
      <c r="DP423" s="19529"/>
      <c r="DQ423" s="19530"/>
      <c r="DR423" s="19531"/>
      <c r="DS423" s="19532"/>
      <c r="DT423" s="19533"/>
      <c r="DU423" s="19534"/>
      <c r="DV423" s="19535"/>
      <c r="DW423" s="19536"/>
      <c r="DX423" s="19537"/>
      <c r="DY423" s="19538"/>
      <c r="DZ423" s="19539"/>
      <c r="EA423" s="19540"/>
      <c r="EB423" s="19541"/>
      <c r="EC423" s="19542"/>
      <c r="ED423" s="19543"/>
      <c r="EE423" s="19544"/>
      <c r="EF423" s="19545"/>
      <c r="EG423" s="19546"/>
      <c r="EH423" s="19547"/>
      <c r="EI423" s="19548"/>
      <c r="EJ423" s="19549"/>
      <c r="EK423" s="19550"/>
      <c r="EL423" s="19551"/>
      <c r="EM423" s="21758"/>
      <c r="EN423" s="21759"/>
      <c r="EO423" s="19552"/>
      <c r="EP423" s="19553"/>
      <c r="EQ423" s="21760"/>
      <c r="ER423" s="19554"/>
      <c r="ES423" s="19555"/>
      <c r="ET423" s="19556"/>
      <c r="EU423" s="19557"/>
      <c r="EV423" s="19558"/>
      <c r="EW423" s="19559"/>
      <c r="EX423" s="5547"/>
      <c r="EY423" s="5548"/>
      <c r="EZ423" s="19560"/>
      <c r="FA423" s="19561"/>
      <c r="FB423" s="5549"/>
      <c r="FC423" s="19562"/>
      <c r="FD423" s="19563"/>
      <c r="FE423" s="19564"/>
      <c r="FF423" s="19565"/>
      <c r="FG423" s="19566"/>
      <c r="FH423" s="5770"/>
      <c r="FI423" s="23094"/>
      <c r="FJ423" s="23095"/>
      <c r="FK423" s="23812"/>
      <c r="FL423" s="23813"/>
      <c r="FM423" s="23096"/>
      <c r="FN423" s="23814"/>
      <c r="FO423" s="23815"/>
      <c r="FP423" s="23097"/>
      <c r="FQ423" s="23098"/>
      <c r="FR423" s="23099"/>
      <c r="FS423" s="23816"/>
      <c r="FT423" s="5550"/>
      <c r="FU423" s="1184" t="s">
        <v>713</v>
      </c>
      <c r="FV423" s="1568"/>
      <c r="FW423" s="1550"/>
      <c r="FX423" s="1550" t="str">
        <f t="shared" si="6"/>
        <v>Добавить значение признака дифференциации</v>
      </c>
      <c r="FY423" s="1550"/>
      <c r="FZ423" s="1550"/>
      <c r="GA423" s="1561">
        <v>0</v>
      </c>
    </row>
    <row r="424" spans="1:183" s="1747" customFormat="1" ht="23.25" customHeight="1">
      <c r="A424" s="1289"/>
      <c r="B424" s="1289"/>
      <c r="C424" s="1289"/>
      <c r="D424" s="1289"/>
      <c r="E424" s="24089"/>
      <c r="F424" s="24089"/>
      <c r="G424" s="24089"/>
      <c r="H424" s="24089"/>
      <c r="I424" s="24091"/>
      <c r="J424" s="24090" t="str">
        <f>I419&amp;".2"</f>
        <v>1.20.1.1.2</v>
      </c>
      <c r="K424" s="1289"/>
      <c r="L424" s="1295" t="s">
        <v>635</v>
      </c>
      <c r="M424" s="1674"/>
      <c r="N424" s="1674"/>
      <c r="O424" s="1674"/>
      <c r="P424" s="24092"/>
      <c r="Q424" s="24206" t="s">
        <v>96</v>
      </c>
      <c r="R424" s="293"/>
      <c r="S424" s="1976" t="str">
        <f>$J424</f>
        <v>1.20.1.1.2</v>
      </c>
      <c r="T424" s="222" t="s">
        <v>636</v>
      </c>
      <c r="U424" s="236"/>
      <c r="V424" s="24076"/>
      <c r="W424" s="24077"/>
      <c r="X424" s="24077"/>
      <c r="Y424" s="24077"/>
      <c r="Z424" s="24077"/>
      <c r="AA424" s="24077"/>
      <c r="AB424" s="24077"/>
      <c r="AC424" s="24077"/>
      <c r="AD424" s="24077"/>
      <c r="AE424" s="24077"/>
      <c r="AF424" s="24078"/>
      <c r="AG424" s="24076" t="s">
        <v>771</v>
      </c>
      <c r="AH424" s="24077"/>
      <c r="AI424" s="24077"/>
      <c r="AJ424" s="24077"/>
      <c r="AK424" s="24077"/>
      <c r="AL424" s="24077"/>
      <c r="AM424" s="24077"/>
      <c r="AN424" s="24077"/>
      <c r="AO424" s="24077"/>
      <c r="AP424" s="24077"/>
      <c r="AQ424" s="24077"/>
      <c r="AR424" s="24179"/>
      <c r="AS424" s="24180"/>
      <c r="AT424" s="24180"/>
      <c r="AU424" s="24180"/>
      <c r="AV424" s="24180"/>
      <c r="AW424" s="24180"/>
      <c r="AX424" s="24180"/>
      <c r="AY424" s="24180"/>
      <c r="AZ424" s="24180"/>
      <c r="BA424" s="24180"/>
      <c r="BB424" s="24181"/>
      <c r="BC424" s="24179"/>
      <c r="BD424" s="24180"/>
      <c r="BE424" s="24180"/>
      <c r="BF424" s="24180"/>
      <c r="BG424" s="24180"/>
      <c r="BH424" s="24180"/>
      <c r="BI424" s="24180"/>
      <c r="BJ424" s="24180"/>
      <c r="BK424" s="24180"/>
      <c r="BL424" s="24180"/>
      <c r="BM424" s="24181"/>
      <c r="BN424" s="24076"/>
      <c r="BO424" s="24077"/>
      <c r="BP424" s="24180"/>
      <c r="BQ424" s="24180"/>
      <c r="BR424" s="24077"/>
      <c r="BS424" s="24180"/>
      <c r="BT424" s="24180"/>
      <c r="BU424" s="24180"/>
      <c r="BV424" s="24180"/>
      <c r="BW424" s="24180"/>
      <c r="BX424" s="24181"/>
      <c r="BY424" s="24179"/>
      <c r="BZ424" s="24180"/>
      <c r="CA424" s="24180"/>
      <c r="CB424" s="24180"/>
      <c r="CC424" s="24180"/>
      <c r="CD424" s="24180"/>
      <c r="CE424" s="24180"/>
      <c r="CF424" s="24180"/>
      <c r="CG424" s="24180"/>
      <c r="CH424" s="24180"/>
      <c r="CI424" s="24181"/>
      <c r="CJ424" s="24179"/>
      <c r="CK424" s="24180"/>
      <c r="CL424" s="24180"/>
      <c r="CM424" s="24180"/>
      <c r="CN424" s="24180"/>
      <c r="CO424" s="24180"/>
      <c r="CP424" s="24180"/>
      <c r="CQ424" s="24180"/>
      <c r="CR424" s="24180"/>
      <c r="CS424" s="24180"/>
      <c r="CT424" s="24181"/>
      <c r="CU424" s="24179"/>
      <c r="CV424" s="24180"/>
      <c r="CW424" s="24180"/>
      <c r="CX424" s="24180"/>
      <c r="CY424" s="24180"/>
      <c r="CZ424" s="24180"/>
      <c r="DA424" s="24180"/>
      <c r="DB424" s="24180"/>
      <c r="DC424" s="24180"/>
      <c r="DD424" s="24180"/>
      <c r="DE424" s="24181"/>
      <c r="DF424" s="24179"/>
      <c r="DG424" s="24180"/>
      <c r="DH424" s="24180"/>
      <c r="DI424" s="24180"/>
      <c r="DJ424" s="24180"/>
      <c r="DK424" s="24180"/>
      <c r="DL424" s="24180"/>
      <c r="DM424" s="24180"/>
      <c r="DN424" s="24180"/>
      <c r="DO424" s="24180"/>
      <c r="DP424" s="24181"/>
      <c r="DQ424" s="24179"/>
      <c r="DR424" s="24180"/>
      <c r="DS424" s="24180"/>
      <c r="DT424" s="24180"/>
      <c r="DU424" s="24180"/>
      <c r="DV424" s="24180"/>
      <c r="DW424" s="24180"/>
      <c r="DX424" s="24180"/>
      <c r="DY424" s="24180"/>
      <c r="DZ424" s="24180"/>
      <c r="EA424" s="24181"/>
      <c r="EB424" s="24179"/>
      <c r="EC424" s="24180"/>
      <c r="ED424" s="24180"/>
      <c r="EE424" s="24180"/>
      <c r="EF424" s="24180"/>
      <c r="EG424" s="24180"/>
      <c r="EH424" s="24180"/>
      <c r="EI424" s="24180"/>
      <c r="EJ424" s="24180"/>
      <c r="EK424" s="24180"/>
      <c r="EL424" s="24181"/>
      <c r="EM424" s="24179"/>
      <c r="EN424" s="24180"/>
      <c r="EO424" s="24180"/>
      <c r="EP424" s="24180"/>
      <c r="EQ424" s="24180"/>
      <c r="ER424" s="24180"/>
      <c r="ES424" s="24180"/>
      <c r="ET424" s="24180"/>
      <c r="EU424" s="24180"/>
      <c r="EV424" s="24180"/>
      <c r="EW424" s="24181"/>
      <c r="EX424" s="24076"/>
      <c r="EY424" s="24077"/>
      <c r="EZ424" s="24180"/>
      <c r="FA424" s="24180"/>
      <c r="FB424" s="24077"/>
      <c r="FC424" s="24180"/>
      <c r="FD424" s="24180"/>
      <c r="FE424" s="24180"/>
      <c r="FF424" s="24180"/>
      <c r="FG424" s="24180"/>
      <c r="FH424" s="24181"/>
      <c r="FI424" s="24076"/>
      <c r="FJ424" s="24077"/>
      <c r="FK424" s="24180"/>
      <c r="FL424" s="24180"/>
      <c r="FM424" s="24077"/>
      <c r="FN424" s="24180"/>
      <c r="FO424" s="24180"/>
      <c r="FP424" s="24077"/>
      <c r="FQ424" s="24077"/>
      <c r="FR424" s="24077"/>
      <c r="FS424" s="24181"/>
      <c r="FT424" s="24078"/>
      <c r="FU424" s="1233" t="s">
        <v>711</v>
      </c>
      <c r="FV424" s="1568"/>
      <c r="FW424" s="1550"/>
      <c r="FX424" s="1550" t="str">
        <f t="shared" si="6"/>
        <v>Группа потребителей</v>
      </c>
      <c r="FY424" s="1550"/>
      <c r="FZ424" s="1550"/>
      <c r="GA424" s="1561">
        <v>0</v>
      </c>
    </row>
    <row r="425" spans="1:183" s="1747" customFormat="1" ht="23.25" customHeight="1">
      <c r="A425" s="1289"/>
      <c r="B425" s="1289"/>
      <c r="C425" s="1289"/>
      <c r="D425" s="1289"/>
      <c r="E425" s="24089"/>
      <c r="F425" s="24089"/>
      <c r="G425" s="24089"/>
      <c r="H425" s="24089"/>
      <c r="I425" s="24091"/>
      <c r="J425" s="24091" t="str">
        <f>I419&amp;".1"</f>
        <v>1.20.1.1.1</v>
      </c>
      <c r="K425" s="24090" t="str">
        <f>J424&amp;".1"</f>
        <v>1.20.1.1.2.1</v>
      </c>
      <c r="L425" s="1295"/>
      <c r="M425" s="1674"/>
      <c r="N425" s="1674"/>
      <c r="O425" s="1674"/>
      <c r="P425" s="24092"/>
      <c r="Q425" s="24092"/>
      <c r="R425" s="293">
        <v>1</v>
      </c>
      <c r="S425" s="1976" t="str">
        <f>$K425</f>
        <v>1.20.1.1.2.1</v>
      </c>
      <c r="T425" s="1363"/>
      <c r="U425" s="236"/>
      <c r="V425" s="1286"/>
      <c r="W425" s="1286"/>
      <c r="X425" s="1286"/>
      <c r="Y425" s="1286"/>
      <c r="Z425" s="1286"/>
      <c r="AA425" s="1286"/>
      <c r="AB425" s="1286"/>
      <c r="AC425" s="24086"/>
      <c r="AD425" s="24085" t="s">
        <v>59</v>
      </c>
      <c r="AE425" s="24086"/>
      <c r="AF425" s="24085" t="s">
        <v>59</v>
      </c>
      <c r="AG425" s="687">
        <v>223.63</v>
      </c>
      <c r="AH425" s="687">
        <v>45.43</v>
      </c>
      <c r="AI425" s="687"/>
      <c r="AJ425" s="687"/>
      <c r="AK425" s="687">
        <v>2596.04</v>
      </c>
      <c r="AL425" s="687"/>
      <c r="AM425" s="687"/>
      <c r="AN425" s="24093" t="s">
        <v>9</v>
      </c>
      <c r="AO425" s="23957" t="s">
        <v>59</v>
      </c>
      <c r="AP425" s="24095" t="s">
        <v>770</v>
      </c>
      <c r="AQ425" s="23957" t="s">
        <v>59</v>
      </c>
      <c r="AR425" s="687">
        <v>245.87</v>
      </c>
      <c r="AS425" s="687">
        <v>49.86</v>
      </c>
      <c r="AT425" s="687"/>
      <c r="AU425" s="687"/>
      <c r="AV425" s="687">
        <v>2855.65</v>
      </c>
      <c r="AW425" s="687"/>
      <c r="AX425" s="687"/>
      <c r="AY425" s="24093" t="s">
        <v>772</v>
      </c>
      <c r="AZ425" s="23957" t="s">
        <v>59</v>
      </c>
      <c r="BA425" s="24093" t="s">
        <v>773</v>
      </c>
      <c r="BB425" s="23957" t="s">
        <v>59</v>
      </c>
      <c r="BC425" s="687">
        <v>245.87</v>
      </c>
      <c r="BD425" s="687">
        <v>49.86</v>
      </c>
      <c r="BE425" s="687"/>
      <c r="BF425" s="687"/>
      <c r="BG425" s="687">
        <v>2855.65</v>
      </c>
      <c r="BH425" s="687"/>
      <c r="BI425" s="687"/>
      <c r="BJ425" s="24093" t="s">
        <v>774</v>
      </c>
      <c r="BK425" s="23957" t="s">
        <v>59</v>
      </c>
      <c r="BL425" s="24093" t="s">
        <v>775</v>
      </c>
      <c r="BM425" s="23957" t="s">
        <v>59</v>
      </c>
      <c r="BN425" s="687">
        <v>275.11</v>
      </c>
      <c r="BO425" s="687">
        <v>59.82</v>
      </c>
      <c r="BP425" s="687"/>
      <c r="BQ425" s="687"/>
      <c r="BR425" s="687">
        <v>3121.22</v>
      </c>
      <c r="BS425" s="687"/>
      <c r="BT425" s="687"/>
      <c r="BU425" s="24093" t="s">
        <v>776</v>
      </c>
      <c r="BV425" s="23957" t="s">
        <v>59</v>
      </c>
      <c r="BW425" s="24093" t="s">
        <v>777</v>
      </c>
      <c r="BX425" s="23957" t="s">
        <v>59</v>
      </c>
      <c r="BY425" s="687">
        <v>279.76</v>
      </c>
      <c r="BZ425" s="687">
        <v>59.24</v>
      </c>
      <c r="CA425" s="687"/>
      <c r="CB425" s="687"/>
      <c r="CC425" s="687">
        <v>3237.79</v>
      </c>
      <c r="CD425" s="687"/>
      <c r="CE425" s="687"/>
      <c r="CF425" s="24093" t="s">
        <v>778</v>
      </c>
      <c r="CG425" s="23957" t="s">
        <v>59</v>
      </c>
      <c r="CH425" s="24185">
        <v>46295</v>
      </c>
      <c r="CI425" s="23957" t="s">
        <v>59</v>
      </c>
      <c r="CJ425" s="687">
        <v>313.33</v>
      </c>
      <c r="CK425" s="687">
        <v>66.349999999999994</v>
      </c>
      <c r="CL425" s="687"/>
      <c r="CM425" s="687"/>
      <c r="CN425" s="687">
        <v>3626.33</v>
      </c>
      <c r="CO425" s="687"/>
      <c r="CP425" s="687"/>
      <c r="CQ425" s="24185">
        <v>46296</v>
      </c>
      <c r="CR425" s="23957" t="s">
        <v>59</v>
      </c>
      <c r="CS425" s="24093" t="s">
        <v>779</v>
      </c>
      <c r="CT425" s="23957" t="s">
        <v>59</v>
      </c>
      <c r="CU425" s="687">
        <f>CJ425</f>
        <v>313.33</v>
      </c>
      <c r="CV425" s="687">
        <f>CK425</f>
        <v>66.349999999999994</v>
      </c>
      <c r="CW425" s="687"/>
      <c r="CX425" s="687"/>
      <c r="CY425" s="687">
        <f>CN425</f>
        <v>3626.33</v>
      </c>
      <c r="CZ425" s="687"/>
      <c r="DA425" s="687"/>
      <c r="DB425" s="24093" t="s">
        <v>780</v>
      </c>
      <c r="DC425" s="23957" t="s">
        <v>59</v>
      </c>
      <c r="DD425" s="24093" t="s">
        <v>782</v>
      </c>
      <c r="DE425" s="23957" t="s">
        <v>59</v>
      </c>
      <c r="DF425" s="687">
        <v>340.59</v>
      </c>
      <c r="DG425" s="687">
        <v>72.12</v>
      </c>
      <c r="DH425" s="687"/>
      <c r="DI425" s="687"/>
      <c r="DJ425" s="687">
        <v>3941.82</v>
      </c>
      <c r="DK425" s="687"/>
      <c r="DL425" s="687"/>
      <c r="DM425" s="24093" t="s">
        <v>782</v>
      </c>
      <c r="DN425" s="23957" t="s">
        <v>59</v>
      </c>
      <c r="DO425" s="24093" t="s">
        <v>783</v>
      </c>
      <c r="DP425" s="23957" t="s">
        <v>59</v>
      </c>
      <c r="DQ425" s="687">
        <v>333.45</v>
      </c>
      <c r="DR425" s="687">
        <v>65.98</v>
      </c>
      <c r="DS425" s="687"/>
      <c r="DT425" s="687"/>
      <c r="DU425" s="687">
        <f>DJ425</f>
        <v>3941.82</v>
      </c>
      <c r="DV425" s="687"/>
      <c r="DW425" s="687"/>
      <c r="DX425" s="24093" t="s">
        <v>784</v>
      </c>
      <c r="DY425" s="23957" t="s">
        <v>59</v>
      </c>
      <c r="DZ425" s="24093" t="s">
        <v>785</v>
      </c>
      <c r="EA425" s="23957" t="s">
        <v>59</v>
      </c>
      <c r="EB425" s="687">
        <v>351.69</v>
      </c>
      <c r="EC425" s="687">
        <v>65.98</v>
      </c>
      <c r="ED425" s="687"/>
      <c r="EE425" s="687"/>
      <c r="EF425" s="687">
        <v>4221.6899999999996</v>
      </c>
      <c r="EG425" s="687"/>
      <c r="EH425" s="687"/>
      <c r="EI425" s="24093" t="s">
        <v>786</v>
      </c>
      <c r="EJ425" s="23957" t="s">
        <v>59</v>
      </c>
      <c r="EK425" s="24093" t="s">
        <v>787</v>
      </c>
      <c r="EL425" s="23957" t="s">
        <v>59</v>
      </c>
      <c r="EM425" s="687">
        <f>EB425</f>
        <v>351.69</v>
      </c>
      <c r="EN425" s="687">
        <f>EC425</f>
        <v>65.98</v>
      </c>
      <c r="EO425" s="687"/>
      <c r="EP425" s="687"/>
      <c r="EQ425" s="687">
        <f>EF425</f>
        <v>4221.6899999999996</v>
      </c>
      <c r="ER425" s="687"/>
      <c r="ES425" s="687"/>
      <c r="ET425" s="24093" t="s">
        <v>788</v>
      </c>
      <c r="EU425" s="23957" t="s">
        <v>59</v>
      </c>
      <c r="EV425" s="24095" t="s">
        <v>789</v>
      </c>
      <c r="EW425" s="23957" t="s">
        <v>59</v>
      </c>
      <c r="EX425" s="687">
        <v>365.56</v>
      </c>
      <c r="EY425" s="687">
        <v>68.45</v>
      </c>
      <c r="EZ425" s="687"/>
      <c r="FA425" s="687"/>
      <c r="FB425" s="687">
        <v>4390.5600000000004</v>
      </c>
      <c r="FC425" s="687"/>
      <c r="FD425" s="687"/>
      <c r="FE425" s="24093" t="s">
        <v>790</v>
      </c>
      <c r="FF425" s="23957" t="s">
        <v>59</v>
      </c>
      <c r="FG425" s="24095" t="s">
        <v>13</v>
      </c>
      <c r="FH425" s="23957" t="s">
        <v>6</v>
      </c>
      <c r="FI425" s="1286"/>
      <c r="FJ425" s="1286"/>
      <c r="FK425" s="6354"/>
      <c r="FL425" s="6354"/>
      <c r="FM425" s="1286"/>
      <c r="FN425" s="6354"/>
      <c r="FO425" s="6354"/>
      <c r="FP425" s="24086"/>
      <c r="FQ425" s="24085" t="s">
        <v>59</v>
      </c>
      <c r="FR425" s="24086"/>
      <c r="FS425" s="24208" t="s">
        <v>59</v>
      </c>
      <c r="FT425" s="1364"/>
      <c r="FU42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25" s="1568" t="e">
        <f ca="1">STRCHECKDATE(V426:FT426)</f>
        <v>#NAME?</v>
      </c>
      <c r="FW425" s="1550"/>
      <c r="FX425" s="1550" t="str">
        <f t="shared" si="6"/>
        <v/>
      </c>
      <c r="FY425" s="1550"/>
      <c r="FZ425" s="1550"/>
      <c r="GA425" s="1561">
        <v>0</v>
      </c>
    </row>
    <row r="426" spans="1:183" s="1747" customFormat="1" ht="14.25" customHeight="1">
      <c r="A426" s="1289"/>
      <c r="B426" s="1289"/>
      <c r="C426" s="1289"/>
      <c r="D426" s="1289"/>
      <c r="E426" s="24089"/>
      <c r="F426" s="24089"/>
      <c r="G426" s="24089"/>
      <c r="H426" s="24089"/>
      <c r="I426" s="24091"/>
      <c r="J426" s="24091" t="str">
        <f>I419&amp;".1"</f>
        <v>1.20.1.1.1</v>
      </c>
      <c r="K426" s="24090"/>
      <c r="L426" s="1295"/>
      <c r="M426" s="1674"/>
      <c r="N426" s="1674"/>
      <c r="O426" s="1674"/>
      <c r="P426" s="24092"/>
      <c r="Q426" s="24092"/>
      <c r="R426" s="293"/>
      <c r="S426" s="1982"/>
      <c r="T426" s="236"/>
      <c r="U426" s="236"/>
      <c r="V426" s="1286"/>
      <c r="W426" s="1286"/>
      <c r="X426" s="1286"/>
      <c r="Y426" s="1286"/>
      <c r="Z426" s="1286"/>
      <c r="AA426" s="1286"/>
      <c r="AB426" s="1286"/>
      <c r="AC426" s="24085"/>
      <c r="AD426" s="24085"/>
      <c r="AE426" s="24085"/>
      <c r="AF426" s="24085"/>
      <c r="AG426" s="261"/>
      <c r="AH426" s="261"/>
      <c r="AI426" s="261"/>
      <c r="AJ426" s="261"/>
      <c r="AK426" s="261"/>
      <c r="AL426" s="261"/>
      <c r="AM426" s="261"/>
      <c r="AN426" s="24094"/>
      <c r="AO426" s="23957"/>
      <c r="AP426" s="24096"/>
      <c r="AQ426" s="23957"/>
      <c r="AR426" s="261"/>
      <c r="AS426" s="261"/>
      <c r="AT426" s="261"/>
      <c r="AU426" s="261"/>
      <c r="AV426" s="261"/>
      <c r="AW426" s="261"/>
      <c r="AX426" s="261"/>
      <c r="AY426" s="24094"/>
      <c r="AZ426" s="23957"/>
      <c r="BA426" s="24094"/>
      <c r="BB426" s="23957"/>
      <c r="BC426" s="261"/>
      <c r="BD426" s="261"/>
      <c r="BE426" s="261"/>
      <c r="BF426" s="261"/>
      <c r="BG426" s="261"/>
      <c r="BH426" s="261"/>
      <c r="BI426" s="261"/>
      <c r="BJ426" s="24094"/>
      <c r="BK426" s="23957"/>
      <c r="BL426" s="24094"/>
      <c r="BM426" s="23957"/>
      <c r="BN426" s="261"/>
      <c r="BO426" s="261"/>
      <c r="BP426" s="261"/>
      <c r="BQ426" s="261"/>
      <c r="BR426" s="261"/>
      <c r="BS426" s="261"/>
      <c r="BT426" s="261"/>
      <c r="BU426" s="24094"/>
      <c r="BV426" s="23957"/>
      <c r="BW426" s="24094"/>
      <c r="BX426" s="23957"/>
      <c r="BY426" s="261"/>
      <c r="BZ426" s="261"/>
      <c r="CA426" s="261"/>
      <c r="CB426" s="261"/>
      <c r="CC426" s="261"/>
      <c r="CD426" s="261"/>
      <c r="CE426" s="261"/>
      <c r="CF426" s="24094"/>
      <c r="CG426" s="23957"/>
      <c r="CH426" s="24094"/>
      <c r="CI426" s="23957"/>
      <c r="CJ426" s="261"/>
      <c r="CK426" s="261"/>
      <c r="CL426" s="261"/>
      <c r="CM426" s="261"/>
      <c r="CN426" s="261"/>
      <c r="CO426" s="261"/>
      <c r="CP426" s="261"/>
      <c r="CQ426" s="24094"/>
      <c r="CR426" s="23957"/>
      <c r="CS426" s="24094"/>
      <c r="CT426" s="23957"/>
      <c r="CU426" s="261"/>
      <c r="CV426" s="261"/>
      <c r="CW426" s="261"/>
      <c r="CX426" s="261"/>
      <c r="CY426" s="261"/>
      <c r="CZ426" s="261"/>
      <c r="DA426" s="261"/>
      <c r="DB426" s="24094"/>
      <c r="DC426" s="23957"/>
      <c r="DD426" s="24094"/>
      <c r="DE426" s="23957"/>
      <c r="DF426" s="261"/>
      <c r="DG426" s="261"/>
      <c r="DH426" s="261"/>
      <c r="DI426" s="261"/>
      <c r="DJ426" s="261"/>
      <c r="DK426" s="261"/>
      <c r="DL426" s="261"/>
      <c r="DM426" s="24094"/>
      <c r="DN426" s="23957"/>
      <c r="DO426" s="24094"/>
      <c r="DP426" s="23957"/>
      <c r="DQ426" s="261"/>
      <c r="DR426" s="261"/>
      <c r="DS426" s="261"/>
      <c r="DT426" s="261"/>
      <c r="DU426" s="261"/>
      <c r="DV426" s="261"/>
      <c r="DW426" s="261"/>
      <c r="DX426" s="24094"/>
      <c r="DY426" s="23957"/>
      <c r="DZ426" s="24094"/>
      <c r="EA426" s="23957"/>
      <c r="EB426" s="261"/>
      <c r="EC426" s="261"/>
      <c r="ED426" s="261"/>
      <c r="EE426" s="261"/>
      <c r="EF426" s="261"/>
      <c r="EG426" s="261"/>
      <c r="EH426" s="261"/>
      <c r="EI426" s="24094"/>
      <c r="EJ426" s="23957"/>
      <c r="EK426" s="24094"/>
      <c r="EL426" s="23957"/>
      <c r="EM426" s="261"/>
      <c r="EN426" s="261"/>
      <c r="EO426" s="261"/>
      <c r="EP426" s="261"/>
      <c r="EQ426" s="261"/>
      <c r="ER426" s="261"/>
      <c r="ES426" s="261"/>
      <c r="ET426" s="24094"/>
      <c r="EU426" s="23957"/>
      <c r="EV426" s="24096"/>
      <c r="EW426" s="23957"/>
      <c r="EX426" s="261"/>
      <c r="EY426" s="261"/>
      <c r="EZ426" s="261"/>
      <c r="FA426" s="261"/>
      <c r="FB426" s="261"/>
      <c r="FC426" s="261"/>
      <c r="FD426" s="261"/>
      <c r="FE426" s="24094"/>
      <c r="FF426" s="23957"/>
      <c r="FG426" s="24096"/>
      <c r="FH426" s="23957"/>
      <c r="FI426" s="1286"/>
      <c r="FJ426" s="1286"/>
      <c r="FK426" s="6354"/>
      <c r="FL426" s="6354"/>
      <c r="FM426" s="1286"/>
      <c r="FN426" s="6354"/>
      <c r="FO426" s="6354"/>
      <c r="FP426" s="24085"/>
      <c r="FQ426" s="24085"/>
      <c r="FR426" s="24085"/>
      <c r="FS426" s="24208"/>
      <c r="FT426" s="1365"/>
      <c r="FU426" s="24162"/>
      <c r="FV426" s="1568"/>
      <c r="FW426" s="1550"/>
      <c r="FX426" s="1550" t="str">
        <f t="shared" ref="FX426:FX489" si="7">IF(T426="","",T426)</f>
        <v/>
      </c>
      <c r="FY426" s="1550"/>
      <c r="FZ426" s="1550"/>
      <c r="GA426" s="1561">
        <v>0</v>
      </c>
    </row>
    <row r="427" spans="1:183" s="1747" customFormat="1" ht="21" customHeight="1">
      <c r="A427" s="1289"/>
      <c r="B427" s="1289"/>
      <c r="C427" s="1289"/>
      <c r="D427" s="1289"/>
      <c r="E427" s="24089"/>
      <c r="F427" s="24089"/>
      <c r="G427" s="24089"/>
      <c r="H427" s="24089"/>
      <c r="I427" s="24091"/>
      <c r="J427" s="24090" t="str">
        <f>I419&amp;".1"</f>
        <v>1.20.1.1.1</v>
      </c>
      <c r="K427" s="1289"/>
      <c r="L427" s="1295"/>
      <c r="M427" s="1674"/>
      <c r="N427" s="1674"/>
      <c r="O427" s="1674"/>
      <c r="P427" s="24092"/>
      <c r="Q427" s="24092"/>
      <c r="R427" s="292"/>
      <c r="S427" s="5551"/>
      <c r="T427" s="5552" t="s">
        <v>712</v>
      </c>
      <c r="U427" s="5553"/>
      <c r="V427" s="5554"/>
      <c r="W427" s="5555"/>
      <c r="X427" s="5556"/>
      <c r="Y427" s="5557"/>
      <c r="Z427" s="5558"/>
      <c r="AA427" s="5559"/>
      <c r="AB427" s="5560"/>
      <c r="AC427" s="5561"/>
      <c r="AD427" s="5562"/>
      <c r="AE427" s="5563"/>
      <c r="AF427" s="5564"/>
      <c r="AG427" s="5565"/>
      <c r="AH427" s="5566"/>
      <c r="AI427" s="5567"/>
      <c r="AJ427" s="5568"/>
      <c r="AK427" s="5569"/>
      <c r="AL427" s="5570"/>
      <c r="AM427" s="5571"/>
      <c r="AN427" s="5572"/>
      <c r="AO427" s="5573"/>
      <c r="AP427" s="5574"/>
      <c r="AQ427" s="5575"/>
      <c r="AR427" s="7971"/>
      <c r="AS427" s="7972"/>
      <c r="AT427" s="7973"/>
      <c r="AU427" s="7974"/>
      <c r="AV427" s="7975"/>
      <c r="AW427" s="7976"/>
      <c r="AX427" s="7977"/>
      <c r="AY427" s="7978"/>
      <c r="AZ427" s="7979"/>
      <c r="BA427" s="7980"/>
      <c r="BB427" s="7981"/>
      <c r="BC427" s="7982"/>
      <c r="BD427" s="7983"/>
      <c r="BE427" s="19567"/>
      <c r="BF427" s="19568"/>
      <c r="BG427" s="21935"/>
      <c r="BH427" s="19569"/>
      <c r="BI427" s="19570"/>
      <c r="BJ427" s="19571"/>
      <c r="BK427" s="19572"/>
      <c r="BL427" s="19573"/>
      <c r="BM427" s="19574"/>
      <c r="BN427" s="5576"/>
      <c r="BO427" s="5577"/>
      <c r="BP427" s="19575"/>
      <c r="BQ427" s="19576"/>
      <c r="BR427" s="5578"/>
      <c r="BS427" s="19577"/>
      <c r="BT427" s="19578"/>
      <c r="BU427" s="19579"/>
      <c r="BV427" s="19580"/>
      <c r="BW427" s="19581"/>
      <c r="BX427" s="19582"/>
      <c r="BY427" s="19583"/>
      <c r="BZ427" s="19584"/>
      <c r="CA427" s="19585"/>
      <c r="CB427" s="19586"/>
      <c r="CC427" s="19587"/>
      <c r="CD427" s="19588"/>
      <c r="CE427" s="19589"/>
      <c r="CF427" s="19590"/>
      <c r="CG427" s="19591"/>
      <c r="CH427" s="19592"/>
      <c r="CI427" s="19593"/>
      <c r="CJ427" s="19594"/>
      <c r="CK427" s="19595"/>
      <c r="CL427" s="19596"/>
      <c r="CM427" s="19597"/>
      <c r="CN427" s="19598"/>
      <c r="CO427" s="19599"/>
      <c r="CP427" s="19600"/>
      <c r="CQ427" s="19601"/>
      <c r="CR427" s="19602"/>
      <c r="CS427" s="19603"/>
      <c r="CT427" s="19604"/>
      <c r="CU427" s="19605"/>
      <c r="CV427" s="19606"/>
      <c r="CW427" s="19607"/>
      <c r="CX427" s="19608"/>
      <c r="CY427" s="19609"/>
      <c r="CZ427" s="19610"/>
      <c r="DA427" s="19611"/>
      <c r="DB427" s="19612"/>
      <c r="DC427" s="19613"/>
      <c r="DD427" s="19614"/>
      <c r="DE427" s="19615"/>
      <c r="DF427" s="19616"/>
      <c r="DG427" s="19617"/>
      <c r="DH427" s="19618"/>
      <c r="DI427" s="19619"/>
      <c r="DJ427" s="19620"/>
      <c r="DK427" s="19621"/>
      <c r="DL427" s="19622"/>
      <c r="DM427" s="19623"/>
      <c r="DN427" s="19624"/>
      <c r="DO427" s="19625"/>
      <c r="DP427" s="19626"/>
      <c r="DQ427" s="19627"/>
      <c r="DR427" s="19628"/>
      <c r="DS427" s="19629"/>
      <c r="DT427" s="19630"/>
      <c r="DU427" s="19631"/>
      <c r="DV427" s="19632"/>
      <c r="DW427" s="19633"/>
      <c r="DX427" s="19634"/>
      <c r="DY427" s="19635"/>
      <c r="DZ427" s="19636"/>
      <c r="EA427" s="19637"/>
      <c r="EB427" s="19638"/>
      <c r="EC427" s="19639"/>
      <c r="ED427" s="19640"/>
      <c r="EE427" s="19641"/>
      <c r="EF427" s="19642"/>
      <c r="EG427" s="19643"/>
      <c r="EH427" s="19644"/>
      <c r="EI427" s="19645"/>
      <c r="EJ427" s="19646"/>
      <c r="EK427" s="19647"/>
      <c r="EL427" s="19648"/>
      <c r="EM427" s="21761"/>
      <c r="EN427" s="21762"/>
      <c r="EO427" s="19649"/>
      <c r="EP427" s="19650"/>
      <c r="EQ427" s="21763"/>
      <c r="ER427" s="19651"/>
      <c r="ES427" s="19652"/>
      <c r="ET427" s="19653"/>
      <c r="EU427" s="19654"/>
      <c r="EV427" s="19655"/>
      <c r="EW427" s="19656"/>
      <c r="EX427" s="5579"/>
      <c r="EY427" s="5580"/>
      <c r="EZ427" s="19657"/>
      <c r="FA427" s="19658"/>
      <c r="FB427" s="5581"/>
      <c r="FC427" s="19659"/>
      <c r="FD427" s="19660"/>
      <c r="FE427" s="19661"/>
      <c r="FF427" s="19662"/>
      <c r="FG427" s="19663"/>
      <c r="FH427" s="5771"/>
      <c r="FI427" s="23100"/>
      <c r="FJ427" s="23101"/>
      <c r="FK427" s="23817"/>
      <c r="FL427" s="23818"/>
      <c r="FM427" s="23102"/>
      <c r="FN427" s="23819"/>
      <c r="FO427" s="23820"/>
      <c r="FP427" s="23103"/>
      <c r="FQ427" s="23104"/>
      <c r="FR427" s="23105"/>
      <c r="FS427" s="23821"/>
      <c r="FT427" s="5582"/>
      <c r="FU427" s="1184" t="s">
        <v>713</v>
      </c>
      <c r="FV427" s="1568"/>
      <c r="FW427" s="1550"/>
      <c r="FX427" s="1550" t="str">
        <f t="shared" si="7"/>
        <v>Добавить значение признака дифференциации</v>
      </c>
      <c r="FY427" s="1550"/>
      <c r="FZ427" s="1550"/>
      <c r="GA427" s="1561">
        <v>0</v>
      </c>
    </row>
    <row r="428" spans="1:183" s="1747" customFormat="1" ht="21" customHeight="1">
      <c r="A428" s="1289"/>
      <c r="B428" s="1289"/>
      <c r="C428" s="1289"/>
      <c r="D428" s="1289"/>
      <c r="E428" s="24089"/>
      <c r="F428" s="24089" t="s">
        <v>182</v>
      </c>
      <c r="G428" s="24089"/>
      <c r="H428" s="24089"/>
      <c r="I428" s="24090"/>
      <c r="J428" s="1289"/>
      <c r="K428" s="1289"/>
      <c r="L428" s="1295"/>
      <c r="M428" s="1674"/>
      <c r="N428" s="1674"/>
      <c r="O428" s="1674"/>
      <c r="P428" s="24092"/>
      <c r="Q428" s="1978"/>
      <c r="R428" s="292"/>
      <c r="S428" s="5583"/>
      <c r="T428" s="5584" t="s">
        <v>641</v>
      </c>
      <c r="U428" s="5585"/>
      <c r="V428" s="5586"/>
      <c r="W428" s="5587"/>
      <c r="X428" s="5588"/>
      <c r="Y428" s="5589"/>
      <c r="Z428" s="5590"/>
      <c r="AA428" s="5591"/>
      <c r="AB428" s="5592"/>
      <c r="AC428" s="5593"/>
      <c r="AD428" s="5594"/>
      <c r="AE428" s="5595"/>
      <c r="AF428" s="5596"/>
      <c r="AG428" s="5597"/>
      <c r="AH428" s="5598"/>
      <c r="AI428" s="5599"/>
      <c r="AJ428" s="5600"/>
      <c r="AK428" s="5601"/>
      <c r="AL428" s="5602"/>
      <c r="AM428" s="5603"/>
      <c r="AN428" s="5604"/>
      <c r="AO428" s="5605"/>
      <c r="AP428" s="5606"/>
      <c r="AQ428" s="5607"/>
      <c r="AR428" s="7984"/>
      <c r="AS428" s="7985"/>
      <c r="AT428" s="7986"/>
      <c r="AU428" s="7987"/>
      <c r="AV428" s="7988"/>
      <c r="AW428" s="7989"/>
      <c r="AX428" s="7990"/>
      <c r="AY428" s="7991"/>
      <c r="AZ428" s="7992"/>
      <c r="BA428" s="7993"/>
      <c r="BB428" s="7994"/>
      <c r="BC428" s="7995"/>
      <c r="BD428" s="7996"/>
      <c r="BE428" s="19664"/>
      <c r="BF428" s="19665"/>
      <c r="BG428" s="21936"/>
      <c r="BH428" s="19666"/>
      <c r="BI428" s="19667"/>
      <c r="BJ428" s="19668"/>
      <c r="BK428" s="19669"/>
      <c r="BL428" s="19670"/>
      <c r="BM428" s="19671"/>
      <c r="BN428" s="5608"/>
      <c r="BO428" s="5609"/>
      <c r="BP428" s="19672"/>
      <c r="BQ428" s="19673"/>
      <c r="BR428" s="5610"/>
      <c r="BS428" s="19674"/>
      <c r="BT428" s="19675"/>
      <c r="BU428" s="19676"/>
      <c r="BV428" s="19677"/>
      <c r="BW428" s="19678"/>
      <c r="BX428" s="19679"/>
      <c r="BY428" s="19680"/>
      <c r="BZ428" s="19681"/>
      <c r="CA428" s="19682"/>
      <c r="CB428" s="19683"/>
      <c r="CC428" s="19684"/>
      <c r="CD428" s="19685"/>
      <c r="CE428" s="19686"/>
      <c r="CF428" s="19687"/>
      <c r="CG428" s="19688"/>
      <c r="CH428" s="19689"/>
      <c r="CI428" s="19690"/>
      <c r="CJ428" s="19691"/>
      <c r="CK428" s="19692"/>
      <c r="CL428" s="19693"/>
      <c r="CM428" s="19694"/>
      <c r="CN428" s="19695"/>
      <c r="CO428" s="19696"/>
      <c r="CP428" s="19697"/>
      <c r="CQ428" s="19698"/>
      <c r="CR428" s="19699"/>
      <c r="CS428" s="19700"/>
      <c r="CT428" s="19701"/>
      <c r="CU428" s="19702"/>
      <c r="CV428" s="19703"/>
      <c r="CW428" s="19704"/>
      <c r="CX428" s="19705"/>
      <c r="CY428" s="19706"/>
      <c r="CZ428" s="19707"/>
      <c r="DA428" s="19708"/>
      <c r="DB428" s="19709"/>
      <c r="DC428" s="19710"/>
      <c r="DD428" s="19711"/>
      <c r="DE428" s="19712"/>
      <c r="DF428" s="19713"/>
      <c r="DG428" s="19714"/>
      <c r="DH428" s="19715"/>
      <c r="DI428" s="19716"/>
      <c r="DJ428" s="19717"/>
      <c r="DK428" s="19718"/>
      <c r="DL428" s="19719"/>
      <c r="DM428" s="19720"/>
      <c r="DN428" s="19721"/>
      <c r="DO428" s="19722"/>
      <c r="DP428" s="19723"/>
      <c r="DQ428" s="19724"/>
      <c r="DR428" s="19725"/>
      <c r="DS428" s="19726"/>
      <c r="DT428" s="19727"/>
      <c r="DU428" s="19728"/>
      <c r="DV428" s="19729"/>
      <c r="DW428" s="19730"/>
      <c r="DX428" s="19731"/>
      <c r="DY428" s="19732"/>
      <c r="DZ428" s="19733"/>
      <c r="EA428" s="19734"/>
      <c r="EB428" s="19735"/>
      <c r="EC428" s="19736"/>
      <c r="ED428" s="19737"/>
      <c r="EE428" s="19738"/>
      <c r="EF428" s="19739"/>
      <c r="EG428" s="19740"/>
      <c r="EH428" s="19741"/>
      <c r="EI428" s="19742"/>
      <c r="EJ428" s="19743"/>
      <c r="EK428" s="19744"/>
      <c r="EL428" s="19745"/>
      <c r="EM428" s="21764"/>
      <c r="EN428" s="21765"/>
      <c r="EO428" s="19746"/>
      <c r="EP428" s="19747"/>
      <c r="EQ428" s="21766"/>
      <c r="ER428" s="19748"/>
      <c r="ES428" s="19749"/>
      <c r="ET428" s="19750"/>
      <c r="EU428" s="19751"/>
      <c r="EV428" s="19752"/>
      <c r="EW428" s="19753"/>
      <c r="EX428" s="5611"/>
      <c r="EY428" s="5612"/>
      <c r="EZ428" s="19754"/>
      <c r="FA428" s="19755"/>
      <c r="FB428" s="5613"/>
      <c r="FC428" s="19756"/>
      <c r="FD428" s="19757"/>
      <c r="FE428" s="19758"/>
      <c r="FF428" s="19759"/>
      <c r="FG428" s="19760"/>
      <c r="FH428" s="5772"/>
      <c r="FI428" s="23106"/>
      <c r="FJ428" s="23107"/>
      <c r="FK428" s="23822"/>
      <c r="FL428" s="23823"/>
      <c r="FM428" s="23108"/>
      <c r="FN428" s="23824"/>
      <c r="FO428" s="23825"/>
      <c r="FP428" s="23109"/>
      <c r="FQ428" s="23110"/>
      <c r="FR428" s="23111"/>
      <c r="FS428" s="23826"/>
      <c r="FT428" s="5614"/>
      <c r="FU428" s="5615"/>
      <c r="FV428" s="1568"/>
      <c r="FW428" s="1550"/>
      <c r="FX428" s="1550" t="str">
        <f t="shared" si="7"/>
        <v>Добавить группу потребителей</v>
      </c>
      <c r="FY428" s="1550"/>
      <c r="FZ428" s="1550"/>
      <c r="GA428" s="1561">
        <v>0</v>
      </c>
    </row>
    <row r="429" spans="1:183" s="1747" customFormat="1" ht="21" customHeight="1">
      <c r="A429" s="1289"/>
      <c r="B429" s="1289"/>
      <c r="C429" s="1289"/>
      <c r="D429" s="1289"/>
      <c r="E429" s="24089"/>
      <c r="F429" s="24089" t="s">
        <v>182</v>
      </c>
      <c r="G429" s="24089"/>
      <c r="H429" s="24088"/>
      <c r="I429" s="1289"/>
      <c r="J429" s="1289"/>
      <c r="K429" s="1289"/>
      <c r="L429" s="1295"/>
      <c r="M429" s="1291"/>
      <c r="N429" s="1291"/>
      <c r="O429" s="1292"/>
      <c r="P429" s="1720"/>
      <c r="Q429" s="311"/>
      <c r="R429" s="291"/>
      <c r="S429" s="5616"/>
      <c r="T429" s="5617" t="s">
        <v>714</v>
      </c>
      <c r="U429" s="5618"/>
      <c r="V429" s="5619"/>
      <c r="W429" s="5620"/>
      <c r="X429" s="5621"/>
      <c r="Y429" s="5622"/>
      <c r="Z429" s="5623"/>
      <c r="AA429" s="5624"/>
      <c r="AB429" s="5625"/>
      <c r="AC429" s="5626"/>
      <c r="AD429" s="5627"/>
      <c r="AE429" s="5628"/>
      <c r="AF429" s="5629"/>
      <c r="AG429" s="5630"/>
      <c r="AH429" s="5631"/>
      <c r="AI429" s="5632"/>
      <c r="AJ429" s="5633"/>
      <c r="AK429" s="5634"/>
      <c r="AL429" s="5635"/>
      <c r="AM429" s="5636"/>
      <c r="AN429" s="5637"/>
      <c r="AO429" s="5638"/>
      <c r="AP429" s="5639"/>
      <c r="AQ429" s="5640"/>
      <c r="AR429" s="7997"/>
      <c r="AS429" s="7998"/>
      <c r="AT429" s="7999"/>
      <c r="AU429" s="8000"/>
      <c r="AV429" s="8001"/>
      <c r="AW429" s="8002"/>
      <c r="AX429" s="8003"/>
      <c r="AY429" s="8004"/>
      <c r="AZ429" s="8005"/>
      <c r="BA429" s="8006"/>
      <c r="BB429" s="8007"/>
      <c r="BC429" s="8008"/>
      <c r="BD429" s="8009"/>
      <c r="BE429" s="19761"/>
      <c r="BF429" s="19762"/>
      <c r="BG429" s="21937"/>
      <c r="BH429" s="19763"/>
      <c r="BI429" s="19764"/>
      <c r="BJ429" s="19765"/>
      <c r="BK429" s="19766"/>
      <c r="BL429" s="19767"/>
      <c r="BM429" s="19768"/>
      <c r="BN429" s="5641"/>
      <c r="BO429" s="5642"/>
      <c r="BP429" s="19769"/>
      <c r="BQ429" s="19770"/>
      <c r="BR429" s="5643"/>
      <c r="BS429" s="19771"/>
      <c r="BT429" s="19772"/>
      <c r="BU429" s="19773"/>
      <c r="BV429" s="19774"/>
      <c r="BW429" s="19775"/>
      <c r="BX429" s="19776"/>
      <c r="BY429" s="19777"/>
      <c r="BZ429" s="19778"/>
      <c r="CA429" s="19779"/>
      <c r="CB429" s="19780"/>
      <c r="CC429" s="19781"/>
      <c r="CD429" s="19782"/>
      <c r="CE429" s="19783"/>
      <c r="CF429" s="19784"/>
      <c r="CG429" s="19785"/>
      <c r="CH429" s="19786"/>
      <c r="CI429" s="19787"/>
      <c r="CJ429" s="19788"/>
      <c r="CK429" s="19789"/>
      <c r="CL429" s="19790"/>
      <c r="CM429" s="19791"/>
      <c r="CN429" s="19792"/>
      <c r="CO429" s="19793"/>
      <c r="CP429" s="19794"/>
      <c r="CQ429" s="19795"/>
      <c r="CR429" s="19796"/>
      <c r="CS429" s="19797"/>
      <c r="CT429" s="19798"/>
      <c r="CU429" s="19799"/>
      <c r="CV429" s="19800"/>
      <c r="CW429" s="19801"/>
      <c r="CX429" s="19802"/>
      <c r="CY429" s="19803"/>
      <c r="CZ429" s="19804"/>
      <c r="DA429" s="19805"/>
      <c r="DB429" s="19806"/>
      <c r="DC429" s="19807"/>
      <c r="DD429" s="19808"/>
      <c r="DE429" s="19809"/>
      <c r="DF429" s="19810"/>
      <c r="DG429" s="19811"/>
      <c r="DH429" s="19812"/>
      <c r="DI429" s="19813"/>
      <c r="DJ429" s="19814"/>
      <c r="DK429" s="19815"/>
      <c r="DL429" s="19816"/>
      <c r="DM429" s="19817"/>
      <c r="DN429" s="19818"/>
      <c r="DO429" s="19819"/>
      <c r="DP429" s="19820"/>
      <c r="DQ429" s="19821"/>
      <c r="DR429" s="19822"/>
      <c r="DS429" s="19823"/>
      <c r="DT429" s="19824"/>
      <c r="DU429" s="19825"/>
      <c r="DV429" s="19826"/>
      <c r="DW429" s="19827"/>
      <c r="DX429" s="19828"/>
      <c r="DY429" s="19829"/>
      <c r="DZ429" s="19830"/>
      <c r="EA429" s="19831"/>
      <c r="EB429" s="19832"/>
      <c r="EC429" s="19833"/>
      <c r="ED429" s="19834"/>
      <c r="EE429" s="19835"/>
      <c r="EF429" s="19836"/>
      <c r="EG429" s="19837"/>
      <c r="EH429" s="19838"/>
      <c r="EI429" s="19839"/>
      <c r="EJ429" s="19840"/>
      <c r="EK429" s="19841"/>
      <c r="EL429" s="19842"/>
      <c r="EM429" s="21767"/>
      <c r="EN429" s="21768"/>
      <c r="EO429" s="19843"/>
      <c r="EP429" s="19844"/>
      <c r="EQ429" s="21769"/>
      <c r="ER429" s="19845"/>
      <c r="ES429" s="19846"/>
      <c r="ET429" s="19847"/>
      <c r="EU429" s="19848"/>
      <c r="EV429" s="19849"/>
      <c r="EW429" s="19850"/>
      <c r="EX429" s="5644"/>
      <c r="EY429" s="5645"/>
      <c r="EZ429" s="19851"/>
      <c r="FA429" s="19852"/>
      <c r="FB429" s="5646"/>
      <c r="FC429" s="19853"/>
      <c r="FD429" s="19854"/>
      <c r="FE429" s="19855"/>
      <c r="FF429" s="19856"/>
      <c r="FG429" s="19857"/>
      <c r="FH429" s="5773"/>
      <c r="FI429" s="23112"/>
      <c r="FJ429" s="23113"/>
      <c r="FK429" s="23827"/>
      <c r="FL429" s="23828"/>
      <c r="FM429" s="23114"/>
      <c r="FN429" s="23829"/>
      <c r="FO429" s="23830"/>
      <c r="FP429" s="23115"/>
      <c r="FQ429" s="23116"/>
      <c r="FR429" s="23117"/>
      <c r="FS429" s="23831"/>
      <c r="FT429" s="5647"/>
      <c r="FU429" s="5648"/>
      <c r="FV429" s="1568"/>
      <c r="FW429" s="1550"/>
      <c r="FX429" s="1550" t="str">
        <f t="shared" si="7"/>
        <v>Добавить наименование признака дифференциации</v>
      </c>
      <c r="FY429" s="1550"/>
      <c r="FZ429" s="1550"/>
      <c r="GA429" s="1561">
        <v>0</v>
      </c>
    </row>
    <row r="430" spans="1:183" s="558" customFormat="1" ht="14.25" customHeight="1">
      <c r="A430" s="1269"/>
      <c r="B430" s="1269"/>
      <c r="C430" s="1269"/>
      <c r="D430" s="1269"/>
      <c r="E430" s="24089"/>
      <c r="F430" s="24088" t="s">
        <v>182</v>
      </c>
      <c r="G430" s="1269"/>
      <c r="H430" s="1269"/>
      <c r="I430" s="1269"/>
      <c r="J430" s="1269"/>
      <c r="K430" s="1269"/>
      <c r="L430" s="1471"/>
      <c r="M430" s="1247"/>
      <c r="N430" s="1247"/>
      <c r="O430" s="1568"/>
      <c r="P430" s="1242"/>
      <c r="Q430" s="1270"/>
      <c r="R430" s="1242"/>
      <c r="S430" s="1248"/>
      <c r="T430" s="1251" t="s">
        <v>370</v>
      </c>
      <c r="U430" s="1250"/>
      <c r="V430" s="1250"/>
      <c r="W430" s="1250"/>
      <c r="X430" s="1250"/>
      <c r="Y430" s="1250"/>
      <c r="Z430" s="1250"/>
      <c r="AA430" s="1250"/>
      <c r="AB430" s="1250"/>
      <c r="AC430" s="1250"/>
      <c r="AD430" s="1250"/>
      <c r="AE430" s="1250"/>
      <c r="AF430" s="1250"/>
      <c r="AG430" s="1250"/>
      <c r="AH430" s="1250"/>
      <c r="AI430" s="1250"/>
      <c r="AJ430" s="1250"/>
      <c r="AK430" s="1250"/>
      <c r="AL430" s="1250"/>
      <c r="AM430" s="1250"/>
      <c r="AN430" s="1250"/>
      <c r="AO430" s="1250"/>
      <c r="AP430" s="1250"/>
      <c r="AQ430" s="1250"/>
      <c r="AR430" s="1250"/>
      <c r="AS430" s="1250"/>
      <c r="AT430" s="1250"/>
      <c r="AU430" s="1250"/>
      <c r="AV430" s="1250"/>
      <c r="AW430" s="1250"/>
      <c r="AX430" s="1250"/>
      <c r="AY430" s="1250"/>
      <c r="AZ430" s="1250"/>
      <c r="BA430" s="1250"/>
      <c r="BB430" s="1250"/>
      <c r="BC430" s="1250"/>
      <c r="BD430" s="1250"/>
      <c r="BE430" s="1250"/>
      <c r="BF430" s="1250"/>
      <c r="BG430" s="1250"/>
      <c r="BH430" s="1250"/>
      <c r="BI430" s="1250"/>
      <c r="BJ430" s="1250"/>
      <c r="BK430" s="1250"/>
      <c r="BL430" s="1250"/>
      <c r="BM430" s="1250"/>
      <c r="BN430" s="1250"/>
      <c r="BO430" s="1250"/>
      <c r="BP430" s="1250"/>
      <c r="BQ430" s="1250"/>
      <c r="BR430" s="1250"/>
      <c r="BS430" s="1250"/>
      <c r="BT430" s="1250"/>
      <c r="BU430" s="1250"/>
      <c r="BV430" s="1250"/>
      <c r="BW430" s="1250"/>
      <c r="BX430" s="1250"/>
      <c r="BY430" s="1250"/>
      <c r="BZ430" s="1250"/>
      <c r="CA430" s="1250"/>
      <c r="CB430" s="1250"/>
      <c r="CC430" s="1250"/>
      <c r="CD430" s="1250"/>
      <c r="CE430" s="1250"/>
      <c r="CF430" s="1250"/>
      <c r="CG430" s="1250"/>
      <c r="CH430" s="1250"/>
      <c r="CI430" s="1250"/>
      <c r="CJ430" s="1250"/>
      <c r="CK430" s="1250"/>
      <c r="CL430" s="1250"/>
      <c r="CM430" s="1250"/>
      <c r="CN430" s="1250"/>
      <c r="CO430" s="1250"/>
      <c r="CP430" s="1250"/>
      <c r="CQ430" s="1250"/>
      <c r="CR430" s="1250"/>
      <c r="CS430" s="1250"/>
      <c r="CT430" s="1250"/>
      <c r="CU430" s="1250"/>
      <c r="CV430" s="1250"/>
      <c r="CW430" s="1250"/>
      <c r="CX430" s="1250"/>
      <c r="CY430" s="1250"/>
      <c r="CZ430" s="1250"/>
      <c r="DA430" s="1250"/>
      <c r="DB430" s="1250"/>
      <c r="DC430" s="1250"/>
      <c r="DD430" s="1250"/>
      <c r="DE430" s="1250"/>
      <c r="DF430" s="1250"/>
      <c r="DG430" s="1250"/>
      <c r="DH430" s="1250"/>
      <c r="DI430" s="1250"/>
      <c r="DJ430" s="1250"/>
      <c r="DK430" s="1250"/>
      <c r="DL430" s="1250"/>
      <c r="DM430" s="1250"/>
      <c r="DN430" s="1250"/>
      <c r="DO430" s="1250"/>
      <c r="DP430" s="1250"/>
      <c r="DQ430" s="1250"/>
      <c r="DR430" s="1250"/>
      <c r="DS430" s="1250"/>
      <c r="DT430" s="1250"/>
      <c r="DU430" s="1250"/>
      <c r="DV430" s="1250"/>
      <c r="DW430" s="1250"/>
      <c r="DX430" s="1250"/>
      <c r="DY430" s="1250"/>
      <c r="DZ430" s="1250"/>
      <c r="EA430" s="1250"/>
      <c r="EB430" s="1250"/>
      <c r="EC430" s="1250"/>
      <c r="ED430" s="1250"/>
      <c r="EE430" s="1250"/>
      <c r="EF430" s="1250"/>
      <c r="EG430" s="1250"/>
      <c r="EH430" s="1250"/>
      <c r="EI430" s="1250"/>
      <c r="EJ430" s="1250"/>
      <c r="EK430" s="1250"/>
      <c r="EL430" s="1250"/>
      <c r="EM430" s="1250"/>
      <c r="EN430" s="1250"/>
      <c r="EO430" s="1250"/>
      <c r="EP430" s="1250"/>
      <c r="EQ430" s="1250"/>
      <c r="ER430" s="1250"/>
      <c r="ES430" s="1250"/>
      <c r="ET430" s="1250"/>
      <c r="EU430" s="1250"/>
      <c r="EV430" s="1250"/>
      <c r="EW430" s="1250"/>
      <c r="EX430" s="1250"/>
      <c r="EY430" s="1250"/>
      <c r="EZ430" s="1250"/>
      <c r="FA430" s="1250"/>
      <c r="FB430" s="1250"/>
      <c r="FC430" s="1250"/>
      <c r="FD430" s="1250"/>
      <c r="FE430" s="1250"/>
      <c r="FF430" s="1250"/>
      <c r="FG430" s="1250"/>
      <c r="FH430" s="1250"/>
      <c r="FI430" s="1250"/>
      <c r="FJ430" s="1250"/>
      <c r="FK430" s="1250"/>
      <c r="FL430" s="1250"/>
      <c r="FM430" s="1250"/>
      <c r="FN430" s="1250"/>
      <c r="FO430" s="1250"/>
      <c r="FP430" s="1250"/>
      <c r="FQ430" s="1250"/>
      <c r="FR430" s="1250"/>
      <c r="FS430" s="1250"/>
      <c r="FT430" s="1250"/>
      <c r="FU430" s="1250"/>
      <c r="FV430" s="1568"/>
      <c r="FW430" s="1550"/>
      <c r="FX430" s="1550" t="str">
        <f t="shared" si="7"/>
        <v>Добавить централизованную систему для дифференциации</v>
      </c>
      <c r="FY430" s="1550"/>
      <c r="FZ430" s="1550"/>
      <c r="GA430" s="1568">
        <v>0</v>
      </c>
    </row>
    <row r="431" spans="1:183" s="1747" customFormat="1" ht="23.25" customHeight="1">
      <c r="A431" s="1289"/>
      <c r="B431" s="1289" t="s">
        <v>463</v>
      </c>
      <c r="C431" s="1289"/>
      <c r="D431" s="1289"/>
      <c r="E431" s="24089"/>
      <c r="F431" s="24088" t="s">
        <v>192</v>
      </c>
      <c r="G431" s="1289"/>
      <c r="H431" s="1289"/>
      <c r="I431" s="1289"/>
      <c r="J431" s="1289"/>
      <c r="K431" s="1289"/>
      <c r="L431" s="1295"/>
      <c r="M431" s="1291"/>
      <c r="N431" s="1291"/>
      <c r="O431" s="1291"/>
      <c r="P431" s="1971"/>
      <c r="Q431" s="288"/>
      <c r="R431" s="289"/>
      <c r="S431" s="1976" t="str">
        <f>INDEX(PT_DIFFERENTIATION_NUM_TER,MATCH(B431,PT_DIFFERENTIATION_TER_ID,0))</f>
        <v>1.21</v>
      </c>
      <c r="T431" s="1448" t="s">
        <v>626</v>
      </c>
      <c r="U431" s="236"/>
      <c r="V431" s="24082"/>
      <c r="W431" s="24083"/>
      <c r="X431" s="24083"/>
      <c r="Y431" s="24083"/>
      <c r="Z431" s="24083"/>
      <c r="AA431" s="24083"/>
      <c r="AB431" s="24083"/>
      <c r="AC431" s="24083"/>
      <c r="AD431" s="24083"/>
      <c r="AE431" s="24083"/>
      <c r="AF431" s="24084"/>
      <c r="AG431" s="24082" t="str">
        <f>INDEX(PT_DIFFERENTIATION_TER,MATCH(B431,PT_DIFFERENTIATION_TER_ID,0))</f>
        <v>Территория 21</v>
      </c>
      <c r="AH431" s="24083"/>
      <c r="AI431" s="24083"/>
      <c r="AJ431" s="24083"/>
      <c r="AK431" s="24083"/>
      <c r="AL431" s="24083"/>
      <c r="AM431" s="24083"/>
      <c r="AN431" s="24083"/>
      <c r="AO431" s="24083"/>
      <c r="AP431" s="24083"/>
      <c r="AQ431" s="24083"/>
      <c r="AR431" s="24173"/>
      <c r="AS431" s="24174"/>
      <c r="AT431" s="24174"/>
      <c r="AU431" s="24174"/>
      <c r="AV431" s="24174"/>
      <c r="AW431" s="24174"/>
      <c r="AX431" s="24174"/>
      <c r="AY431" s="24174"/>
      <c r="AZ431" s="24174"/>
      <c r="BA431" s="24174"/>
      <c r="BB431" s="24175"/>
      <c r="BC431" s="24173"/>
      <c r="BD431" s="24174"/>
      <c r="BE431" s="24174"/>
      <c r="BF431" s="24174"/>
      <c r="BG431" s="24174"/>
      <c r="BH431" s="24174"/>
      <c r="BI431" s="24174"/>
      <c r="BJ431" s="24174"/>
      <c r="BK431" s="24174"/>
      <c r="BL431" s="24174"/>
      <c r="BM431" s="24175"/>
      <c r="BN431" s="24082"/>
      <c r="BO431" s="24083"/>
      <c r="BP431" s="24174"/>
      <c r="BQ431" s="24174"/>
      <c r="BR431" s="24083"/>
      <c r="BS431" s="24174"/>
      <c r="BT431" s="24174"/>
      <c r="BU431" s="24174"/>
      <c r="BV431" s="24174"/>
      <c r="BW431" s="24174"/>
      <c r="BX431" s="24175"/>
      <c r="BY431" s="24173"/>
      <c r="BZ431" s="24174"/>
      <c r="CA431" s="24174"/>
      <c r="CB431" s="24174"/>
      <c r="CC431" s="24174"/>
      <c r="CD431" s="24174"/>
      <c r="CE431" s="24174"/>
      <c r="CF431" s="24174"/>
      <c r="CG431" s="24174"/>
      <c r="CH431" s="24174"/>
      <c r="CI431" s="24175"/>
      <c r="CJ431" s="24173"/>
      <c r="CK431" s="24174"/>
      <c r="CL431" s="24174"/>
      <c r="CM431" s="24174"/>
      <c r="CN431" s="24174"/>
      <c r="CO431" s="24174"/>
      <c r="CP431" s="24174"/>
      <c r="CQ431" s="24174"/>
      <c r="CR431" s="24174"/>
      <c r="CS431" s="24174"/>
      <c r="CT431" s="24175"/>
      <c r="CU431" s="24173"/>
      <c r="CV431" s="24174"/>
      <c r="CW431" s="24174"/>
      <c r="CX431" s="24174"/>
      <c r="CY431" s="24174"/>
      <c r="CZ431" s="24174"/>
      <c r="DA431" s="24174"/>
      <c r="DB431" s="24174"/>
      <c r="DC431" s="24174"/>
      <c r="DD431" s="24174"/>
      <c r="DE431" s="24175"/>
      <c r="DF431" s="24173"/>
      <c r="DG431" s="24174"/>
      <c r="DH431" s="24174"/>
      <c r="DI431" s="24174"/>
      <c r="DJ431" s="24174"/>
      <c r="DK431" s="24174"/>
      <c r="DL431" s="24174"/>
      <c r="DM431" s="24174"/>
      <c r="DN431" s="24174"/>
      <c r="DO431" s="24174"/>
      <c r="DP431" s="24175"/>
      <c r="DQ431" s="24173"/>
      <c r="DR431" s="24174"/>
      <c r="DS431" s="24174"/>
      <c r="DT431" s="24174"/>
      <c r="DU431" s="24174"/>
      <c r="DV431" s="24174"/>
      <c r="DW431" s="24174"/>
      <c r="DX431" s="24174"/>
      <c r="DY431" s="24174"/>
      <c r="DZ431" s="24174"/>
      <c r="EA431" s="24175"/>
      <c r="EB431" s="24173"/>
      <c r="EC431" s="24174"/>
      <c r="ED431" s="24174"/>
      <c r="EE431" s="24174"/>
      <c r="EF431" s="24174"/>
      <c r="EG431" s="24174"/>
      <c r="EH431" s="24174"/>
      <c r="EI431" s="24174"/>
      <c r="EJ431" s="24174"/>
      <c r="EK431" s="24174"/>
      <c r="EL431" s="24175"/>
      <c r="EM431" s="24173"/>
      <c r="EN431" s="24174"/>
      <c r="EO431" s="24174"/>
      <c r="EP431" s="24174"/>
      <c r="EQ431" s="24174"/>
      <c r="ER431" s="24174"/>
      <c r="ES431" s="24174"/>
      <c r="ET431" s="24174"/>
      <c r="EU431" s="24174"/>
      <c r="EV431" s="24174"/>
      <c r="EW431" s="24175"/>
      <c r="EX431" s="24082"/>
      <c r="EY431" s="24083"/>
      <c r="EZ431" s="24174"/>
      <c r="FA431" s="24174"/>
      <c r="FB431" s="24083"/>
      <c r="FC431" s="24174"/>
      <c r="FD431" s="24174"/>
      <c r="FE431" s="24174"/>
      <c r="FF431" s="24174"/>
      <c r="FG431" s="24174"/>
      <c r="FH431" s="24175"/>
      <c r="FI431" s="24082"/>
      <c r="FJ431" s="24083"/>
      <c r="FK431" s="24174"/>
      <c r="FL431" s="24174"/>
      <c r="FM431" s="24083"/>
      <c r="FN431" s="24174"/>
      <c r="FO431" s="24174"/>
      <c r="FP431" s="24083"/>
      <c r="FQ431" s="24083"/>
      <c r="FR431" s="24083"/>
      <c r="FS431" s="24175"/>
      <c r="FT431" s="24084"/>
      <c r="FU431" s="1184" t="s">
        <v>627</v>
      </c>
      <c r="FV431" s="1568"/>
      <c r="FW431" s="1550"/>
      <c r="FX431" s="1550" t="str">
        <f t="shared" si="7"/>
        <v>Территория действия тарифа</v>
      </c>
      <c r="FY431" s="1550"/>
      <c r="FZ431" s="1550"/>
      <c r="GA431" s="1561">
        <v>0</v>
      </c>
    </row>
    <row r="432" spans="1:183" s="1747" customFormat="1" ht="23.25" customHeight="1">
      <c r="A432" s="1289"/>
      <c r="B432" s="1289"/>
      <c r="C432" s="1289" t="s">
        <v>464</v>
      </c>
      <c r="D432" s="1289"/>
      <c r="E432" s="24089"/>
      <c r="F432" s="24089" t="s">
        <v>187</v>
      </c>
      <c r="G432" s="24088">
        <v>1</v>
      </c>
      <c r="H432" s="1289"/>
      <c r="I432" s="1289"/>
      <c r="J432" s="1289"/>
      <c r="K432" s="1289"/>
      <c r="L432" s="1295"/>
      <c r="M432" s="1291"/>
      <c r="N432" s="1291"/>
      <c r="O432" s="1291"/>
      <c r="P432" s="290"/>
      <c r="Q432" s="288"/>
      <c r="R432" s="289"/>
      <c r="S432" s="1976" t="str">
        <f>INDEX(PT_DIFFERENTIATION_NUM_CS,MATCH(C432,PT_DIFFERENTIATION_CS_ID,0))</f>
        <v>1.21.1</v>
      </c>
      <c r="T432" s="245" t="s">
        <v>756</v>
      </c>
      <c r="U432" s="236"/>
      <c r="V432" s="24082"/>
      <c r="W432" s="24083"/>
      <c r="X432" s="24083"/>
      <c r="Y432" s="24083"/>
      <c r="Z432" s="24083"/>
      <c r="AA432" s="24083"/>
      <c r="AB432" s="24083"/>
      <c r="AC432" s="24083"/>
      <c r="AD432" s="24083"/>
      <c r="AE432" s="24083"/>
      <c r="AF432" s="24084"/>
      <c r="AG432" s="24082" t="str">
        <f>INDEX(PT_DIFFERENTIATION_CS,MATCH(C432,PT_DIFFERENTIATION_CS_ID,0))</f>
        <v>для котельной, расположенной по адресу: дер. Кощино Смоленского муниципального округа</v>
      </c>
      <c r="AH432" s="24083"/>
      <c r="AI432" s="24083"/>
      <c r="AJ432" s="24083"/>
      <c r="AK432" s="24083"/>
      <c r="AL432" s="24083"/>
      <c r="AM432" s="24083"/>
      <c r="AN432" s="24083"/>
      <c r="AO432" s="24083"/>
      <c r="AP432" s="24083"/>
      <c r="AQ432" s="24083"/>
      <c r="AR432" s="24173"/>
      <c r="AS432" s="24174"/>
      <c r="AT432" s="24174"/>
      <c r="AU432" s="24174"/>
      <c r="AV432" s="24174"/>
      <c r="AW432" s="24174"/>
      <c r="AX432" s="24174"/>
      <c r="AY432" s="24174"/>
      <c r="AZ432" s="24174"/>
      <c r="BA432" s="24174"/>
      <c r="BB432" s="24175"/>
      <c r="BC432" s="24173"/>
      <c r="BD432" s="24174"/>
      <c r="BE432" s="24174"/>
      <c r="BF432" s="24174"/>
      <c r="BG432" s="24174"/>
      <c r="BH432" s="24174"/>
      <c r="BI432" s="24174"/>
      <c r="BJ432" s="24174"/>
      <c r="BK432" s="24174"/>
      <c r="BL432" s="24174"/>
      <c r="BM432" s="24175"/>
      <c r="BN432" s="24082"/>
      <c r="BO432" s="24083"/>
      <c r="BP432" s="24174"/>
      <c r="BQ432" s="24174"/>
      <c r="BR432" s="24083"/>
      <c r="BS432" s="24174"/>
      <c r="BT432" s="24174"/>
      <c r="BU432" s="24174"/>
      <c r="BV432" s="24174"/>
      <c r="BW432" s="24174"/>
      <c r="BX432" s="24175"/>
      <c r="BY432" s="24173"/>
      <c r="BZ432" s="24174"/>
      <c r="CA432" s="24174"/>
      <c r="CB432" s="24174"/>
      <c r="CC432" s="24174"/>
      <c r="CD432" s="24174"/>
      <c r="CE432" s="24174"/>
      <c r="CF432" s="24174"/>
      <c r="CG432" s="24174"/>
      <c r="CH432" s="24174"/>
      <c r="CI432" s="24175"/>
      <c r="CJ432" s="24173"/>
      <c r="CK432" s="24174"/>
      <c r="CL432" s="24174"/>
      <c r="CM432" s="24174"/>
      <c r="CN432" s="24174"/>
      <c r="CO432" s="24174"/>
      <c r="CP432" s="24174"/>
      <c r="CQ432" s="24174"/>
      <c r="CR432" s="24174"/>
      <c r="CS432" s="24174"/>
      <c r="CT432" s="24175"/>
      <c r="CU432" s="24173"/>
      <c r="CV432" s="24174"/>
      <c r="CW432" s="24174"/>
      <c r="CX432" s="24174"/>
      <c r="CY432" s="24174"/>
      <c r="CZ432" s="24174"/>
      <c r="DA432" s="24174"/>
      <c r="DB432" s="24174"/>
      <c r="DC432" s="24174"/>
      <c r="DD432" s="24174"/>
      <c r="DE432" s="24175"/>
      <c r="DF432" s="24173"/>
      <c r="DG432" s="24174"/>
      <c r="DH432" s="24174"/>
      <c r="DI432" s="24174"/>
      <c r="DJ432" s="24174"/>
      <c r="DK432" s="24174"/>
      <c r="DL432" s="24174"/>
      <c r="DM432" s="24174"/>
      <c r="DN432" s="24174"/>
      <c r="DO432" s="24174"/>
      <c r="DP432" s="24175"/>
      <c r="DQ432" s="24173"/>
      <c r="DR432" s="24174"/>
      <c r="DS432" s="24174"/>
      <c r="DT432" s="24174"/>
      <c r="DU432" s="24174"/>
      <c r="DV432" s="24174"/>
      <c r="DW432" s="24174"/>
      <c r="DX432" s="24174"/>
      <c r="DY432" s="24174"/>
      <c r="DZ432" s="24174"/>
      <c r="EA432" s="24175"/>
      <c r="EB432" s="24173"/>
      <c r="EC432" s="24174"/>
      <c r="ED432" s="24174"/>
      <c r="EE432" s="24174"/>
      <c r="EF432" s="24174"/>
      <c r="EG432" s="24174"/>
      <c r="EH432" s="24174"/>
      <c r="EI432" s="24174"/>
      <c r="EJ432" s="24174"/>
      <c r="EK432" s="24174"/>
      <c r="EL432" s="24175"/>
      <c r="EM432" s="24173"/>
      <c r="EN432" s="24174"/>
      <c r="EO432" s="24174"/>
      <c r="EP432" s="24174"/>
      <c r="EQ432" s="24174"/>
      <c r="ER432" s="24174"/>
      <c r="ES432" s="24174"/>
      <c r="ET432" s="24174"/>
      <c r="EU432" s="24174"/>
      <c r="EV432" s="24174"/>
      <c r="EW432" s="24175"/>
      <c r="EX432" s="24082"/>
      <c r="EY432" s="24083"/>
      <c r="EZ432" s="24174"/>
      <c r="FA432" s="24174"/>
      <c r="FB432" s="24083"/>
      <c r="FC432" s="24174"/>
      <c r="FD432" s="24174"/>
      <c r="FE432" s="24174"/>
      <c r="FF432" s="24174"/>
      <c r="FG432" s="24174"/>
      <c r="FH432" s="24175"/>
      <c r="FI432" s="24082"/>
      <c r="FJ432" s="24083"/>
      <c r="FK432" s="24174"/>
      <c r="FL432" s="24174"/>
      <c r="FM432" s="24083"/>
      <c r="FN432" s="24174"/>
      <c r="FO432" s="24174"/>
      <c r="FP432" s="24083"/>
      <c r="FQ432" s="24083"/>
      <c r="FR432" s="24083"/>
      <c r="FS432" s="24175"/>
      <c r="FT432" s="24084"/>
      <c r="FU432" s="1184" t="s">
        <v>757</v>
      </c>
      <c r="FV432" s="1568"/>
      <c r="FW432" s="1550"/>
      <c r="FX432" s="1550" t="str">
        <f t="shared" si="7"/>
        <v>Наименование централизованной системы горячего водоснабжения</v>
      </c>
      <c r="FY432" s="1550"/>
      <c r="FZ432" s="1550"/>
      <c r="GA432" s="1561">
        <v>0</v>
      </c>
    </row>
    <row r="433" spans="1:183" s="1747" customFormat="1" ht="23.25" customHeight="1">
      <c r="A433" s="1289"/>
      <c r="B433" s="1289"/>
      <c r="C433" s="1289"/>
      <c r="D433" s="1289"/>
      <c r="E433" s="24089"/>
      <c r="F433" s="24089" t="s">
        <v>187</v>
      </c>
      <c r="G433" s="24089"/>
      <c r="H433" s="24089"/>
      <c r="I433" s="24090" t="str">
        <f>S432&amp;".1"</f>
        <v>1.21.1.1</v>
      </c>
      <c r="J433" s="1289"/>
      <c r="K433" s="1289"/>
      <c r="L433" s="1295"/>
      <c r="M433" s="1674"/>
      <c r="N433" s="1674"/>
      <c r="O433" s="1674"/>
      <c r="P433" s="24092">
        <v>1</v>
      </c>
      <c r="Q433" s="1978"/>
      <c r="R433" s="292"/>
      <c r="S433" s="1976" t="str">
        <f>$I433</f>
        <v>1.21.1.1</v>
      </c>
      <c r="T433" s="221" t="s">
        <v>709</v>
      </c>
      <c r="U433" s="236"/>
      <c r="V433" s="24156"/>
      <c r="W433" s="24157"/>
      <c r="X433" s="24157"/>
      <c r="Y433" s="24157"/>
      <c r="Z433" s="24157"/>
      <c r="AA433" s="24157"/>
      <c r="AB433" s="24157"/>
      <c r="AC433" s="24157"/>
      <c r="AD433" s="24157"/>
      <c r="AE433" s="24157"/>
      <c r="AF433" s="24158"/>
      <c r="AG433" s="24159"/>
      <c r="AH433" s="24160"/>
      <c r="AI433" s="24160"/>
      <c r="AJ433" s="24160"/>
      <c r="AK433" s="24160"/>
      <c r="AL433" s="24160"/>
      <c r="AM433" s="24160"/>
      <c r="AN433" s="24160"/>
      <c r="AO433" s="24160"/>
      <c r="AP433" s="24160"/>
      <c r="AQ433" s="24160"/>
      <c r="AR433" s="24176"/>
      <c r="AS433" s="24177"/>
      <c r="AT433" s="24177"/>
      <c r="AU433" s="24177"/>
      <c r="AV433" s="24177"/>
      <c r="AW433" s="24177"/>
      <c r="AX433" s="24177"/>
      <c r="AY433" s="24177"/>
      <c r="AZ433" s="24177"/>
      <c r="BA433" s="24177"/>
      <c r="BB433" s="24178"/>
      <c r="BC433" s="24176"/>
      <c r="BD433" s="24177"/>
      <c r="BE433" s="24177"/>
      <c r="BF433" s="24177"/>
      <c r="BG433" s="24177"/>
      <c r="BH433" s="24177"/>
      <c r="BI433" s="24177"/>
      <c r="BJ433" s="24177"/>
      <c r="BK433" s="24177"/>
      <c r="BL433" s="24177"/>
      <c r="BM433" s="24178"/>
      <c r="BN433" s="24156"/>
      <c r="BO433" s="24157"/>
      <c r="BP433" s="24177"/>
      <c r="BQ433" s="24177"/>
      <c r="BR433" s="24157"/>
      <c r="BS433" s="24177"/>
      <c r="BT433" s="24177"/>
      <c r="BU433" s="24177"/>
      <c r="BV433" s="24177"/>
      <c r="BW433" s="24177"/>
      <c r="BX433" s="24178"/>
      <c r="BY433" s="24176"/>
      <c r="BZ433" s="24177"/>
      <c r="CA433" s="24177"/>
      <c r="CB433" s="24177"/>
      <c r="CC433" s="24177"/>
      <c r="CD433" s="24177"/>
      <c r="CE433" s="24177"/>
      <c r="CF433" s="24177"/>
      <c r="CG433" s="24177"/>
      <c r="CH433" s="24177"/>
      <c r="CI433" s="24178"/>
      <c r="CJ433" s="24176"/>
      <c r="CK433" s="24177"/>
      <c r="CL433" s="24177"/>
      <c r="CM433" s="24177"/>
      <c r="CN433" s="24177"/>
      <c r="CO433" s="24177"/>
      <c r="CP433" s="24177"/>
      <c r="CQ433" s="24177"/>
      <c r="CR433" s="24177"/>
      <c r="CS433" s="24177"/>
      <c r="CT433" s="24178"/>
      <c r="CU433" s="24176"/>
      <c r="CV433" s="24177"/>
      <c r="CW433" s="24177"/>
      <c r="CX433" s="24177"/>
      <c r="CY433" s="24177"/>
      <c r="CZ433" s="24177"/>
      <c r="DA433" s="24177"/>
      <c r="DB433" s="24177"/>
      <c r="DC433" s="24177"/>
      <c r="DD433" s="24177"/>
      <c r="DE433" s="24178"/>
      <c r="DF433" s="24176"/>
      <c r="DG433" s="24177"/>
      <c r="DH433" s="24177"/>
      <c r="DI433" s="24177"/>
      <c r="DJ433" s="24177"/>
      <c r="DK433" s="24177"/>
      <c r="DL433" s="24177"/>
      <c r="DM433" s="24177"/>
      <c r="DN433" s="24177"/>
      <c r="DO433" s="24177"/>
      <c r="DP433" s="24178"/>
      <c r="DQ433" s="24176"/>
      <c r="DR433" s="24177"/>
      <c r="DS433" s="24177"/>
      <c r="DT433" s="24177"/>
      <c r="DU433" s="24177"/>
      <c r="DV433" s="24177"/>
      <c r="DW433" s="24177"/>
      <c r="DX433" s="24177"/>
      <c r="DY433" s="24177"/>
      <c r="DZ433" s="24177"/>
      <c r="EA433" s="24178"/>
      <c r="EB433" s="24176"/>
      <c r="EC433" s="24177"/>
      <c r="ED433" s="24177"/>
      <c r="EE433" s="24177"/>
      <c r="EF433" s="24177"/>
      <c r="EG433" s="24177"/>
      <c r="EH433" s="24177"/>
      <c r="EI433" s="24177"/>
      <c r="EJ433" s="24177"/>
      <c r="EK433" s="24177"/>
      <c r="EL433" s="24178"/>
      <c r="EM433" s="24176"/>
      <c r="EN433" s="24177"/>
      <c r="EO433" s="24177"/>
      <c r="EP433" s="24177"/>
      <c r="EQ433" s="24177"/>
      <c r="ER433" s="24177"/>
      <c r="ES433" s="24177"/>
      <c r="ET433" s="24177"/>
      <c r="EU433" s="24177"/>
      <c r="EV433" s="24177"/>
      <c r="EW433" s="24178"/>
      <c r="EX433" s="24156"/>
      <c r="EY433" s="24157"/>
      <c r="EZ433" s="24177"/>
      <c r="FA433" s="24177"/>
      <c r="FB433" s="24157"/>
      <c r="FC433" s="24177"/>
      <c r="FD433" s="24177"/>
      <c r="FE433" s="24177"/>
      <c r="FF433" s="24177"/>
      <c r="FG433" s="24177"/>
      <c r="FH433" s="24178"/>
      <c r="FI433" s="24156"/>
      <c r="FJ433" s="24157"/>
      <c r="FK433" s="24177"/>
      <c r="FL433" s="24177"/>
      <c r="FM433" s="24157"/>
      <c r="FN433" s="24177"/>
      <c r="FO433" s="24177"/>
      <c r="FP433" s="24157"/>
      <c r="FQ433" s="24157"/>
      <c r="FR433" s="24157"/>
      <c r="FS433" s="24178"/>
      <c r="FT433" s="24161"/>
      <c r="FU433" s="1184" t="s">
        <v>710</v>
      </c>
      <c r="FV433" s="1568"/>
      <c r="FW433" s="1550"/>
      <c r="FX433" s="1550" t="str">
        <f t="shared" si="7"/>
        <v>Наименование признака дифференциации</v>
      </c>
      <c r="FY433" s="1550"/>
      <c r="FZ433" s="1550"/>
      <c r="GA433" s="1561">
        <v>0</v>
      </c>
    </row>
    <row r="434" spans="1:183" s="1747" customFormat="1" ht="23.25" customHeight="1">
      <c r="A434" s="1289"/>
      <c r="B434" s="1289"/>
      <c r="C434" s="1289"/>
      <c r="D434" s="1289"/>
      <c r="E434" s="24089"/>
      <c r="F434" s="24089" t="s">
        <v>187</v>
      </c>
      <c r="G434" s="24089"/>
      <c r="H434" s="24089"/>
      <c r="I434" s="24091"/>
      <c r="J434" s="24090" t="str">
        <f>I433&amp;".1"</f>
        <v>1.21.1.1.1</v>
      </c>
      <c r="K434" s="1289"/>
      <c r="L434" s="1295" t="s">
        <v>635</v>
      </c>
      <c r="M434" s="1674"/>
      <c r="N434" s="1674"/>
      <c r="O434" s="1674"/>
      <c r="P434" s="24092"/>
      <c r="Q434" s="24092">
        <v>1</v>
      </c>
      <c r="R434" s="293"/>
      <c r="S434" s="1976" t="str">
        <f>$J434</f>
        <v>1.21.1.1.1</v>
      </c>
      <c r="T434" s="222" t="s">
        <v>636</v>
      </c>
      <c r="U434" s="236"/>
      <c r="V434" s="24076"/>
      <c r="W434" s="24077"/>
      <c r="X434" s="24077"/>
      <c r="Y434" s="24077"/>
      <c r="Z434" s="24077"/>
      <c r="AA434" s="24077"/>
      <c r="AB434" s="24077"/>
      <c r="AC434" s="24077"/>
      <c r="AD434" s="24077"/>
      <c r="AE434" s="24077"/>
      <c r="AF434" s="24078"/>
      <c r="AG434" s="24076" t="s">
        <v>769</v>
      </c>
      <c r="AH434" s="24077"/>
      <c r="AI434" s="24077"/>
      <c r="AJ434" s="24077"/>
      <c r="AK434" s="24077"/>
      <c r="AL434" s="24077"/>
      <c r="AM434" s="24077"/>
      <c r="AN434" s="24077"/>
      <c r="AO434" s="24077"/>
      <c r="AP434" s="24077"/>
      <c r="AQ434" s="24077"/>
      <c r="AR434" s="24179"/>
      <c r="AS434" s="24180"/>
      <c r="AT434" s="24180"/>
      <c r="AU434" s="24180"/>
      <c r="AV434" s="24180"/>
      <c r="AW434" s="24180"/>
      <c r="AX434" s="24180"/>
      <c r="AY434" s="24180"/>
      <c r="AZ434" s="24180"/>
      <c r="BA434" s="24180"/>
      <c r="BB434" s="24181"/>
      <c r="BC434" s="24179"/>
      <c r="BD434" s="24180"/>
      <c r="BE434" s="24180"/>
      <c r="BF434" s="24180"/>
      <c r="BG434" s="24180"/>
      <c r="BH434" s="24180"/>
      <c r="BI434" s="24180"/>
      <c r="BJ434" s="24180"/>
      <c r="BK434" s="24180"/>
      <c r="BL434" s="24180"/>
      <c r="BM434" s="24181"/>
      <c r="BN434" s="24076"/>
      <c r="BO434" s="24077"/>
      <c r="BP434" s="24180"/>
      <c r="BQ434" s="24180"/>
      <c r="BR434" s="24077"/>
      <c r="BS434" s="24180"/>
      <c r="BT434" s="24180"/>
      <c r="BU434" s="24180"/>
      <c r="BV434" s="24180"/>
      <c r="BW434" s="24180"/>
      <c r="BX434" s="24181"/>
      <c r="BY434" s="24179"/>
      <c r="BZ434" s="24180"/>
      <c r="CA434" s="24180"/>
      <c r="CB434" s="24180"/>
      <c r="CC434" s="24180"/>
      <c r="CD434" s="24180"/>
      <c r="CE434" s="24180"/>
      <c r="CF434" s="24180"/>
      <c r="CG434" s="24180"/>
      <c r="CH434" s="24180"/>
      <c r="CI434" s="24181"/>
      <c r="CJ434" s="24179"/>
      <c r="CK434" s="24180"/>
      <c r="CL434" s="24180"/>
      <c r="CM434" s="24180"/>
      <c r="CN434" s="24180"/>
      <c r="CO434" s="24180"/>
      <c r="CP434" s="24180"/>
      <c r="CQ434" s="24180"/>
      <c r="CR434" s="24180"/>
      <c r="CS434" s="24180"/>
      <c r="CT434" s="24181"/>
      <c r="CU434" s="24179"/>
      <c r="CV434" s="24180"/>
      <c r="CW434" s="24180"/>
      <c r="CX434" s="24180"/>
      <c r="CY434" s="24180"/>
      <c r="CZ434" s="24180"/>
      <c r="DA434" s="24180"/>
      <c r="DB434" s="24180"/>
      <c r="DC434" s="24180"/>
      <c r="DD434" s="24180"/>
      <c r="DE434" s="24181"/>
      <c r="DF434" s="24179"/>
      <c r="DG434" s="24180"/>
      <c r="DH434" s="24180"/>
      <c r="DI434" s="24180"/>
      <c r="DJ434" s="24180"/>
      <c r="DK434" s="24180"/>
      <c r="DL434" s="24180"/>
      <c r="DM434" s="24180"/>
      <c r="DN434" s="24180"/>
      <c r="DO434" s="24180"/>
      <c r="DP434" s="24181"/>
      <c r="DQ434" s="24179"/>
      <c r="DR434" s="24180"/>
      <c r="DS434" s="24180"/>
      <c r="DT434" s="24180"/>
      <c r="DU434" s="24180"/>
      <c r="DV434" s="24180"/>
      <c r="DW434" s="24180"/>
      <c r="DX434" s="24180"/>
      <c r="DY434" s="24180"/>
      <c r="DZ434" s="24180"/>
      <c r="EA434" s="24181"/>
      <c r="EB434" s="24179"/>
      <c r="EC434" s="24180"/>
      <c r="ED434" s="24180"/>
      <c r="EE434" s="24180"/>
      <c r="EF434" s="24180"/>
      <c r="EG434" s="24180"/>
      <c r="EH434" s="24180"/>
      <c r="EI434" s="24180"/>
      <c r="EJ434" s="24180"/>
      <c r="EK434" s="24180"/>
      <c r="EL434" s="24181"/>
      <c r="EM434" s="24179"/>
      <c r="EN434" s="24180"/>
      <c r="EO434" s="24180"/>
      <c r="EP434" s="24180"/>
      <c r="EQ434" s="24180"/>
      <c r="ER434" s="24180"/>
      <c r="ES434" s="24180"/>
      <c r="ET434" s="24180"/>
      <c r="EU434" s="24180"/>
      <c r="EV434" s="24180"/>
      <c r="EW434" s="24181"/>
      <c r="EX434" s="24076"/>
      <c r="EY434" s="24077"/>
      <c r="EZ434" s="24180"/>
      <c r="FA434" s="24180"/>
      <c r="FB434" s="24077"/>
      <c r="FC434" s="24180"/>
      <c r="FD434" s="24180"/>
      <c r="FE434" s="24180"/>
      <c r="FF434" s="24180"/>
      <c r="FG434" s="24180"/>
      <c r="FH434" s="24181"/>
      <c r="FI434" s="24076"/>
      <c r="FJ434" s="24077"/>
      <c r="FK434" s="24180"/>
      <c r="FL434" s="24180"/>
      <c r="FM434" s="24077"/>
      <c r="FN434" s="24180"/>
      <c r="FO434" s="24180"/>
      <c r="FP434" s="24077"/>
      <c r="FQ434" s="24077"/>
      <c r="FR434" s="24077"/>
      <c r="FS434" s="24181"/>
      <c r="FT434" s="24078"/>
      <c r="FU434" s="1233" t="s">
        <v>711</v>
      </c>
      <c r="FV434" s="1568"/>
      <c r="FW434" s="1550"/>
      <c r="FX434" s="1550" t="str">
        <f t="shared" si="7"/>
        <v>Группа потребителей</v>
      </c>
      <c r="FY434" s="1550"/>
      <c r="FZ434" s="1550"/>
      <c r="GA434" s="1561">
        <v>0</v>
      </c>
    </row>
    <row r="435" spans="1:183" s="1747" customFormat="1" ht="23.25" customHeight="1">
      <c r="A435" s="1289"/>
      <c r="B435" s="1289"/>
      <c r="C435" s="1289"/>
      <c r="D435" s="1289"/>
      <c r="E435" s="24089"/>
      <c r="F435" s="24089" t="s">
        <v>187</v>
      </c>
      <c r="G435" s="24089"/>
      <c r="H435" s="24089"/>
      <c r="I435" s="24091"/>
      <c r="J435" s="24091"/>
      <c r="K435" s="24090" t="str">
        <f>J434&amp;".1"</f>
        <v>1.21.1.1.1.1</v>
      </c>
      <c r="L435" s="1295"/>
      <c r="M435" s="1674"/>
      <c r="N435" s="1674"/>
      <c r="O435" s="1674"/>
      <c r="P435" s="24092"/>
      <c r="Q435" s="24092"/>
      <c r="R435" s="293">
        <v>1</v>
      </c>
      <c r="S435" s="1976" t="str">
        <f>$K435</f>
        <v>1.21.1.1.1.1</v>
      </c>
      <c r="T435" s="1363"/>
      <c r="U435" s="236"/>
      <c r="V435" s="1286"/>
      <c r="W435" s="1286"/>
      <c r="X435" s="1286"/>
      <c r="Y435" s="1286"/>
      <c r="Z435" s="1286"/>
      <c r="AA435" s="1286"/>
      <c r="AB435" s="1286"/>
      <c r="AC435" s="24086"/>
      <c r="AD435" s="24085" t="s">
        <v>59</v>
      </c>
      <c r="AE435" s="24086"/>
      <c r="AF435" s="24085" t="s">
        <v>59</v>
      </c>
      <c r="AG435" s="687">
        <v>481.78</v>
      </c>
      <c r="AH435" s="687">
        <v>53.37</v>
      </c>
      <c r="AI435" s="687"/>
      <c r="AJ435" s="687"/>
      <c r="AK435" s="687">
        <v>6450.02</v>
      </c>
      <c r="AL435" s="687"/>
      <c r="AM435" s="687"/>
      <c r="AN435" s="24093">
        <v>45809.438090277778</v>
      </c>
      <c r="AO435" s="23957" t="s">
        <v>59</v>
      </c>
      <c r="AP435" s="24095">
        <v>46022.438148148147</v>
      </c>
      <c r="AQ435" s="23957" t="s">
        <v>59</v>
      </c>
      <c r="AR435" s="6310">
        <v>477.16</v>
      </c>
      <c r="AS435" s="6310">
        <v>85.96</v>
      </c>
      <c r="AT435" s="6310"/>
      <c r="AU435" s="6310"/>
      <c r="AV435" s="6310">
        <v>5889.73</v>
      </c>
      <c r="AW435" s="6310"/>
      <c r="AX435" s="6310"/>
      <c r="AY435" s="24185">
        <v>46023.59039351852</v>
      </c>
      <c r="AZ435" s="24205" t="s">
        <v>59</v>
      </c>
      <c r="BA435" s="24207">
        <v>46173.590439814812</v>
      </c>
      <c r="BB435" s="24205" t="s">
        <v>59</v>
      </c>
      <c r="BC435" s="6310">
        <f>AR435</f>
        <v>477.16</v>
      </c>
      <c r="BD435" s="6310">
        <f>AS435</f>
        <v>85.96</v>
      </c>
      <c r="BE435" s="6310"/>
      <c r="BF435" s="6310"/>
      <c r="BG435" s="687">
        <f>AV435</f>
        <v>5889.73</v>
      </c>
      <c r="BH435" s="6310"/>
      <c r="BI435" s="6310"/>
      <c r="BJ435" s="24185">
        <v>46174.590497685182</v>
      </c>
      <c r="BK435" s="24205" t="s">
        <v>59</v>
      </c>
      <c r="BL435" s="24207">
        <v>46295.590555555558</v>
      </c>
      <c r="BM435" s="24205" t="s">
        <v>59</v>
      </c>
      <c r="BN435" s="687">
        <v>487.47</v>
      </c>
      <c r="BO435" s="687">
        <v>96.27</v>
      </c>
      <c r="BP435" s="6310"/>
      <c r="BQ435" s="6310"/>
      <c r="BR435" s="687">
        <v>5889.73</v>
      </c>
      <c r="BS435" s="6310"/>
      <c r="BT435" s="6310"/>
      <c r="BU435" s="24185">
        <v>46296.592685185184</v>
      </c>
      <c r="BV435" s="24205" t="s">
        <v>59</v>
      </c>
      <c r="BW435" s="24207">
        <v>46387.59275462963</v>
      </c>
      <c r="BX435" s="24205" t="s">
        <v>59</v>
      </c>
      <c r="BY435" s="6310">
        <v>485.59</v>
      </c>
      <c r="BZ435" s="6310">
        <v>94.39</v>
      </c>
      <c r="CA435" s="6310"/>
      <c r="CB435" s="6310"/>
      <c r="CC435" s="6310">
        <v>5889.73</v>
      </c>
      <c r="CD435" s="6310"/>
      <c r="CE435" s="6310"/>
      <c r="CF435" s="24185">
        <v>46388.5934837963</v>
      </c>
      <c r="CG435" s="24205" t="s">
        <v>59</v>
      </c>
      <c r="CH435" s="24207">
        <v>46568.593634259261</v>
      </c>
      <c r="CI435" s="24205" t="s">
        <v>59</v>
      </c>
      <c r="CJ435" s="6310">
        <v>525.9</v>
      </c>
      <c r="CK435" s="6310">
        <f>BZ435</f>
        <v>94.39</v>
      </c>
      <c r="CL435" s="6310"/>
      <c r="CM435" s="6310"/>
      <c r="CN435" s="6310">
        <v>6496.62</v>
      </c>
      <c r="CO435" s="6310"/>
      <c r="CP435" s="6310"/>
      <c r="CQ435" s="24185">
        <v>46569.594421296293</v>
      </c>
      <c r="CR435" s="24205" t="s">
        <v>59</v>
      </c>
      <c r="CS435" s="24207">
        <v>46752.594502314816</v>
      </c>
      <c r="CT435" s="24205" t="s">
        <v>59</v>
      </c>
      <c r="CU435" s="6310">
        <v>497.37</v>
      </c>
      <c r="CV435" s="6310">
        <v>94.39</v>
      </c>
      <c r="CW435" s="6310"/>
      <c r="CX435" s="6310"/>
      <c r="CY435" s="6310">
        <v>6067.08</v>
      </c>
      <c r="CZ435" s="6310"/>
      <c r="DA435" s="6310"/>
      <c r="DB435" s="24185">
        <v>46753.59479166667</v>
      </c>
      <c r="DC435" s="24205" t="s">
        <v>59</v>
      </c>
      <c r="DD435" s="24207">
        <v>46934.594965277778</v>
      </c>
      <c r="DE435" s="24205" t="s">
        <v>59</v>
      </c>
      <c r="DF435" s="6310">
        <v>504.23</v>
      </c>
      <c r="DG435" s="6310">
        <v>101.25</v>
      </c>
      <c r="DH435" s="6310"/>
      <c r="DI435" s="6310"/>
      <c r="DJ435" s="6310">
        <v>6067.08</v>
      </c>
      <c r="DK435" s="6310"/>
      <c r="DL435" s="6310"/>
      <c r="DM435" s="24185">
        <v>46935.689675925925</v>
      </c>
      <c r="DN435" s="24205" t="s">
        <v>59</v>
      </c>
      <c r="DO435" s="24207">
        <v>47118.689768518518</v>
      </c>
      <c r="DP435" s="24205" t="s">
        <v>6</v>
      </c>
      <c r="DQ435" s="6354"/>
      <c r="DR435" s="6354"/>
      <c r="DS435" s="6354"/>
      <c r="DT435" s="6354"/>
      <c r="DU435" s="6354"/>
      <c r="DV435" s="6354"/>
      <c r="DW435" s="6354"/>
      <c r="DX435" s="24210"/>
      <c r="DY435" s="24208" t="s">
        <v>59</v>
      </c>
      <c r="DZ435" s="24210"/>
      <c r="EA435" s="24208" t="s">
        <v>59</v>
      </c>
      <c r="EB435" s="6354"/>
      <c r="EC435" s="6354"/>
      <c r="ED435" s="6354"/>
      <c r="EE435" s="6354"/>
      <c r="EF435" s="6354"/>
      <c r="EG435" s="6354"/>
      <c r="EH435" s="6354"/>
      <c r="EI435" s="24210"/>
      <c r="EJ435" s="24208" t="s">
        <v>59</v>
      </c>
      <c r="EK435" s="24210"/>
      <c r="EL435" s="24208" t="s">
        <v>59</v>
      </c>
      <c r="EM435" s="6354"/>
      <c r="EN435" s="6354"/>
      <c r="EO435" s="6354"/>
      <c r="EP435" s="6354"/>
      <c r="EQ435" s="6354"/>
      <c r="ER435" s="6354"/>
      <c r="ES435" s="6354"/>
      <c r="ET435" s="24210"/>
      <c r="EU435" s="24208" t="s">
        <v>59</v>
      </c>
      <c r="EV435" s="24210"/>
      <c r="EW435" s="24208" t="s">
        <v>59</v>
      </c>
      <c r="EX435" s="1286"/>
      <c r="EY435" s="1286"/>
      <c r="EZ435" s="6354"/>
      <c r="FA435" s="6354"/>
      <c r="FB435" s="1286"/>
      <c r="FC435" s="6354"/>
      <c r="FD435" s="6354"/>
      <c r="FE435" s="24210"/>
      <c r="FF435" s="24208" t="s">
        <v>59</v>
      </c>
      <c r="FG435" s="24210"/>
      <c r="FH435" s="24208" t="s">
        <v>59</v>
      </c>
      <c r="FI435" s="1286"/>
      <c r="FJ435" s="1286"/>
      <c r="FK435" s="1286"/>
      <c r="FL435" s="1286"/>
      <c r="FM435" s="1286"/>
      <c r="FN435" s="1286"/>
      <c r="FO435" s="1286"/>
      <c r="FP435" s="24086"/>
      <c r="FQ435" s="24085" t="s">
        <v>59</v>
      </c>
      <c r="FR435" s="24086"/>
      <c r="FS435" s="24085" t="s">
        <v>59</v>
      </c>
      <c r="FT435" s="1364"/>
      <c r="FU435"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35" s="1568" t="e">
        <f ca="1">STRCHECKDATE(V436:FT436)</f>
        <v>#NAME?</v>
      </c>
      <c r="FW435" s="1550"/>
      <c r="FX435" s="1550" t="str">
        <f t="shared" si="7"/>
        <v/>
      </c>
      <c r="FY435" s="1550"/>
      <c r="FZ435" s="1550"/>
      <c r="GA435" s="1561">
        <v>0</v>
      </c>
    </row>
    <row r="436" spans="1:183" s="1747" customFormat="1" ht="14.25" customHeight="1">
      <c r="A436" s="1289"/>
      <c r="B436" s="1289"/>
      <c r="C436" s="1289"/>
      <c r="D436" s="1289"/>
      <c r="E436" s="24089"/>
      <c r="F436" s="24089" t="s">
        <v>187</v>
      </c>
      <c r="G436" s="24089"/>
      <c r="H436" s="24089"/>
      <c r="I436" s="24091"/>
      <c r="J436" s="24091"/>
      <c r="K436" s="24090"/>
      <c r="L436" s="1295"/>
      <c r="M436" s="1674"/>
      <c r="N436" s="1674"/>
      <c r="O436" s="1674"/>
      <c r="P436" s="24092"/>
      <c r="Q436" s="24092"/>
      <c r="R436" s="293"/>
      <c r="S436" s="1982"/>
      <c r="T436" s="236"/>
      <c r="U436" s="236"/>
      <c r="V436" s="1286"/>
      <c r="W436" s="1286"/>
      <c r="X436" s="1286"/>
      <c r="Y436" s="1286"/>
      <c r="Z436" s="1286"/>
      <c r="AA436" s="1286"/>
      <c r="AB436" s="1286"/>
      <c r="AC436" s="24085"/>
      <c r="AD436" s="24085"/>
      <c r="AE436" s="24085"/>
      <c r="AF436" s="24085"/>
      <c r="AG436" s="261"/>
      <c r="AH436" s="261"/>
      <c r="AI436" s="261"/>
      <c r="AJ436" s="261"/>
      <c r="AK436" s="261"/>
      <c r="AL436" s="261"/>
      <c r="AM436" s="261"/>
      <c r="AN436" s="24094"/>
      <c r="AO436" s="23957"/>
      <c r="AP436" s="24096"/>
      <c r="AQ436" s="23957"/>
      <c r="AR436" s="6311"/>
      <c r="AS436" s="6311"/>
      <c r="AT436" s="6311"/>
      <c r="AU436" s="6311"/>
      <c r="AV436" s="6311"/>
      <c r="AW436" s="6311"/>
      <c r="AX436" s="6311"/>
      <c r="AY436" s="24186"/>
      <c r="AZ436" s="24205"/>
      <c r="BA436" s="24209"/>
      <c r="BB436" s="24205"/>
      <c r="BC436" s="6311"/>
      <c r="BD436" s="6311"/>
      <c r="BE436" s="6311"/>
      <c r="BF436" s="6311"/>
      <c r="BG436" s="261"/>
      <c r="BH436" s="6311"/>
      <c r="BI436" s="6311"/>
      <c r="BJ436" s="24186"/>
      <c r="BK436" s="24205"/>
      <c r="BL436" s="24209"/>
      <c r="BM436" s="24205"/>
      <c r="BN436" s="261"/>
      <c r="BO436" s="261"/>
      <c r="BP436" s="6311"/>
      <c r="BQ436" s="6311"/>
      <c r="BR436" s="261"/>
      <c r="BS436" s="6311"/>
      <c r="BT436" s="6311"/>
      <c r="BU436" s="24186"/>
      <c r="BV436" s="24205"/>
      <c r="BW436" s="24209"/>
      <c r="BX436" s="24205"/>
      <c r="BY436" s="6311"/>
      <c r="BZ436" s="6311"/>
      <c r="CA436" s="6311"/>
      <c r="CB436" s="6311"/>
      <c r="CC436" s="6311"/>
      <c r="CD436" s="6311"/>
      <c r="CE436" s="6311"/>
      <c r="CF436" s="24186"/>
      <c r="CG436" s="24205"/>
      <c r="CH436" s="24209"/>
      <c r="CI436" s="24205"/>
      <c r="CJ436" s="6311"/>
      <c r="CK436" s="6311"/>
      <c r="CL436" s="6311"/>
      <c r="CM436" s="6311"/>
      <c r="CN436" s="6311"/>
      <c r="CO436" s="6311"/>
      <c r="CP436" s="6311"/>
      <c r="CQ436" s="24186"/>
      <c r="CR436" s="24205"/>
      <c r="CS436" s="24209"/>
      <c r="CT436" s="24205"/>
      <c r="CU436" s="6311"/>
      <c r="CV436" s="6311"/>
      <c r="CW436" s="6311"/>
      <c r="CX436" s="6311"/>
      <c r="CY436" s="6311"/>
      <c r="CZ436" s="6311"/>
      <c r="DA436" s="6311"/>
      <c r="DB436" s="24186"/>
      <c r="DC436" s="24205"/>
      <c r="DD436" s="24209"/>
      <c r="DE436" s="24205"/>
      <c r="DF436" s="6311"/>
      <c r="DG436" s="6311"/>
      <c r="DH436" s="6311"/>
      <c r="DI436" s="6311"/>
      <c r="DJ436" s="6311"/>
      <c r="DK436" s="6311"/>
      <c r="DL436" s="6311"/>
      <c r="DM436" s="24186"/>
      <c r="DN436" s="24205"/>
      <c r="DO436" s="24209"/>
      <c r="DP436" s="24205"/>
      <c r="DQ436" s="6354"/>
      <c r="DR436" s="6354"/>
      <c r="DS436" s="6354"/>
      <c r="DT436" s="6354"/>
      <c r="DU436" s="6354"/>
      <c r="DV436" s="6354"/>
      <c r="DW436" s="6354"/>
      <c r="DX436" s="24208"/>
      <c r="DY436" s="24208"/>
      <c r="DZ436" s="24208"/>
      <c r="EA436" s="24208"/>
      <c r="EB436" s="6354"/>
      <c r="EC436" s="6354"/>
      <c r="ED436" s="6354"/>
      <c r="EE436" s="6354"/>
      <c r="EF436" s="6354"/>
      <c r="EG436" s="6354"/>
      <c r="EH436" s="6354"/>
      <c r="EI436" s="24208"/>
      <c r="EJ436" s="24208"/>
      <c r="EK436" s="24208"/>
      <c r="EL436" s="24208"/>
      <c r="EM436" s="6354"/>
      <c r="EN436" s="6354"/>
      <c r="EO436" s="6354"/>
      <c r="EP436" s="6354"/>
      <c r="EQ436" s="6354"/>
      <c r="ER436" s="6354"/>
      <c r="ES436" s="6354"/>
      <c r="ET436" s="24208"/>
      <c r="EU436" s="24208"/>
      <c r="EV436" s="24208"/>
      <c r="EW436" s="24208"/>
      <c r="EX436" s="1286"/>
      <c r="EY436" s="1286"/>
      <c r="EZ436" s="6354"/>
      <c r="FA436" s="6354"/>
      <c r="FB436" s="1286"/>
      <c r="FC436" s="6354"/>
      <c r="FD436" s="6354"/>
      <c r="FE436" s="24208"/>
      <c r="FF436" s="24208"/>
      <c r="FG436" s="24208"/>
      <c r="FH436" s="24208"/>
      <c r="FI436" s="1286"/>
      <c r="FJ436" s="1286"/>
      <c r="FK436" s="1286"/>
      <c r="FL436" s="1286"/>
      <c r="FM436" s="1286"/>
      <c r="FN436" s="1286"/>
      <c r="FO436" s="1286"/>
      <c r="FP436" s="24085"/>
      <c r="FQ436" s="24085"/>
      <c r="FR436" s="24085"/>
      <c r="FS436" s="24085"/>
      <c r="FT436" s="1365"/>
      <c r="FU436" s="24162"/>
      <c r="FV436" s="1568"/>
      <c r="FW436" s="1550"/>
      <c r="FX436" s="1550" t="str">
        <f t="shared" si="7"/>
        <v/>
      </c>
      <c r="FY436" s="1550"/>
      <c r="FZ436" s="1550"/>
      <c r="GA436" s="1561">
        <v>0</v>
      </c>
    </row>
    <row r="437" spans="1:183" s="1747" customFormat="1" ht="21" customHeight="1">
      <c r="A437" s="1289"/>
      <c r="B437" s="1289"/>
      <c r="C437" s="1289"/>
      <c r="D437" s="1289"/>
      <c r="E437" s="24089"/>
      <c r="F437" s="24089" t="s">
        <v>187</v>
      </c>
      <c r="G437" s="24089"/>
      <c r="H437" s="24089"/>
      <c r="I437" s="24091"/>
      <c r="J437" s="24090"/>
      <c r="K437" s="1289"/>
      <c r="L437" s="1295"/>
      <c r="M437" s="1674"/>
      <c r="N437" s="1674"/>
      <c r="O437" s="1674"/>
      <c r="P437" s="24092"/>
      <c r="Q437" s="24092"/>
      <c r="R437" s="292"/>
      <c r="S437" s="5774"/>
      <c r="T437" s="5775" t="s">
        <v>712</v>
      </c>
      <c r="U437" s="5776"/>
      <c r="V437" s="5777"/>
      <c r="W437" s="5778"/>
      <c r="X437" s="5779"/>
      <c r="Y437" s="5780"/>
      <c r="Z437" s="5781"/>
      <c r="AA437" s="5782"/>
      <c r="AB437" s="5783"/>
      <c r="AC437" s="5784"/>
      <c r="AD437" s="5785"/>
      <c r="AE437" s="5786"/>
      <c r="AF437" s="5787"/>
      <c r="AG437" s="5788"/>
      <c r="AH437" s="5789"/>
      <c r="AI437" s="5790"/>
      <c r="AJ437" s="5791"/>
      <c r="AK437" s="5792"/>
      <c r="AL437" s="5793"/>
      <c r="AM437" s="5794"/>
      <c r="AN437" s="5795"/>
      <c r="AO437" s="5796"/>
      <c r="AP437" s="5797"/>
      <c r="AQ437" s="5798"/>
      <c r="AR437" s="8010"/>
      <c r="AS437" s="8011"/>
      <c r="AT437" s="8012"/>
      <c r="AU437" s="8013"/>
      <c r="AV437" s="8014"/>
      <c r="AW437" s="8015"/>
      <c r="AX437" s="8016"/>
      <c r="AY437" s="8017"/>
      <c r="AZ437" s="8018"/>
      <c r="BA437" s="8019"/>
      <c r="BB437" s="8020"/>
      <c r="BC437" s="8021"/>
      <c r="BD437" s="8022"/>
      <c r="BE437" s="19858"/>
      <c r="BF437" s="19859"/>
      <c r="BG437" s="21938"/>
      <c r="BH437" s="19860"/>
      <c r="BI437" s="19861"/>
      <c r="BJ437" s="19862"/>
      <c r="BK437" s="19863"/>
      <c r="BL437" s="19864"/>
      <c r="BM437" s="19865"/>
      <c r="BN437" s="5799"/>
      <c r="BO437" s="5800"/>
      <c r="BP437" s="19866"/>
      <c r="BQ437" s="19867"/>
      <c r="BR437" s="5801"/>
      <c r="BS437" s="19868"/>
      <c r="BT437" s="19869"/>
      <c r="BU437" s="19870"/>
      <c r="BV437" s="19871"/>
      <c r="BW437" s="19872"/>
      <c r="BX437" s="19873"/>
      <c r="BY437" s="19874"/>
      <c r="BZ437" s="19875"/>
      <c r="CA437" s="19876"/>
      <c r="CB437" s="19877"/>
      <c r="CC437" s="19878"/>
      <c r="CD437" s="19879"/>
      <c r="CE437" s="19880"/>
      <c r="CF437" s="19881"/>
      <c r="CG437" s="19882"/>
      <c r="CH437" s="19883"/>
      <c r="CI437" s="19884"/>
      <c r="CJ437" s="19885"/>
      <c r="CK437" s="19886"/>
      <c r="CL437" s="19887"/>
      <c r="CM437" s="19888"/>
      <c r="CN437" s="19889"/>
      <c r="CO437" s="19890"/>
      <c r="CP437" s="19891"/>
      <c r="CQ437" s="19892"/>
      <c r="CR437" s="19893"/>
      <c r="CS437" s="19894"/>
      <c r="CT437" s="19895"/>
      <c r="CU437" s="19896"/>
      <c r="CV437" s="19897"/>
      <c r="CW437" s="19898"/>
      <c r="CX437" s="19899"/>
      <c r="CY437" s="19900"/>
      <c r="CZ437" s="19901"/>
      <c r="DA437" s="19902"/>
      <c r="DB437" s="19903"/>
      <c r="DC437" s="19904"/>
      <c r="DD437" s="19905"/>
      <c r="DE437" s="19906"/>
      <c r="DF437" s="19907"/>
      <c r="DG437" s="19908"/>
      <c r="DH437" s="19909"/>
      <c r="DI437" s="19910"/>
      <c r="DJ437" s="19911"/>
      <c r="DK437" s="19912"/>
      <c r="DL437" s="19913"/>
      <c r="DM437" s="19914"/>
      <c r="DN437" s="19915"/>
      <c r="DO437" s="19916"/>
      <c r="DP437" s="19917"/>
      <c r="DQ437" s="19918"/>
      <c r="DR437" s="19919"/>
      <c r="DS437" s="19920"/>
      <c r="DT437" s="19921"/>
      <c r="DU437" s="19922"/>
      <c r="DV437" s="19923"/>
      <c r="DW437" s="19924"/>
      <c r="DX437" s="19925"/>
      <c r="DY437" s="19926"/>
      <c r="DZ437" s="19927"/>
      <c r="EA437" s="19928"/>
      <c r="EB437" s="19929"/>
      <c r="EC437" s="19930"/>
      <c r="ED437" s="19931"/>
      <c r="EE437" s="19932"/>
      <c r="EF437" s="19933"/>
      <c r="EG437" s="19934"/>
      <c r="EH437" s="19935"/>
      <c r="EI437" s="19936"/>
      <c r="EJ437" s="19937"/>
      <c r="EK437" s="19938"/>
      <c r="EL437" s="19939"/>
      <c r="EM437" s="21770"/>
      <c r="EN437" s="21771"/>
      <c r="EO437" s="19940"/>
      <c r="EP437" s="19941"/>
      <c r="EQ437" s="21772"/>
      <c r="ER437" s="19942"/>
      <c r="ES437" s="19943"/>
      <c r="ET437" s="19944"/>
      <c r="EU437" s="19945"/>
      <c r="EV437" s="19946"/>
      <c r="EW437" s="19947"/>
      <c r="EX437" s="5802"/>
      <c r="EY437" s="5803"/>
      <c r="EZ437" s="19948"/>
      <c r="FA437" s="19949"/>
      <c r="FB437" s="5804"/>
      <c r="FC437" s="19950"/>
      <c r="FD437" s="19951"/>
      <c r="FE437" s="19952"/>
      <c r="FF437" s="19953"/>
      <c r="FG437" s="19954"/>
      <c r="FH437" s="5805"/>
      <c r="FI437" s="23118"/>
      <c r="FJ437" s="23119"/>
      <c r="FK437" s="23832"/>
      <c r="FL437" s="23833"/>
      <c r="FM437" s="23120"/>
      <c r="FN437" s="23834"/>
      <c r="FO437" s="23835"/>
      <c r="FP437" s="23121"/>
      <c r="FQ437" s="23122"/>
      <c r="FR437" s="23123"/>
      <c r="FS437" s="23836"/>
      <c r="FT437" s="5806"/>
      <c r="FU437" s="1184" t="s">
        <v>713</v>
      </c>
      <c r="FV437" s="1568"/>
      <c r="FW437" s="1550"/>
      <c r="FX437" s="1550" t="str">
        <f t="shared" si="7"/>
        <v>Добавить значение признака дифференциации</v>
      </c>
      <c r="FY437" s="1550"/>
      <c r="FZ437" s="1550"/>
      <c r="GA437" s="1561">
        <v>0</v>
      </c>
    </row>
    <row r="438" spans="1:183" s="1747" customFormat="1" ht="23.25" customHeight="1">
      <c r="A438" s="1289"/>
      <c r="B438" s="1289"/>
      <c r="C438" s="1289"/>
      <c r="D438" s="1289"/>
      <c r="E438" s="24089"/>
      <c r="F438" s="24089"/>
      <c r="G438" s="24089"/>
      <c r="H438" s="24089"/>
      <c r="I438" s="24091"/>
      <c r="J438" s="24090" t="str">
        <f>I433&amp;".2"</f>
        <v>1.21.1.1.2</v>
      </c>
      <c r="K438" s="1289"/>
      <c r="L438" s="1295" t="s">
        <v>635</v>
      </c>
      <c r="M438" s="1674"/>
      <c r="N438" s="1674"/>
      <c r="O438" s="1674"/>
      <c r="P438" s="24092"/>
      <c r="Q438" s="24206" t="s">
        <v>96</v>
      </c>
      <c r="R438" s="293"/>
      <c r="S438" s="1976" t="str">
        <f>$J438</f>
        <v>1.21.1.1.2</v>
      </c>
      <c r="T438" s="222" t="s">
        <v>636</v>
      </c>
      <c r="U438" s="236"/>
      <c r="V438" s="24076"/>
      <c r="W438" s="24077"/>
      <c r="X438" s="24077"/>
      <c r="Y438" s="24077"/>
      <c r="Z438" s="24077"/>
      <c r="AA438" s="24077"/>
      <c r="AB438" s="24077"/>
      <c r="AC438" s="24077"/>
      <c r="AD438" s="24077"/>
      <c r="AE438" s="24077"/>
      <c r="AF438" s="24078"/>
      <c r="AG438" s="24076" t="s">
        <v>771</v>
      </c>
      <c r="AH438" s="24077"/>
      <c r="AI438" s="24077"/>
      <c r="AJ438" s="24077"/>
      <c r="AK438" s="24077"/>
      <c r="AL438" s="24077"/>
      <c r="AM438" s="24077"/>
      <c r="AN438" s="24077"/>
      <c r="AO438" s="24077"/>
      <c r="AP438" s="24077"/>
      <c r="AQ438" s="24077"/>
      <c r="AR438" s="24179"/>
      <c r="AS438" s="24180"/>
      <c r="AT438" s="24180"/>
      <c r="AU438" s="24180"/>
      <c r="AV438" s="24180"/>
      <c r="AW438" s="24180"/>
      <c r="AX438" s="24180"/>
      <c r="AY438" s="24180"/>
      <c r="AZ438" s="24180"/>
      <c r="BA438" s="24180"/>
      <c r="BB438" s="24181"/>
      <c r="BC438" s="24179"/>
      <c r="BD438" s="24180"/>
      <c r="BE438" s="24180"/>
      <c r="BF438" s="24180"/>
      <c r="BG438" s="24180"/>
      <c r="BH438" s="24180"/>
      <c r="BI438" s="24180"/>
      <c r="BJ438" s="24180"/>
      <c r="BK438" s="24180"/>
      <c r="BL438" s="24180"/>
      <c r="BM438" s="24181"/>
      <c r="BN438" s="24076"/>
      <c r="BO438" s="24077"/>
      <c r="BP438" s="24180"/>
      <c r="BQ438" s="24180"/>
      <c r="BR438" s="24077"/>
      <c r="BS438" s="24180"/>
      <c r="BT438" s="24180"/>
      <c r="BU438" s="24180"/>
      <c r="BV438" s="24180"/>
      <c r="BW438" s="24180"/>
      <c r="BX438" s="24181"/>
      <c r="BY438" s="24179"/>
      <c r="BZ438" s="24180"/>
      <c r="CA438" s="24180"/>
      <c r="CB438" s="24180"/>
      <c r="CC438" s="24180"/>
      <c r="CD438" s="24180"/>
      <c r="CE438" s="24180"/>
      <c r="CF438" s="24180"/>
      <c r="CG438" s="24180"/>
      <c r="CH438" s="24180"/>
      <c r="CI438" s="24181"/>
      <c r="CJ438" s="24179"/>
      <c r="CK438" s="24180"/>
      <c r="CL438" s="24180"/>
      <c r="CM438" s="24180"/>
      <c r="CN438" s="24180"/>
      <c r="CO438" s="24180"/>
      <c r="CP438" s="24180"/>
      <c r="CQ438" s="24180"/>
      <c r="CR438" s="24180"/>
      <c r="CS438" s="24180"/>
      <c r="CT438" s="24181"/>
      <c r="CU438" s="24179"/>
      <c r="CV438" s="24180"/>
      <c r="CW438" s="24180"/>
      <c r="CX438" s="24180"/>
      <c r="CY438" s="24180"/>
      <c r="CZ438" s="24180"/>
      <c r="DA438" s="24180"/>
      <c r="DB438" s="24180"/>
      <c r="DC438" s="24180"/>
      <c r="DD438" s="24180"/>
      <c r="DE438" s="24181"/>
      <c r="DF438" s="24179"/>
      <c r="DG438" s="24180"/>
      <c r="DH438" s="24180"/>
      <c r="DI438" s="24180"/>
      <c r="DJ438" s="24180"/>
      <c r="DK438" s="24180"/>
      <c r="DL438" s="24180"/>
      <c r="DM438" s="24180"/>
      <c r="DN438" s="24180"/>
      <c r="DO438" s="24180"/>
      <c r="DP438" s="24181"/>
      <c r="DQ438" s="24179"/>
      <c r="DR438" s="24180"/>
      <c r="DS438" s="24180"/>
      <c r="DT438" s="24180"/>
      <c r="DU438" s="24180"/>
      <c r="DV438" s="24180"/>
      <c r="DW438" s="24180"/>
      <c r="DX438" s="24180"/>
      <c r="DY438" s="24180"/>
      <c r="DZ438" s="24180"/>
      <c r="EA438" s="24181"/>
      <c r="EB438" s="24179"/>
      <c r="EC438" s="24180"/>
      <c r="ED438" s="24180"/>
      <c r="EE438" s="24180"/>
      <c r="EF438" s="24180"/>
      <c r="EG438" s="24180"/>
      <c r="EH438" s="24180"/>
      <c r="EI438" s="24180"/>
      <c r="EJ438" s="24180"/>
      <c r="EK438" s="24180"/>
      <c r="EL438" s="24181"/>
      <c r="EM438" s="24179"/>
      <c r="EN438" s="24180"/>
      <c r="EO438" s="24180"/>
      <c r="EP438" s="24180"/>
      <c r="EQ438" s="24180"/>
      <c r="ER438" s="24180"/>
      <c r="ES438" s="24180"/>
      <c r="ET438" s="24180"/>
      <c r="EU438" s="24180"/>
      <c r="EV438" s="24180"/>
      <c r="EW438" s="24181"/>
      <c r="EX438" s="24076"/>
      <c r="EY438" s="24077"/>
      <c r="EZ438" s="24180"/>
      <c r="FA438" s="24180"/>
      <c r="FB438" s="24077"/>
      <c r="FC438" s="24180"/>
      <c r="FD438" s="24180"/>
      <c r="FE438" s="24180"/>
      <c r="FF438" s="24180"/>
      <c r="FG438" s="24180"/>
      <c r="FH438" s="24181"/>
      <c r="FI438" s="24076"/>
      <c r="FJ438" s="24077"/>
      <c r="FK438" s="24180"/>
      <c r="FL438" s="24180"/>
      <c r="FM438" s="24077"/>
      <c r="FN438" s="24180"/>
      <c r="FO438" s="24180"/>
      <c r="FP438" s="24077"/>
      <c r="FQ438" s="24077"/>
      <c r="FR438" s="24077"/>
      <c r="FS438" s="24181"/>
      <c r="FT438" s="24078"/>
      <c r="FU438" s="1233" t="s">
        <v>711</v>
      </c>
      <c r="FV438" s="1568"/>
      <c r="FW438" s="1550"/>
      <c r="FX438" s="1550" t="str">
        <f t="shared" si="7"/>
        <v>Группа потребителей</v>
      </c>
      <c r="FY438" s="1550"/>
      <c r="FZ438" s="1550"/>
      <c r="GA438" s="1561">
        <v>0</v>
      </c>
    </row>
    <row r="439" spans="1:183" s="1747" customFormat="1" ht="23.25" customHeight="1">
      <c r="A439" s="1289"/>
      <c r="B439" s="1289"/>
      <c r="C439" s="1289"/>
      <c r="D439" s="1289"/>
      <c r="E439" s="24089"/>
      <c r="F439" s="24089"/>
      <c r="G439" s="24089"/>
      <c r="H439" s="24089"/>
      <c r="I439" s="24091"/>
      <c r="J439" s="24091" t="str">
        <f>I433&amp;".1"</f>
        <v>1.21.1.1.1</v>
      </c>
      <c r="K439" s="24090" t="str">
        <f>J438&amp;".1"</f>
        <v>1.21.1.1.2.1</v>
      </c>
      <c r="L439" s="1295"/>
      <c r="M439" s="1674"/>
      <c r="N439" s="1674"/>
      <c r="O439" s="1674"/>
      <c r="P439" s="24092"/>
      <c r="Q439" s="24092"/>
      <c r="R439" s="293">
        <v>1</v>
      </c>
      <c r="S439" s="1976" t="str">
        <f>$K439</f>
        <v>1.21.1.1.2.1</v>
      </c>
      <c r="T439" s="1363"/>
      <c r="U439" s="236"/>
      <c r="V439" s="1286"/>
      <c r="W439" s="1286"/>
      <c r="X439" s="1286"/>
      <c r="Y439" s="1286"/>
      <c r="Z439" s="1286"/>
      <c r="AA439" s="1286"/>
      <c r="AB439" s="1286"/>
      <c r="AC439" s="24086"/>
      <c r="AD439" s="24085" t="s">
        <v>59</v>
      </c>
      <c r="AE439" s="24086"/>
      <c r="AF439" s="24085" t="s">
        <v>59</v>
      </c>
      <c r="AG439" s="687">
        <v>257.64</v>
      </c>
      <c r="AH439" s="687">
        <v>49.21</v>
      </c>
      <c r="AI439" s="687"/>
      <c r="AJ439" s="687"/>
      <c r="AK439" s="687">
        <v>3138.06</v>
      </c>
      <c r="AL439" s="687"/>
      <c r="AM439" s="687"/>
      <c r="AN439" s="24093">
        <v>45809.438449074078</v>
      </c>
      <c r="AO439" s="23957" t="s">
        <v>59</v>
      </c>
      <c r="AP439" s="24095">
        <v>46022.438518518517</v>
      </c>
      <c r="AQ439" s="23957" t="s">
        <v>59</v>
      </c>
      <c r="AR439" s="6310">
        <v>262.02</v>
      </c>
      <c r="AS439" s="6310">
        <v>44.73</v>
      </c>
      <c r="AT439" s="6310"/>
      <c r="AU439" s="6310"/>
      <c r="AV439" s="6310">
        <v>3123.2</v>
      </c>
      <c r="AW439" s="6310"/>
      <c r="AX439" s="6310"/>
      <c r="AY439" s="24185">
        <v>46023.59065972222</v>
      </c>
      <c r="AZ439" s="24205" t="s">
        <v>59</v>
      </c>
      <c r="BA439" s="24207">
        <v>46173.590752314813</v>
      </c>
      <c r="BB439" s="24205" t="s">
        <v>59</v>
      </c>
      <c r="BC439" s="6310">
        <f>AR439</f>
        <v>262.02</v>
      </c>
      <c r="BD439" s="6310">
        <f>AS439</f>
        <v>44.73</v>
      </c>
      <c r="BE439" s="6310"/>
      <c r="BF439" s="6310"/>
      <c r="BG439" s="687">
        <v>3162.41</v>
      </c>
      <c r="BH439" s="6310"/>
      <c r="BI439" s="6310"/>
      <c r="BJ439" s="24185">
        <v>46174.590810185182</v>
      </c>
      <c r="BK439" s="24205" t="s">
        <v>59</v>
      </c>
      <c r="BL439" s="24207">
        <v>46295.590868055559</v>
      </c>
      <c r="BM439" s="24205" t="s">
        <v>59</v>
      </c>
      <c r="BN439" s="687">
        <v>295.95999999999998</v>
      </c>
      <c r="BO439" s="687">
        <v>52.25</v>
      </c>
      <c r="BP439" s="6310"/>
      <c r="BQ439" s="6310"/>
      <c r="BR439" s="687">
        <v>3541.9</v>
      </c>
      <c r="BS439" s="6310"/>
      <c r="BT439" s="6310"/>
      <c r="BU439" s="24185">
        <v>46296.592835648145</v>
      </c>
      <c r="BV439" s="24205" t="s">
        <v>59</v>
      </c>
      <c r="BW439" s="24207">
        <v>46387.592916666668</v>
      </c>
      <c r="BX439" s="24205" t="s">
        <v>59</v>
      </c>
      <c r="BY439" s="6310">
        <v>295.95999999999998</v>
      </c>
      <c r="BZ439" s="6310">
        <v>52.25</v>
      </c>
      <c r="CA439" s="6310"/>
      <c r="CB439" s="6310"/>
      <c r="CC439" s="6310">
        <v>3541.9</v>
      </c>
      <c r="CD439" s="6310"/>
      <c r="CE439" s="6310"/>
      <c r="CF439" s="24185">
        <v>46388.593576388892</v>
      </c>
      <c r="CG439" s="24205" t="s">
        <v>59</v>
      </c>
      <c r="CH439" s="24207">
        <v>46568.593715277777</v>
      </c>
      <c r="CI439" s="24205" t="s">
        <v>59</v>
      </c>
      <c r="CJ439" s="6310">
        <v>321.89999999999998</v>
      </c>
      <c r="CK439" s="6310">
        <v>56.95</v>
      </c>
      <c r="CL439" s="6310"/>
      <c r="CM439" s="6310"/>
      <c r="CN439" s="6310">
        <v>3850.05</v>
      </c>
      <c r="CO439" s="6310"/>
      <c r="CP439" s="6310"/>
      <c r="CQ439" s="24185">
        <v>46569.594606481478</v>
      </c>
      <c r="CR439" s="24205" t="s">
        <v>59</v>
      </c>
      <c r="CS439" s="24207">
        <v>47118.594710648147</v>
      </c>
      <c r="CT439" s="24205" t="s">
        <v>59</v>
      </c>
      <c r="CU439" s="6310">
        <f>CJ439</f>
        <v>321.89999999999998</v>
      </c>
      <c r="CV439" s="6310">
        <f>CK439</f>
        <v>56.95</v>
      </c>
      <c r="CW439" s="6310"/>
      <c r="CX439" s="6310"/>
      <c r="CY439" s="6310">
        <f>CN439</f>
        <v>3850.05</v>
      </c>
      <c r="CZ439" s="6310"/>
      <c r="DA439" s="6310"/>
      <c r="DB439" s="24185">
        <v>46753.595138888886</v>
      </c>
      <c r="DC439" s="24205" t="s">
        <v>59</v>
      </c>
      <c r="DD439" s="24207">
        <v>46934.595057870371</v>
      </c>
      <c r="DE439" s="24205" t="s">
        <v>59</v>
      </c>
      <c r="DF439" s="6310">
        <v>344.75</v>
      </c>
      <c r="DG439" s="6310">
        <v>61</v>
      </c>
      <c r="DH439" s="6310"/>
      <c r="DI439" s="6310"/>
      <c r="DJ439" s="6310">
        <v>4123.3999999999996</v>
      </c>
      <c r="DK439" s="6310"/>
      <c r="DL439" s="6310"/>
      <c r="DM439" s="24185">
        <v>46935.689918981479</v>
      </c>
      <c r="DN439" s="24205" t="s">
        <v>59</v>
      </c>
      <c r="DO439" s="24207">
        <v>47118.690844907411</v>
      </c>
      <c r="DP439" s="24205" t="s">
        <v>6</v>
      </c>
      <c r="DQ439" s="6354"/>
      <c r="DR439" s="6354"/>
      <c r="DS439" s="6354"/>
      <c r="DT439" s="6354"/>
      <c r="DU439" s="6354"/>
      <c r="DV439" s="6354"/>
      <c r="DW439" s="6354"/>
      <c r="DX439" s="24210"/>
      <c r="DY439" s="24208" t="s">
        <v>59</v>
      </c>
      <c r="DZ439" s="24210"/>
      <c r="EA439" s="24208" t="s">
        <v>59</v>
      </c>
      <c r="EB439" s="6354"/>
      <c r="EC439" s="6354"/>
      <c r="ED439" s="6354"/>
      <c r="EE439" s="6354"/>
      <c r="EF439" s="6354"/>
      <c r="EG439" s="6354"/>
      <c r="EH439" s="6354"/>
      <c r="EI439" s="24210"/>
      <c r="EJ439" s="24208" t="s">
        <v>59</v>
      </c>
      <c r="EK439" s="24210"/>
      <c r="EL439" s="24208" t="s">
        <v>59</v>
      </c>
      <c r="EM439" s="6354"/>
      <c r="EN439" s="6354"/>
      <c r="EO439" s="6354"/>
      <c r="EP439" s="6354"/>
      <c r="EQ439" s="6354"/>
      <c r="ER439" s="6354"/>
      <c r="ES439" s="6354"/>
      <c r="ET439" s="24210"/>
      <c r="EU439" s="24208" t="s">
        <v>59</v>
      </c>
      <c r="EV439" s="24210"/>
      <c r="EW439" s="24208" t="s">
        <v>59</v>
      </c>
      <c r="EX439" s="1286"/>
      <c r="EY439" s="1286"/>
      <c r="EZ439" s="6354"/>
      <c r="FA439" s="6354"/>
      <c r="FB439" s="1286"/>
      <c r="FC439" s="6354"/>
      <c r="FD439" s="6354"/>
      <c r="FE439" s="24210"/>
      <c r="FF439" s="24208" t="s">
        <v>59</v>
      </c>
      <c r="FG439" s="24210"/>
      <c r="FH439" s="24208" t="s">
        <v>59</v>
      </c>
      <c r="FI439" s="1286"/>
      <c r="FJ439" s="1286"/>
      <c r="FK439" s="1286"/>
      <c r="FL439" s="1286"/>
      <c r="FM439" s="1286"/>
      <c r="FN439" s="1286"/>
      <c r="FO439" s="1286"/>
      <c r="FP439" s="24086"/>
      <c r="FQ439" s="24085" t="s">
        <v>59</v>
      </c>
      <c r="FR439" s="24086"/>
      <c r="FS439" s="24085" t="s">
        <v>59</v>
      </c>
      <c r="FT439" s="1364"/>
      <c r="FU43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39" s="1568" t="e">
        <f ca="1">STRCHECKDATE(V440:FT440)</f>
        <v>#NAME?</v>
      </c>
      <c r="FW439" s="1550"/>
      <c r="FX439" s="1550" t="str">
        <f t="shared" si="7"/>
        <v/>
      </c>
      <c r="FY439" s="1550"/>
      <c r="FZ439" s="1550"/>
      <c r="GA439" s="1561">
        <v>0</v>
      </c>
    </row>
    <row r="440" spans="1:183" s="1747" customFormat="1" ht="14.25" customHeight="1">
      <c r="A440" s="1289"/>
      <c r="B440" s="1289"/>
      <c r="C440" s="1289"/>
      <c r="D440" s="1289"/>
      <c r="E440" s="24089"/>
      <c r="F440" s="24089"/>
      <c r="G440" s="24089"/>
      <c r="H440" s="24089"/>
      <c r="I440" s="24091"/>
      <c r="J440" s="24091" t="str">
        <f>I433&amp;".1"</f>
        <v>1.21.1.1.1</v>
      </c>
      <c r="K440" s="24090"/>
      <c r="L440" s="1295"/>
      <c r="M440" s="1674"/>
      <c r="N440" s="1674"/>
      <c r="O440" s="1674"/>
      <c r="P440" s="24092"/>
      <c r="Q440" s="24092"/>
      <c r="R440" s="293"/>
      <c r="S440" s="1982"/>
      <c r="T440" s="236"/>
      <c r="U440" s="236"/>
      <c r="V440" s="1286"/>
      <c r="W440" s="1286"/>
      <c r="X440" s="1286"/>
      <c r="Y440" s="1286"/>
      <c r="Z440" s="1286"/>
      <c r="AA440" s="1286"/>
      <c r="AB440" s="1286"/>
      <c r="AC440" s="24085"/>
      <c r="AD440" s="24085"/>
      <c r="AE440" s="24085"/>
      <c r="AF440" s="24085"/>
      <c r="AG440" s="261"/>
      <c r="AH440" s="261"/>
      <c r="AI440" s="261"/>
      <c r="AJ440" s="261"/>
      <c r="AK440" s="261"/>
      <c r="AL440" s="261"/>
      <c r="AM440" s="261"/>
      <c r="AN440" s="24094"/>
      <c r="AO440" s="23957"/>
      <c r="AP440" s="24096"/>
      <c r="AQ440" s="23957"/>
      <c r="AR440" s="6311"/>
      <c r="AS440" s="6311"/>
      <c r="AT440" s="6311"/>
      <c r="AU440" s="6311"/>
      <c r="AV440" s="6311"/>
      <c r="AW440" s="6311"/>
      <c r="AX440" s="6311"/>
      <c r="AY440" s="24186"/>
      <c r="AZ440" s="24205"/>
      <c r="BA440" s="24209"/>
      <c r="BB440" s="24205"/>
      <c r="BC440" s="6311"/>
      <c r="BD440" s="6311"/>
      <c r="BE440" s="6311"/>
      <c r="BF440" s="6311"/>
      <c r="BG440" s="261"/>
      <c r="BH440" s="6311"/>
      <c r="BI440" s="6311"/>
      <c r="BJ440" s="24186"/>
      <c r="BK440" s="24205"/>
      <c r="BL440" s="24209"/>
      <c r="BM440" s="24205"/>
      <c r="BN440" s="261"/>
      <c r="BO440" s="261"/>
      <c r="BP440" s="6311"/>
      <c r="BQ440" s="6311"/>
      <c r="BR440" s="261"/>
      <c r="BS440" s="6311"/>
      <c r="BT440" s="6311"/>
      <c r="BU440" s="24186"/>
      <c r="BV440" s="24205"/>
      <c r="BW440" s="24209"/>
      <c r="BX440" s="24205"/>
      <c r="BY440" s="6311"/>
      <c r="BZ440" s="6311"/>
      <c r="CA440" s="6311"/>
      <c r="CB440" s="6311"/>
      <c r="CC440" s="6311"/>
      <c r="CD440" s="6311"/>
      <c r="CE440" s="6311"/>
      <c r="CF440" s="24186"/>
      <c r="CG440" s="24205"/>
      <c r="CH440" s="24209"/>
      <c r="CI440" s="24205"/>
      <c r="CJ440" s="6311"/>
      <c r="CK440" s="6311"/>
      <c r="CL440" s="6311"/>
      <c r="CM440" s="6311"/>
      <c r="CN440" s="6311"/>
      <c r="CO440" s="6311"/>
      <c r="CP440" s="6311"/>
      <c r="CQ440" s="24186"/>
      <c r="CR440" s="24205"/>
      <c r="CS440" s="24209"/>
      <c r="CT440" s="24205"/>
      <c r="CU440" s="6311"/>
      <c r="CV440" s="6311"/>
      <c r="CW440" s="6311"/>
      <c r="CX440" s="6311"/>
      <c r="CY440" s="6311"/>
      <c r="CZ440" s="6311"/>
      <c r="DA440" s="6311"/>
      <c r="DB440" s="24186"/>
      <c r="DC440" s="24205"/>
      <c r="DD440" s="24209"/>
      <c r="DE440" s="24205"/>
      <c r="DF440" s="6311"/>
      <c r="DG440" s="6311"/>
      <c r="DH440" s="6311"/>
      <c r="DI440" s="6311"/>
      <c r="DJ440" s="6311"/>
      <c r="DK440" s="6311"/>
      <c r="DL440" s="6311"/>
      <c r="DM440" s="24186"/>
      <c r="DN440" s="24205"/>
      <c r="DO440" s="24209"/>
      <c r="DP440" s="24205"/>
      <c r="DQ440" s="6354"/>
      <c r="DR440" s="6354"/>
      <c r="DS440" s="6354"/>
      <c r="DT440" s="6354"/>
      <c r="DU440" s="6354"/>
      <c r="DV440" s="6354"/>
      <c r="DW440" s="6354"/>
      <c r="DX440" s="24208"/>
      <c r="DY440" s="24208"/>
      <c r="DZ440" s="24208"/>
      <c r="EA440" s="24208"/>
      <c r="EB440" s="6354"/>
      <c r="EC440" s="6354"/>
      <c r="ED440" s="6354"/>
      <c r="EE440" s="6354"/>
      <c r="EF440" s="6354"/>
      <c r="EG440" s="6354"/>
      <c r="EH440" s="6354"/>
      <c r="EI440" s="24208"/>
      <c r="EJ440" s="24208"/>
      <c r="EK440" s="24208"/>
      <c r="EL440" s="24208"/>
      <c r="EM440" s="6354"/>
      <c r="EN440" s="6354"/>
      <c r="EO440" s="6354"/>
      <c r="EP440" s="6354"/>
      <c r="EQ440" s="6354"/>
      <c r="ER440" s="6354"/>
      <c r="ES440" s="6354"/>
      <c r="ET440" s="24208"/>
      <c r="EU440" s="24208"/>
      <c r="EV440" s="24208"/>
      <c r="EW440" s="24208"/>
      <c r="EX440" s="1286"/>
      <c r="EY440" s="1286"/>
      <c r="EZ440" s="6354"/>
      <c r="FA440" s="6354"/>
      <c r="FB440" s="1286"/>
      <c r="FC440" s="6354"/>
      <c r="FD440" s="6354"/>
      <c r="FE440" s="24208"/>
      <c r="FF440" s="24208"/>
      <c r="FG440" s="24208"/>
      <c r="FH440" s="24208"/>
      <c r="FI440" s="1286"/>
      <c r="FJ440" s="1286"/>
      <c r="FK440" s="1286"/>
      <c r="FL440" s="1286"/>
      <c r="FM440" s="1286"/>
      <c r="FN440" s="1286"/>
      <c r="FO440" s="1286"/>
      <c r="FP440" s="24085"/>
      <c r="FQ440" s="24085"/>
      <c r="FR440" s="24085"/>
      <c r="FS440" s="24085"/>
      <c r="FT440" s="1365"/>
      <c r="FU440" s="24162"/>
      <c r="FV440" s="1568"/>
      <c r="FW440" s="1550"/>
      <c r="FX440" s="1550" t="str">
        <f t="shared" si="7"/>
        <v/>
      </c>
      <c r="FY440" s="1550"/>
      <c r="FZ440" s="1550"/>
      <c r="GA440" s="1561">
        <v>0</v>
      </c>
    </row>
    <row r="441" spans="1:183" s="1747" customFormat="1" ht="21" customHeight="1">
      <c r="A441" s="1289"/>
      <c r="B441" s="1289"/>
      <c r="C441" s="1289"/>
      <c r="D441" s="1289"/>
      <c r="E441" s="24089"/>
      <c r="F441" s="24089"/>
      <c r="G441" s="24089"/>
      <c r="H441" s="24089"/>
      <c r="I441" s="24091"/>
      <c r="J441" s="24090" t="str">
        <f>I433&amp;".1"</f>
        <v>1.21.1.1.1</v>
      </c>
      <c r="K441" s="1289"/>
      <c r="L441" s="1295"/>
      <c r="M441" s="1674"/>
      <c r="N441" s="1674"/>
      <c r="O441" s="1674"/>
      <c r="P441" s="24092"/>
      <c r="Q441" s="24092"/>
      <c r="R441" s="292"/>
      <c r="S441" s="5807"/>
      <c r="T441" s="5808" t="s">
        <v>712</v>
      </c>
      <c r="U441" s="5809"/>
      <c r="V441" s="5810"/>
      <c r="W441" s="5811"/>
      <c r="X441" s="5812"/>
      <c r="Y441" s="5813"/>
      <c r="Z441" s="5814"/>
      <c r="AA441" s="5815"/>
      <c r="AB441" s="5816"/>
      <c r="AC441" s="5817"/>
      <c r="AD441" s="5818"/>
      <c r="AE441" s="5819"/>
      <c r="AF441" s="5820"/>
      <c r="AG441" s="5821"/>
      <c r="AH441" s="5822"/>
      <c r="AI441" s="5823"/>
      <c r="AJ441" s="5824"/>
      <c r="AK441" s="5825"/>
      <c r="AL441" s="5826"/>
      <c r="AM441" s="5827"/>
      <c r="AN441" s="5828"/>
      <c r="AO441" s="5829"/>
      <c r="AP441" s="5830"/>
      <c r="AQ441" s="5831"/>
      <c r="AR441" s="8023"/>
      <c r="AS441" s="8024"/>
      <c r="AT441" s="8025"/>
      <c r="AU441" s="8026"/>
      <c r="AV441" s="8027"/>
      <c r="AW441" s="8028"/>
      <c r="AX441" s="8029"/>
      <c r="AY441" s="8030"/>
      <c r="AZ441" s="8031"/>
      <c r="BA441" s="8032"/>
      <c r="BB441" s="8033"/>
      <c r="BC441" s="8034"/>
      <c r="BD441" s="8035"/>
      <c r="BE441" s="19955"/>
      <c r="BF441" s="19956"/>
      <c r="BG441" s="21939"/>
      <c r="BH441" s="19957"/>
      <c r="BI441" s="19958"/>
      <c r="BJ441" s="19959"/>
      <c r="BK441" s="19960"/>
      <c r="BL441" s="19961"/>
      <c r="BM441" s="19962"/>
      <c r="BN441" s="5832"/>
      <c r="BO441" s="5833"/>
      <c r="BP441" s="19963"/>
      <c r="BQ441" s="19964"/>
      <c r="BR441" s="5834"/>
      <c r="BS441" s="19965"/>
      <c r="BT441" s="19966"/>
      <c r="BU441" s="19967"/>
      <c r="BV441" s="19968"/>
      <c r="BW441" s="19969"/>
      <c r="BX441" s="19970"/>
      <c r="BY441" s="19971"/>
      <c r="BZ441" s="19972"/>
      <c r="CA441" s="19973"/>
      <c r="CB441" s="19974"/>
      <c r="CC441" s="19975"/>
      <c r="CD441" s="19976"/>
      <c r="CE441" s="19977"/>
      <c r="CF441" s="19978"/>
      <c r="CG441" s="19979"/>
      <c r="CH441" s="19980"/>
      <c r="CI441" s="19981"/>
      <c r="CJ441" s="19982"/>
      <c r="CK441" s="19983"/>
      <c r="CL441" s="19984"/>
      <c r="CM441" s="19985"/>
      <c r="CN441" s="19986"/>
      <c r="CO441" s="19987"/>
      <c r="CP441" s="19988"/>
      <c r="CQ441" s="19989"/>
      <c r="CR441" s="19990"/>
      <c r="CS441" s="19991"/>
      <c r="CT441" s="19992"/>
      <c r="CU441" s="19993"/>
      <c r="CV441" s="19994"/>
      <c r="CW441" s="19995"/>
      <c r="CX441" s="19996"/>
      <c r="CY441" s="19997"/>
      <c r="CZ441" s="19998"/>
      <c r="DA441" s="19999"/>
      <c r="DB441" s="20000"/>
      <c r="DC441" s="20001"/>
      <c r="DD441" s="20002"/>
      <c r="DE441" s="20003"/>
      <c r="DF441" s="20004"/>
      <c r="DG441" s="20005"/>
      <c r="DH441" s="20006"/>
      <c r="DI441" s="20007"/>
      <c r="DJ441" s="20008"/>
      <c r="DK441" s="20009"/>
      <c r="DL441" s="20010"/>
      <c r="DM441" s="20011"/>
      <c r="DN441" s="20012"/>
      <c r="DO441" s="20013"/>
      <c r="DP441" s="20014"/>
      <c r="DQ441" s="20015"/>
      <c r="DR441" s="20016"/>
      <c r="DS441" s="20017"/>
      <c r="DT441" s="20018"/>
      <c r="DU441" s="20019"/>
      <c r="DV441" s="20020"/>
      <c r="DW441" s="20021"/>
      <c r="DX441" s="20022"/>
      <c r="DY441" s="20023"/>
      <c r="DZ441" s="20024"/>
      <c r="EA441" s="20025"/>
      <c r="EB441" s="20026"/>
      <c r="EC441" s="20027"/>
      <c r="ED441" s="20028"/>
      <c r="EE441" s="20029"/>
      <c r="EF441" s="20030"/>
      <c r="EG441" s="20031"/>
      <c r="EH441" s="20032"/>
      <c r="EI441" s="20033"/>
      <c r="EJ441" s="20034"/>
      <c r="EK441" s="20035"/>
      <c r="EL441" s="20036"/>
      <c r="EM441" s="21773"/>
      <c r="EN441" s="21774"/>
      <c r="EO441" s="20037"/>
      <c r="EP441" s="20038"/>
      <c r="EQ441" s="21775"/>
      <c r="ER441" s="20039"/>
      <c r="ES441" s="20040"/>
      <c r="ET441" s="20041"/>
      <c r="EU441" s="20042"/>
      <c r="EV441" s="20043"/>
      <c r="EW441" s="20044"/>
      <c r="EX441" s="5835"/>
      <c r="EY441" s="5836"/>
      <c r="EZ441" s="20045"/>
      <c r="FA441" s="20046"/>
      <c r="FB441" s="5837"/>
      <c r="FC441" s="20047"/>
      <c r="FD441" s="20048"/>
      <c r="FE441" s="20049"/>
      <c r="FF441" s="20050"/>
      <c r="FG441" s="20051"/>
      <c r="FH441" s="5838"/>
      <c r="FI441" s="23124"/>
      <c r="FJ441" s="23125"/>
      <c r="FK441" s="23837"/>
      <c r="FL441" s="23838"/>
      <c r="FM441" s="23126"/>
      <c r="FN441" s="23839"/>
      <c r="FO441" s="23840"/>
      <c r="FP441" s="23127"/>
      <c r="FQ441" s="23128"/>
      <c r="FR441" s="23129"/>
      <c r="FS441" s="23841"/>
      <c r="FT441" s="5839"/>
      <c r="FU441" s="1184" t="s">
        <v>713</v>
      </c>
      <c r="FV441" s="1568"/>
      <c r="FW441" s="1550"/>
      <c r="FX441" s="1550" t="str">
        <f t="shared" si="7"/>
        <v>Добавить значение признака дифференциации</v>
      </c>
      <c r="FY441" s="1550"/>
      <c r="FZ441" s="1550"/>
      <c r="GA441" s="1561">
        <v>0</v>
      </c>
    </row>
    <row r="442" spans="1:183" s="1747" customFormat="1" ht="21" customHeight="1">
      <c r="A442" s="1289"/>
      <c r="B442" s="1289"/>
      <c r="C442" s="1289"/>
      <c r="D442" s="1289"/>
      <c r="E442" s="24089"/>
      <c r="F442" s="24089" t="s">
        <v>187</v>
      </c>
      <c r="G442" s="24089"/>
      <c r="H442" s="24089"/>
      <c r="I442" s="24090"/>
      <c r="J442" s="1289"/>
      <c r="K442" s="1289"/>
      <c r="L442" s="1295"/>
      <c r="M442" s="1674"/>
      <c r="N442" s="1674"/>
      <c r="O442" s="1674"/>
      <c r="P442" s="24092"/>
      <c r="Q442" s="1978"/>
      <c r="R442" s="292"/>
      <c r="S442" s="5840"/>
      <c r="T442" s="5841" t="s">
        <v>641</v>
      </c>
      <c r="U442" s="5842"/>
      <c r="V442" s="5843"/>
      <c r="W442" s="5844"/>
      <c r="X442" s="5845"/>
      <c r="Y442" s="5846"/>
      <c r="Z442" s="5847"/>
      <c r="AA442" s="5848"/>
      <c r="AB442" s="5849"/>
      <c r="AC442" s="5850"/>
      <c r="AD442" s="5851"/>
      <c r="AE442" s="5852"/>
      <c r="AF442" s="5853"/>
      <c r="AG442" s="5854"/>
      <c r="AH442" s="5855"/>
      <c r="AI442" s="5856"/>
      <c r="AJ442" s="5857"/>
      <c r="AK442" s="5858"/>
      <c r="AL442" s="5859"/>
      <c r="AM442" s="5860"/>
      <c r="AN442" s="5861"/>
      <c r="AO442" s="5862"/>
      <c r="AP442" s="5863"/>
      <c r="AQ442" s="5864"/>
      <c r="AR442" s="8036"/>
      <c r="AS442" s="8037"/>
      <c r="AT442" s="8038"/>
      <c r="AU442" s="8039"/>
      <c r="AV442" s="8040"/>
      <c r="AW442" s="8041"/>
      <c r="AX442" s="8042"/>
      <c r="AY442" s="8043"/>
      <c r="AZ442" s="8044"/>
      <c r="BA442" s="8045"/>
      <c r="BB442" s="8046"/>
      <c r="BC442" s="8047"/>
      <c r="BD442" s="8048"/>
      <c r="BE442" s="20052"/>
      <c r="BF442" s="20053"/>
      <c r="BG442" s="21940"/>
      <c r="BH442" s="20054"/>
      <c r="BI442" s="20055"/>
      <c r="BJ442" s="20056"/>
      <c r="BK442" s="20057"/>
      <c r="BL442" s="20058"/>
      <c r="BM442" s="20059"/>
      <c r="BN442" s="5865"/>
      <c r="BO442" s="5866"/>
      <c r="BP442" s="20060"/>
      <c r="BQ442" s="20061"/>
      <c r="BR442" s="5867"/>
      <c r="BS442" s="20062"/>
      <c r="BT442" s="20063"/>
      <c r="BU442" s="20064"/>
      <c r="BV442" s="20065"/>
      <c r="BW442" s="20066"/>
      <c r="BX442" s="20067"/>
      <c r="BY442" s="20068"/>
      <c r="BZ442" s="20069"/>
      <c r="CA442" s="20070"/>
      <c r="CB442" s="20071"/>
      <c r="CC442" s="20072"/>
      <c r="CD442" s="20073"/>
      <c r="CE442" s="20074"/>
      <c r="CF442" s="20075"/>
      <c r="CG442" s="20076"/>
      <c r="CH442" s="20077"/>
      <c r="CI442" s="20078"/>
      <c r="CJ442" s="20079"/>
      <c r="CK442" s="20080"/>
      <c r="CL442" s="20081"/>
      <c r="CM442" s="20082"/>
      <c r="CN442" s="20083"/>
      <c r="CO442" s="20084"/>
      <c r="CP442" s="20085"/>
      <c r="CQ442" s="20086"/>
      <c r="CR442" s="20087"/>
      <c r="CS442" s="20088"/>
      <c r="CT442" s="20089"/>
      <c r="CU442" s="20090"/>
      <c r="CV442" s="20091"/>
      <c r="CW442" s="20092"/>
      <c r="CX442" s="20093"/>
      <c r="CY442" s="20094"/>
      <c r="CZ442" s="20095"/>
      <c r="DA442" s="20096"/>
      <c r="DB442" s="20097"/>
      <c r="DC442" s="20098"/>
      <c r="DD442" s="20099"/>
      <c r="DE442" s="20100"/>
      <c r="DF442" s="20101"/>
      <c r="DG442" s="20102"/>
      <c r="DH442" s="20103"/>
      <c r="DI442" s="20104"/>
      <c r="DJ442" s="20105"/>
      <c r="DK442" s="20106"/>
      <c r="DL442" s="20107"/>
      <c r="DM442" s="20108"/>
      <c r="DN442" s="20109"/>
      <c r="DO442" s="20110"/>
      <c r="DP442" s="20111"/>
      <c r="DQ442" s="20112"/>
      <c r="DR442" s="20113"/>
      <c r="DS442" s="20114"/>
      <c r="DT442" s="20115"/>
      <c r="DU442" s="20116"/>
      <c r="DV442" s="20117"/>
      <c r="DW442" s="20118"/>
      <c r="DX442" s="20119"/>
      <c r="DY442" s="20120"/>
      <c r="DZ442" s="20121"/>
      <c r="EA442" s="20122"/>
      <c r="EB442" s="20123"/>
      <c r="EC442" s="20124"/>
      <c r="ED442" s="20125"/>
      <c r="EE442" s="20126"/>
      <c r="EF442" s="20127"/>
      <c r="EG442" s="20128"/>
      <c r="EH442" s="20129"/>
      <c r="EI442" s="20130"/>
      <c r="EJ442" s="20131"/>
      <c r="EK442" s="20132"/>
      <c r="EL442" s="20133"/>
      <c r="EM442" s="21776"/>
      <c r="EN442" s="21777"/>
      <c r="EO442" s="20134"/>
      <c r="EP442" s="20135"/>
      <c r="EQ442" s="21778"/>
      <c r="ER442" s="20136"/>
      <c r="ES442" s="20137"/>
      <c r="ET442" s="20138"/>
      <c r="EU442" s="20139"/>
      <c r="EV442" s="20140"/>
      <c r="EW442" s="20141"/>
      <c r="EX442" s="5868"/>
      <c r="EY442" s="5869"/>
      <c r="EZ442" s="20142"/>
      <c r="FA442" s="20143"/>
      <c r="FB442" s="5870"/>
      <c r="FC442" s="20144"/>
      <c r="FD442" s="20145"/>
      <c r="FE442" s="20146"/>
      <c r="FF442" s="20147"/>
      <c r="FG442" s="20148"/>
      <c r="FH442" s="5871"/>
      <c r="FI442" s="23130"/>
      <c r="FJ442" s="23131"/>
      <c r="FK442" s="23842"/>
      <c r="FL442" s="23843"/>
      <c r="FM442" s="23132"/>
      <c r="FN442" s="23844"/>
      <c r="FO442" s="23845"/>
      <c r="FP442" s="23133"/>
      <c r="FQ442" s="23134"/>
      <c r="FR442" s="23135"/>
      <c r="FS442" s="23846"/>
      <c r="FT442" s="5872"/>
      <c r="FU442" s="5873"/>
      <c r="FV442" s="1568"/>
      <c r="FW442" s="1550"/>
      <c r="FX442" s="1550" t="str">
        <f t="shared" si="7"/>
        <v>Добавить группу потребителей</v>
      </c>
      <c r="FY442" s="1550"/>
      <c r="FZ442" s="1550"/>
      <c r="GA442" s="1561">
        <v>0</v>
      </c>
    </row>
    <row r="443" spans="1:183" s="1747" customFormat="1" ht="21" customHeight="1">
      <c r="A443" s="1289"/>
      <c r="B443" s="1289"/>
      <c r="C443" s="1289"/>
      <c r="D443" s="1289"/>
      <c r="E443" s="24089"/>
      <c r="F443" s="24089" t="s">
        <v>187</v>
      </c>
      <c r="G443" s="24089"/>
      <c r="H443" s="24088"/>
      <c r="I443" s="1289"/>
      <c r="J443" s="1289"/>
      <c r="K443" s="1289"/>
      <c r="L443" s="1295"/>
      <c r="M443" s="1291"/>
      <c r="N443" s="1291"/>
      <c r="O443" s="1292"/>
      <c r="P443" s="1720"/>
      <c r="Q443" s="311"/>
      <c r="R443" s="291"/>
      <c r="S443" s="5874"/>
      <c r="T443" s="5875" t="s">
        <v>714</v>
      </c>
      <c r="U443" s="5876"/>
      <c r="V443" s="5877"/>
      <c r="W443" s="5878"/>
      <c r="X443" s="5879"/>
      <c r="Y443" s="5880"/>
      <c r="Z443" s="5881"/>
      <c r="AA443" s="5882"/>
      <c r="AB443" s="5883"/>
      <c r="AC443" s="5884"/>
      <c r="AD443" s="5885"/>
      <c r="AE443" s="5886"/>
      <c r="AF443" s="5887"/>
      <c r="AG443" s="5888"/>
      <c r="AH443" s="5889"/>
      <c r="AI443" s="5890"/>
      <c r="AJ443" s="5891"/>
      <c r="AK443" s="5892"/>
      <c r="AL443" s="5893"/>
      <c r="AM443" s="5894"/>
      <c r="AN443" s="5895"/>
      <c r="AO443" s="5896"/>
      <c r="AP443" s="5897"/>
      <c r="AQ443" s="5898"/>
      <c r="AR443" s="8049"/>
      <c r="AS443" s="8050"/>
      <c r="AT443" s="8051"/>
      <c r="AU443" s="8052"/>
      <c r="AV443" s="8053"/>
      <c r="AW443" s="8054"/>
      <c r="AX443" s="8055"/>
      <c r="AY443" s="8056"/>
      <c r="AZ443" s="8057"/>
      <c r="BA443" s="8058"/>
      <c r="BB443" s="8059"/>
      <c r="BC443" s="8060"/>
      <c r="BD443" s="8061"/>
      <c r="BE443" s="20149"/>
      <c r="BF443" s="20150"/>
      <c r="BG443" s="21941"/>
      <c r="BH443" s="20151"/>
      <c r="BI443" s="20152"/>
      <c r="BJ443" s="20153"/>
      <c r="BK443" s="20154"/>
      <c r="BL443" s="20155"/>
      <c r="BM443" s="20156"/>
      <c r="BN443" s="5899"/>
      <c r="BO443" s="5900"/>
      <c r="BP443" s="20157"/>
      <c r="BQ443" s="20158"/>
      <c r="BR443" s="5901"/>
      <c r="BS443" s="20159"/>
      <c r="BT443" s="20160"/>
      <c r="BU443" s="20161"/>
      <c r="BV443" s="20162"/>
      <c r="BW443" s="20163"/>
      <c r="BX443" s="20164"/>
      <c r="BY443" s="20165"/>
      <c r="BZ443" s="20166"/>
      <c r="CA443" s="20167"/>
      <c r="CB443" s="20168"/>
      <c r="CC443" s="20169"/>
      <c r="CD443" s="20170"/>
      <c r="CE443" s="20171"/>
      <c r="CF443" s="20172"/>
      <c r="CG443" s="20173"/>
      <c r="CH443" s="20174"/>
      <c r="CI443" s="20175"/>
      <c r="CJ443" s="20176"/>
      <c r="CK443" s="20177"/>
      <c r="CL443" s="20178"/>
      <c r="CM443" s="20179"/>
      <c r="CN443" s="20180"/>
      <c r="CO443" s="20181"/>
      <c r="CP443" s="20182"/>
      <c r="CQ443" s="20183"/>
      <c r="CR443" s="20184"/>
      <c r="CS443" s="20185"/>
      <c r="CT443" s="20186"/>
      <c r="CU443" s="20187"/>
      <c r="CV443" s="20188"/>
      <c r="CW443" s="20189"/>
      <c r="CX443" s="20190"/>
      <c r="CY443" s="20191"/>
      <c r="CZ443" s="20192"/>
      <c r="DA443" s="20193"/>
      <c r="DB443" s="20194"/>
      <c r="DC443" s="20195"/>
      <c r="DD443" s="20196"/>
      <c r="DE443" s="20197"/>
      <c r="DF443" s="20198"/>
      <c r="DG443" s="20199"/>
      <c r="DH443" s="20200"/>
      <c r="DI443" s="20201"/>
      <c r="DJ443" s="20202"/>
      <c r="DK443" s="20203"/>
      <c r="DL443" s="20204"/>
      <c r="DM443" s="20205"/>
      <c r="DN443" s="20206"/>
      <c r="DO443" s="20207"/>
      <c r="DP443" s="20208"/>
      <c r="DQ443" s="20209"/>
      <c r="DR443" s="20210"/>
      <c r="DS443" s="20211"/>
      <c r="DT443" s="20212"/>
      <c r="DU443" s="20213"/>
      <c r="DV443" s="20214"/>
      <c r="DW443" s="20215"/>
      <c r="DX443" s="20216"/>
      <c r="DY443" s="20217"/>
      <c r="DZ443" s="20218"/>
      <c r="EA443" s="20219"/>
      <c r="EB443" s="20220"/>
      <c r="EC443" s="20221"/>
      <c r="ED443" s="20222"/>
      <c r="EE443" s="20223"/>
      <c r="EF443" s="20224"/>
      <c r="EG443" s="20225"/>
      <c r="EH443" s="20226"/>
      <c r="EI443" s="20227"/>
      <c r="EJ443" s="20228"/>
      <c r="EK443" s="20229"/>
      <c r="EL443" s="20230"/>
      <c r="EM443" s="21779"/>
      <c r="EN443" s="21780"/>
      <c r="EO443" s="20231"/>
      <c r="EP443" s="20232"/>
      <c r="EQ443" s="21781"/>
      <c r="ER443" s="20233"/>
      <c r="ES443" s="20234"/>
      <c r="ET443" s="20235"/>
      <c r="EU443" s="20236"/>
      <c r="EV443" s="20237"/>
      <c r="EW443" s="20238"/>
      <c r="EX443" s="5902"/>
      <c r="EY443" s="5903"/>
      <c r="EZ443" s="20239"/>
      <c r="FA443" s="20240"/>
      <c r="FB443" s="5904"/>
      <c r="FC443" s="20241"/>
      <c r="FD443" s="20242"/>
      <c r="FE443" s="20243"/>
      <c r="FF443" s="20244"/>
      <c r="FG443" s="20245"/>
      <c r="FH443" s="5905"/>
      <c r="FI443" s="23136"/>
      <c r="FJ443" s="23137"/>
      <c r="FK443" s="23847"/>
      <c r="FL443" s="23848"/>
      <c r="FM443" s="23138"/>
      <c r="FN443" s="23849"/>
      <c r="FO443" s="23850"/>
      <c r="FP443" s="23139"/>
      <c r="FQ443" s="23140"/>
      <c r="FR443" s="23141"/>
      <c r="FS443" s="23851"/>
      <c r="FT443" s="5906"/>
      <c r="FU443" s="5907"/>
      <c r="FV443" s="1568"/>
      <c r="FW443" s="1550"/>
      <c r="FX443" s="1550" t="str">
        <f t="shared" si="7"/>
        <v>Добавить наименование признака дифференциации</v>
      </c>
      <c r="FY443" s="1550"/>
      <c r="FZ443" s="1550"/>
      <c r="GA443" s="1561">
        <v>0</v>
      </c>
    </row>
    <row r="444" spans="1:183" s="558" customFormat="1" ht="14.25" customHeight="1">
      <c r="A444" s="1269"/>
      <c r="B444" s="1269"/>
      <c r="C444" s="1269"/>
      <c r="D444" s="1269"/>
      <c r="E444" s="24089"/>
      <c r="F444" s="24088" t="s">
        <v>187</v>
      </c>
      <c r="G444" s="1269"/>
      <c r="H444" s="1269"/>
      <c r="I444" s="1269"/>
      <c r="J444" s="1269"/>
      <c r="K444" s="1269"/>
      <c r="L444" s="1471"/>
      <c r="M444" s="1247"/>
      <c r="N444" s="1247"/>
      <c r="O444" s="1568"/>
      <c r="P444" s="1242"/>
      <c r="Q444" s="1270"/>
      <c r="R444" s="1242"/>
      <c r="S444" s="1248"/>
      <c r="T444" s="1251" t="s">
        <v>370</v>
      </c>
      <c r="U444" s="1250"/>
      <c r="V444" s="1250"/>
      <c r="W444" s="1250"/>
      <c r="X444" s="1250"/>
      <c r="Y444" s="1250"/>
      <c r="Z444" s="1250"/>
      <c r="AA444" s="1250"/>
      <c r="AB444" s="1250"/>
      <c r="AC444" s="1250"/>
      <c r="AD444" s="1250"/>
      <c r="AE444" s="1250"/>
      <c r="AF444" s="1250"/>
      <c r="AG444" s="1250"/>
      <c r="AH444" s="1250"/>
      <c r="AI444" s="1250"/>
      <c r="AJ444" s="1250"/>
      <c r="AK444" s="1250"/>
      <c r="AL444" s="1250"/>
      <c r="AM444" s="1250"/>
      <c r="AN444" s="1250"/>
      <c r="AO444" s="1250"/>
      <c r="AP444" s="1250"/>
      <c r="AQ444" s="1250"/>
      <c r="AR444" s="1250"/>
      <c r="AS444" s="1250"/>
      <c r="AT444" s="1250"/>
      <c r="AU444" s="1250"/>
      <c r="AV444" s="1250"/>
      <c r="AW444" s="1250"/>
      <c r="AX444" s="1250"/>
      <c r="AY444" s="1250"/>
      <c r="AZ444" s="1250"/>
      <c r="BA444" s="1250"/>
      <c r="BB444" s="1250"/>
      <c r="BC444" s="1250"/>
      <c r="BD444" s="1250"/>
      <c r="BE444" s="1250"/>
      <c r="BF444" s="1250"/>
      <c r="BG444" s="1250"/>
      <c r="BH444" s="1250"/>
      <c r="BI444" s="1250"/>
      <c r="BJ444" s="1250"/>
      <c r="BK444" s="1250"/>
      <c r="BL444" s="1250"/>
      <c r="BM444" s="1250"/>
      <c r="BN444" s="1250"/>
      <c r="BO444" s="1250"/>
      <c r="BP444" s="1250"/>
      <c r="BQ444" s="1250"/>
      <c r="BR444" s="1250"/>
      <c r="BS444" s="1250"/>
      <c r="BT444" s="1250"/>
      <c r="BU444" s="1250"/>
      <c r="BV444" s="1250"/>
      <c r="BW444" s="1250"/>
      <c r="BX444" s="1250"/>
      <c r="BY444" s="1250"/>
      <c r="BZ444" s="1250"/>
      <c r="CA444" s="1250"/>
      <c r="CB444" s="1250"/>
      <c r="CC444" s="1250"/>
      <c r="CD444" s="1250"/>
      <c r="CE444" s="1250"/>
      <c r="CF444" s="1250"/>
      <c r="CG444" s="1250"/>
      <c r="CH444" s="1250"/>
      <c r="CI444" s="1250"/>
      <c r="CJ444" s="1250"/>
      <c r="CK444" s="1250"/>
      <c r="CL444" s="1250"/>
      <c r="CM444" s="1250"/>
      <c r="CN444" s="1250"/>
      <c r="CO444" s="1250"/>
      <c r="CP444" s="1250"/>
      <c r="CQ444" s="1250"/>
      <c r="CR444" s="1250"/>
      <c r="CS444" s="1250"/>
      <c r="CT444" s="1250"/>
      <c r="CU444" s="1250"/>
      <c r="CV444" s="1250"/>
      <c r="CW444" s="1250"/>
      <c r="CX444" s="1250"/>
      <c r="CY444" s="1250"/>
      <c r="CZ444" s="1250"/>
      <c r="DA444" s="1250"/>
      <c r="DB444" s="1250"/>
      <c r="DC444" s="1250"/>
      <c r="DD444" s="1250"/>
      <c r="DE444" s="1250"/>
      <c r="DF444" s="1250"/>
      <c r="DG444" s="1250"/>
      <c r="DH444" s="1250"/>
      <c r="DI444" s="1250"/>
      <c r="DJ444" s="1250"/>
      <c r="DK444" s="1250"/>
      <c r="DL444" s="1250"/>
      <c r="DM444" s="1250"/>
      <c r="DN444" s="1250"/>
      <c r="DO444" s="1250"/>
      <c r="DP444" s="1250"/>
      <c r="DQ444" s="1250"/>
      <c r="DR444" s="1250"/>
      <c r="DS444" s="1250"/>
      <c r="DT444" s="1250"/>
      <c r="DU444" s="1250"/>
      <c r="DV444" s="1250"/>
      <c r="DW444" s="1250"/>
      <c r="DX444" s="1250"/>
      <c r="DY444" s="1250"/>
      <c r="DZ444" s="1250"/>
      <c r="EA444" s="1250"/>
      <c r="EB444" s="1250"/>
      <c r="EC444" s="1250"/>
      <c r="ED444" s="1250"/>
      <c r="EE444" s="1250"/>
      <c r="EF444" s="1250"/>
      <c r="EG444" s="1250"/>
      <c r="EH444" s="1250"/>
      <c r="EI444" s="1250"/>
      <c r="EJ444" s="1250"/>
      <c r="EK444" s="1250"/>
      <c r="EL444" s="1250"/>
      <c r="EM444" s="1250"/>
      <c r="EN444" s="1250"/>
      <c r="EO444" s="1250"/>
      <c r="EP444" s="1250"/>
      <c r="EQ444" s="1250"/>
      <c r="ER444" s="1250"/>
      <c r="ES444" s="1250"/>
      <c r="ET444" s="1250"/>
      <c r="EU444" s="1250"/>
      <c r="EV444" s="1250"/>
      <c r="EW444" s="1250"/>
      <c r="EX444" s="1250"/>
      <c r="EY444" s="1250"/>
      <c r="EZ444" s="1250"/>
      <c r="FA444" s="1250"/>
      <c r="FB444" s="1250"/>
      <c r="FC444" s="1250"/>
      <c r="FD444" s="1250"/>
      <c r="FE444" s="1250"/>
      <c r="FF444" s="1250"/>
      <c r="FG444" s="1250"/>
      <c r="FH444" s="5653"/>
      <c r="FI444" s="1250"/>
      <c r="FJ444" s="1250"/>
      <c r="FK444" s="1250"/>
      <c r="FL444" s="1250"/>
      <c r="FM444" s="1250"/>
      <c r="FN444" s="1250"/>
      <c r="FO444" s="1250"/>
      <c r="FP444" s="1250"/>
      <c r="FQ444" s="1250"/>
      <c r="FR444" s="1250"/>
      <c r="FS444" s="1250"/>
      <c r="FT444" s="1250"/>
      <c r="FU444" s="1250"/>
      <c r="FV444" s="1568"/>
      <c r="FW444" s="1550"/>
      <c r="FX444" s="1550" t="str">
        <f t="shared" si="7"/>
        <v>Добавить централизованную систему для дифференциации</v>
      </c>
      <c r="FY444" s="1550"/>
      <c r="FZ444" s="1550"/>
      <c r="GA444" s="1568">
        <v>0</v>
      </c>
    </row>
    <row r="445" spans="1:183" s="1747" customFormat="1" ht="23.25" customHeight="1">
      <c r="A445" s="1289"/>
      <c r="B445" s="1289" t="s">
        <v>467</v>
      </c>
      <c r="C445" s="1289"/>
      <c r="D445" s="1289"/>
      <c r="E445" s="24089"/>
      <c r="F445" s="24088" t="s">
        <v>197</v>
      </c>
      <c r="G445" s="1289"/>
      <c r="H445" s="1289"/>
      <c r="I445" s="1289"/>
      <c r="J445" s="1289"/>
      <c r="K445" s="1289"/>
      <c r="L445" s="1295"/>
      <c r="M445" s="1291"/>
      <c r="N445" s="1291"/>
      <c r="O445" s="1291"/>
      <c r="P445" s="1971"/>
      <c r="Q445" s="288"/>
      <c r="R445" s="289"/>
      <c r="S445" s="1976" t="str">
        <f>INDEX(PT_DIFFERENTIATION_NUM_TER,MATCH(B445,PT_DIFFERENTIATION_TER_ID,0))</f>
        <v>1.22</v>
      </c>
      <c r="T445" s="1448" t="s">
        <v>626</v>
      </c>
      <c r="U445" s="236"/>
      <c r="V445" s="24082"/>
      <c r="W445" s="24083"/>
      <c r="X445" s="24083"/>
      <c r="Y445" s="24083"/>
      <c r="Z445" s="24083"/>
      <c r="AA445" s="24083"/>
      <c r="AB445" s="24083"/>
      <c r="AC445" s="24083"/>
      <c r="AD445" s="24083"/>
      <c r="AE445" s="24083"/>
      <c r="AF445" s="24084"/>
      <c r="AG445" s="24082" t="str">
        <f>INDEX(PT_DIFFERENTIATION_TER,MATCH(B445,PT_DIFFERENTIATION_TER_ID,0))</f>
        <v>Территория 22</v>
      </c>
      <c r="AH445" s="24083"/>
      <c r="AI445" s="24083"/>
      <c r="AJ445" s="24083"/>
      <c r="AK445" s="24083"/>
      <c r="AL445" s="24083"/>
      <c r="AM445" s="24083"/>
      <c r="AN445" s="24083"/>
      <c r="AO445" s="24083"/>
      <c r="AP445" s="24083"/>
      <c r="AQ445" s="24083"/>
      <c r="AR445" s="24173"/>
      <c r="AS445" s="24174"/>
      <c r="AT445" s="24174"/>
      <c r="AU445" s="24174"/>
      <c r="AV445" s="24174"/>
      <c r="AW445" s="24174"/>
      <c r="AX445" s="24174"/>
      <c r="AY445" s="24174"/>
      <c r="AZ445" s="24174"/>
      <c r="BA445" s="24174"/>
      <c r="BB445" s="24175"/>
      <c r="BC445" s="24173"/>
      <c r="BD445" s="24174"/>
      <c r="BE445" s="24174"/>
      <c r="BF445" s="24174"/>
      <c r="BG445" s="24174"/>
      <c r="BH445" s="24174"/>
      <c r="BI445" s="24174"/>
      <c r="BJ445" s="24174"/>
      <c r="BK445" s="24174"/>
      <c r="BL445" s="24174"/>
      <c r="BM445" s="24175"/>
      <c r="BN445" s="24082"/>
      <c r="BO445" s="24083"/>
      <c r="BP445" s="24174"/>
      <c r="BQ445" s="24174"/>
      <c r="BR445" s="24083"/>
      <c r="BS445" s="24174"/>
      <c r="BT445" s="24174"/>
      <c r="BU445" s="24174"/>
      <c r="BV445" s="24174"/>
      <c r="BW445" s="24174"/>
      <c r="BX445" s="24175"/>
      <c r="BY445" s="24173"/>
      <c r="BZ445" s="24174"/>
      <c r="CA445" s="24174"/>
      <c r="CB445" s="24174"/>
      <c r="CC445" s="24174"/>
      <c r="CD445" s="24174"/>
      <c r="CE445" s="24174"/>
      <c r="CF445" s="24174"/>
      <c r="CG445" s="24174"/>
      <c r="CH445" s="24174"/>
      <c r="CI445" s="24175"/>
      <c r="CJ445" s="24173"/>
      <c r="CK445" s="24174"/>
      <c r="CL445" s="24174"/>
      <c r="CM445" s="24174"/>
      <c r="CN445" s="24174"/>
      <c r="CO445" s="24174"/>
      <c r="CP445" s="24174"/>
      <c r="CQ445" s="24174"/>
      <c r="CR445" s="24174"/>
      <c r="CS445" s="24174"/>
      <c r="CT445" s="24175"/>
      <c r="CU445" s="24173"/>
      <c r="CV445" s="24174"/>
      <c r="CW445" s="24174"/>
      <c r="CX445" s="24174"/>
      <c r="CY445" s="24174"/>
      <c r="CZ445" s="24174"/>
      <c r="DA445" s="24174"/>
      <c r="DB445" s="24174"/>
      <c r="DC445" s="24174"/>
      <c r="DD445" s="24174"/>
      <c r="DE445" s="24175"/>
      <c r="DF445" s="24173"/>
      <c r="DG445" s="24174"/>
      <c r="DH445" s="24174"/>
      <c r="DI445" s="24174"/>
      <c r="DJ445" s="24174"/>
      <c r="DK445" s="24174"/>
      <c r="DL445" s="24174"/>
      <c r="DM445" s="24174"/>
      <c r="DN445" s="24174"/>
      <c r="DO445" s="24174"/>
      <c r="DP445" s="24175"/>
      <c r="DQ445" s="24173"/>
      <c r="DR445" s="24174"/>
      <c r="DS445" s="24174"/>
      <c r="DT445" s="24174"/>
      <c r="DU445" s="24174"/>
      <c r="DV445" s="24174"/>
      <c r="DW445" s="24174"/>
      <c r="DX445" s="24174"/>
      <c r="DY445" s="24174"/>
      <c r="DZ445" s="24174"/>
      <c r="EA445" s="24175"/>
      <c r="EB445" s="24173"/>
      <c r="EC445" s="24174"/>
      <c r="ED445" s="24174"/>
      <c r="EE445" s="24174"/>
      <c r="EF445" s="24174"/>
      <c r="EG445" s="24174"/>
      <c r="EH445" s="24174"/>
      <c r="EI445" s="24174"/>
      <c r="EJ445" s="24174"/>
      <c r="EK445" s="24174"/>
      <c r="EL445" s="24175"/>
      <c r="EM445" s="24173"/>
      <c r="EN445" s="24174"/>
      <c r="EO445" s="24174"/>
      <c r="EP445" s="24174"/>
      <c r="EQ445" s="24174"/>
      <c r="ER445" s="24174"/>
      <c r="ES445" s="24174"/>
      <c r="ET445" s="24174"/>
      <c r="EU445" s="24174"/>
      <c r="EV445" s="24174"/>
      <c r="EW445" s="24175"/>
      <c r="EX445" s="24082"/>
      <c r="EY445" s="24083"/>
      <c r="EZ445" s="24174"/>
      <c r="FA445" s="24174"/>
      <c r="FB445" s="24083"/>
      <c r="FC445" s="24174"/>
      <c r="FD445" s="24174"/>
      <c r="FE445" s="24174"/>
      <c r="FF445" s="24174"/>
      <c r="FG445" s="24174"/>
      <c r="FH445" s="24175"/>
      <c r="FI445" s="24082"/>
      <c r="FJ445" s="24083"/>
      <c r="FK445" s="24174"/>
      <c r="FL445" s="24174"/>
      <c r="FM445" s="24083"/>
      <c r="FN445" s="24174"/>
      <c r="FO445" s="24174"/>
      <c r="FP445" s="24083"/>
      <c r="FQ445" s="24083"/>
      <c r="FR445" s="24083"/>
      <c r="FS445" s="24175"/>
      <c r="FT445" s="24084"/>
      <c r="FU445" s="1184" t="s">
        <v>627</v>
      </c>
      <c r="FV445" s="1568"/>
      <c r="FW445" s="1550"/>
      <c r="FX445" s="1550" t="str">
        <f t="shared" si="7"/>
        <v>Территория действия тарифа</v>
      </c>
      <c r="FY445" s="1550"/>
      <c r="FZ445" s="1550"/>
      <c r="GA445" s="1561">
        <v>0</v>
      </c>
    </row>
    <row r="446" spans="1:183" s="1747" customFormat="1" ht="23.25" customHeight="1">
      <c r="A446" s="1289"/>
      <c r="B446" s="1289"/>
      <c r="C446" s="1289" t="s">
        <v>468</v>
      </c>
      <c r="D446" s="1289"/>
      <c r="E446" s="24089"/>
      <c r="F446" s="24089" t="s">
        <v>192</v>
      </c>
      <c r="G446" s="24088">
        <v>1</v>
      </c>
      <c r="H446" s="1289"/>
      <c r="I446" s="1289"/>
      <c r="J446" s="1289"/>
      <c r="K446" s="1289"/>
      <c r="L446" s="1295"/>
      <c r="M446" s="1291"/>
      <c r="N446" s="1291"/>
      <c r="O446" s="1291"/>
      <c r="P446" s="290"/>
      <c r="Q446" s="288"/>
      <c r="R446" s="289"/>
      <c r="S446" s="1976" t="str">
        <f>INDEX(PT_DIFFERENTIATION_NUM_CS,MATCH(C446,PT_DIFFERENTIATION_CS_ID,0))</f>
        <v>1.22.1</v>
      </c>
      <c r="T446" s="245" t="s">
        <v>756</v>
      </c>
      <c r="U446" s="236"/>
      <c r="V446" s="24082"/>
      <c r="W446" s="24083"/>
      <c r="X446" s="24083"/>
      <c r="Y446" s="24083"/>
      <c r="Z446" s="24083"/>
      <c r="AA446" s="24083"/>
      <c r="AB446" s="24083"/>
      <c r="AC446" s="24083"/>
      <c r="AD446" s="24083"/>
      <c r="AE446" s="24083"/>
      <c r="AF446" s="24084"/>
      <c r="AG446" s="24082" t="str">
        <f>INDEX(PT_DIFFERENTIATION_CS,MATCH(C446,PT_DIFFERENTIATION_CS_ID,0))</f>
        <v xml:space="preserve">для потребителей г. Дорогобужа Дорогобужского муниципального округа </v>
      </c>
      <c r="AH446" s="24083"/>
      <c r="AI446" s="24083"/>
      <c r="AJ446" s="24083"/>
      <c r="AK446" s="24083"/>
      <c r="AL446" s="24083"/>
      <c r="AM446" s="24083"/>
      <c r="AN446" s="24083"/>
      <c r="AO446" s="24083"/>
      <c r="AP446" s="24083"/>
      <c r="AQ446" s="24083"/>
      <c r="AR446" s="24173"/>
      <c r="AS446" s="24174"/>
      <c r="AT446" s="24174"/>
      <c r="AU446" s="24174"/>
      <c r="AV446" s="24174"/>
      <c r="AW446" s="24174"/>
      <c r="AX446" s="24174"/>
      <c r="AY446" s="24174"/>
      <c r="AZ446" s="24174"/>
      <c r="BA446" s="24174"/>
      <c r="BB446" s="24175"/>
      <c r="BC446" s="24173"/>
      <c r="BD446" s="24174"/>
      <c r="BE446" s="24174"/>
      <c r="BF446" s="24174"/>
      <c r="BG446" s="24174"/>
      <c r="BH446" s="24174"/>
      <c r="BI446" s="24174"/>
      <c r="BJ446" s="24174"/>
      <c r="BK446" s="24174"/>
      <c r="BL446" s="24174"/>
      <c r="BM446" s="24175"/>
      <c r="BN446" s="24082"/>
      <c r="BO446" s="24083"/>
      <c r="BP446" s="24174"/>
      <c r="BQ446" s="24174"/>
      <c r="BR446" s="24083"/>
      <c r="BS446" s="24174"/>
      <c r="BT446" s="24174"/>
      <c r="BU446" s="24174"/>
      <c r="BV446" s="24174"/>
      <c r="BW446" s="24174"/>
      <c r="BX446" s="24175"/>
      <c r="BY446" s="24173"/>
      <c r="BZ446" s="24174"/>
      <c r="CA446" s="24174"/>
      <c r="CB446" s="24174"/>
      <c r="CC446" s="24174"/>
      <c r="CD446" s="24174"/>
      <c r="CE446" s="24174"/>
      <c r="CF446" s="24174"/>
      <c r="CG446" s="24174"/>
      <c r="CH446" s="24174"/>
      <c r="CI446" s="24175"/>
      <c r="CJ446" s="24173"/>
      <c r="CK446" s="24174"/>
      <c r="CL446" s="24174"/>
      <c r="CM446" s="24174"/>
      <c r="CN446" s="24174"/>
      <c r="CO446" s="24174"/>
      <c r="CP446" s="24174"/>
      <c r="CQ446" s="24174"/>
      <c r="CR446" s="24174"/>
      <c r="CS446" s="24174"/>
      <c r="CT446" s="24175"/>
      <c r="CU446" s="24173"/>
      <c r="CV446" s="24174"/>
      <c r="CW446" s="24174"/>
      <c r="CX446" s="24174"/>
      <c r="CY446" s="24174"/>
      <c r="CZ446" s="24174"/>
      <c r="DA446" s="24174"/>
      <c r="DB446" s="24174"/>
      <c r="DC446" s="24174"/>
      <c r="DD446" s="24174"/>
      <c r="DE446" s="24175"/>
      <c r="DF446" s="24173"/>
      <c r="DG446" s="24174"/>
      <c r="DH446" s="24174"/>
      <c r="DI446" s="24174"/>
      <c r="DJ446" s="24174"/>
      <c r="DK446" s="24174"/>
      <c r="DL446" s="24174"/>
      <c r="DM446" s="24174"/>
      <c r="DN446" s="24174"/>
      <c r="DO446" s="24174"/>
      <c r="DP446" s="24175"/>
      <c r="DQ446" s="24173"/>
      <c r="DR446" s="24174"/>
      <c r="DS446" s="24174"/>
      <c r="DT446" s="24174"/>
      <c r="DU446" s="24174"/>
      <c r="DV446" s="24174"/>
      <c r="DW446" s="24174"/>
      <c r="DX446" s="24174"/>
      <c r="DY446" s="24174"/>
      <c r="DZ446" s="24174"/>
      <c r="EA446" s="24175"/>
      <c r="EB446" s="24173"/>
      <c r="EC446" s="24174"/>
      <c r="ED446" s="24174"/>
      <c r="EE446" s="24174"/>
      <c r="EF446" s="24174"/>
      <c r="EG446" s="24174"/>
      <c r="EH446" s="24174"/>
      <c r="EI446" s="24174"/>
      <c r="EJ446" s="24174"/>
      <c r="EK446" s="24174"/>
      <c r="EL446" s="24175"/>
      <c r="EM446" s="24173"/>
      <c r="EN446" s="24174"/>
      <c r="EO446" s="24174"/>
      <c r="EP446" s="24174"/>
      <c r="EQ446" s="24174"/>
      <c r="ER446" s="24174"/>
      <c r="ES446" s="24174"/>
      <c r="ET446" s="24174"/>
      <c r="EU446" s="24174"/>
      <c r="EV446" s="24174"/>
      <c r="EW446" s="24175"/>
      <c r="EX446" s="24082"/>
      <c r="EY446" s="24083"/>
      <c r="EZ446" s="24174"/>
      <c r="FA446" s="24174"/>
      <c r="FB446" s="24083"/>
      <c r="FC446" s="24174"/>
      <c r="FD446" s="24174"/>
      <c r="FE446" s="24174"/>
      <c r="FF446" s="24174"/>
      <c r="FG446" s="24174"/>
      <c r="FH446" s="24175"/>
      <c r="FI446" s="24082"/>
      <c r="FJ446" s="24083"/>
      <c r="FK446" s="24174"/>
      <c r="FL446" s="24174"/>
      <c r="FM446" s="24083"/>
      <c r="FN446" s="24174"/>
      <c r="FO446" s="24174"/>
      <c r="FP446" s="24083"/>
      <c r="FQ446" s="24083"/>
      <c r="FR446" s="24083"/>
      <c r="FS446" s="24175"/>
      <c r="FT446" s="24084"/>
      <c r="FU446" s="1184" t="s">
        <v>757</v>
      </c>
      <c r="FV446" s="1568"/>
      <c r="FW446" s="1550"/>
      <c r="FX446" s="1550" t="str">
        <f t="shared" si="7"/>
        <v>Наименование централизованной системы горячего водоснабжения</v>
      </c>
      <c r="FY446" s="1550"/>
      <c r="FZ446" s="1550"/>
      <c r="GA446" s="1561">
        <v>0</v>
      </c>
    </row>
    <row r="447" spans="1:183" s="1747" customFormat="1" ht="23.25" customHeight="1">
      <c r="A447" s="1289"/>
      <c r="B447" s="1289"/>
      <c r="C447" s="1289"/>
      <c r="D447" s="1289"/>
      <c r="E447" s="24089"/>
      <c r="F447" s="24089" t="s">
        <v>192</v>
      </c>
      <c r="G447" s="24089"/>
      <c r="H447" s="24089"/>
      <c r="I447" s="24090" t="str">
        <f>S446&amp;".1"</f>
        <v>1.22.1.1</v>
      </c>
      <c r="J447" s="1289"/>
      <c r="K447" s="1289"/>
      <c r="L447" s="1295"/>
      <c r="M447" s="1674"/>
      <c r="N447" s="1674"/>
      <c r="O447" s="1674"/>
      <c r="P447" s="24092">
        <v>1</v>
      </c>
      <c r="Q447" s="1978"/>
      <c r="R447" s="292"/>
      <c r="S447" s="1976" t="str">
        <f>$I447</f>
        <v>1.22.1.1</v>
      </c>
      <c r="T447" s="221" t="s">
        <v>709</v>
      </c>
      <c r="U447" s="236"/>
      <c r="V447" s="24156"/>
      <c r="W447" s="24157"/>
      <c r="X447" s="24157"/>
      <c r="Y447" s="24157"/>
      <c r="Z447" s="24157"/>
      <c r="AA447" s="24157"/>
      <c r="AB447" s="24157"/>
      <c r="AC447" s="24157"/>
      <c r="AD447" s="24157"/>
      <c r="AE447" s="24157"/>
      <c r="AF447" s="24158"/>
      <c r="AG447" s="24159"/>
      <c r="AH447" s="24160"/>
      <c r="AI447" s="24160"/>
      <c r="AJ447" s="24160"/>
      <c r="AK447" s="24160"/>
      <c r="AL447" s="24160"/>
      <c r="AM447" s="24160"/>
      <c r="AN447" s="24160"/>
      <c r="AO447" s="24160"/>
      <c r="AP447" s="24160"/>
      <c r="AQ447" s="24160"/>
      <c r="AR447" s="24176"/>
      <c r="AS447" s="24177"/>
      <c r="AT447" s="24177"/>
      <c r="AU447" s="24177"/>
      <c r="AV447" s="24177"/>
      <c r="AW447" s="24177"/>
      <c r="AX447" s="24177"/>
      <c r="AY447" s="24177"/>
      <c r="AZ447" s="24177"/>
      <c r="BA447" s="24177"/>
      <c r="BB447" s="24178"/>
      <c r="BC447" s="24176"/>
      <c r="BD447" s="24177"/>
      <c r="BE447" s="24177"/>
      <c r="BF447" s="24177"/>
      <c r="BG447" s="24177"/>
      <c r="BH447" s="24177"/>
      <c r="BI447" s="24177"/>
      <c r="BJ447" s="24177"/>
      <c r="BK447" s="24177"/>
      <c r="BL447" s="24177"/>
      <c r="BM447" s="24178"/>
      <c r="BN447" s="24156"/>
      <c r="BO447" s="24157"/>
      <c r="BP447" s="24177"/>
      <c r="BQ447" s="24177"/>
      <c r="BR447" s="24157"/>
      <c r="BS447" s="24177"/>
      <c r="BT447" s="24177"/>
      <c r="BU447" s="24177"/>
      <c r="BV447" s="24177"/>
      <c r="BW447" s="24177"/>
      <c r="BX447" s="24178"/>
      <c r="BY447" s="24176"/>
      <c r="BZ447" s="24177"/>
      <c r="CA447" s="24177"/>
      <c r="CB447" s="24177"/>
      <c r="CC447" s="24177"/>
      <c r="CD447" s="24177"/>
      <c r="CE447" s="24177"/>
      <c r="CF447" s="24177"/>
      <c r="CG447" s="24177"/>
      <c r="CH447" s="24177"/>
      <c r="CI447" s="24178"/>
      <c r="CJ447" s="24176"/>
      <c r="CK447" s="24177"/>
      <c r="CL447" s="24177"/>
      <c r="CM447" s="24177"/>
      <c r="CN447" s="24177"/>
      <c r="CO447" s="24177"/>
      <c r="CP447" s="24177"/>
      <c r="CQ447" s="24177"/>
      <c r="CR447" s="24177"/>
      <c r="CS447" s="24177"/>
      <c r="CT447" s="24178"/>
      <c r="CU447" s="24176"/>
      <c r="CV447" s="24177"/>
      <c r="CW447" s="24177"/>
      <c r="CX447" s="24177"/>
      <c r="CY447" s="24177"/>
      <c r="CZ447" s="24177"/>
      <c r="DA447" s="24177"/>
      <c r="DB447" s="24177"/>
      <c r="DC447" s="24177"/>
      <c r="DD447" s="24177"/>
      <c r="DE447" s="24178"/>
      <c r="DF447" s="24176"/>
      <c r="DG447" s="24177"/>
      <c r="DH447" s="24177"/>
      <c r="DI447" s="24177"/>
      <c r="DJ447" s="24177"/>
      <c r="DK447" s="24177"/>
      <c r="DL447" s="24177"/>
      <c r="DM447" s="24177"/>
      <c r="DN447" s="24177"/>
      <c r="DO447" s="24177"/>
      <c r="DP447" s="24178"/>
      <c r="DQ447" s="24176"/>
      <c r="DR447" s="24177"/>
      <c r="DS447" s="24177"/>
      <c r="DT447" s="24177"/>
      <c r="DU447" s="24177"/>
      <c r="DV447" s="24177"/>
      <c r="DW447" s="24177"/>
      <c r="DX447" s="24177"/>
      <c r="DY447" s="24177"/>
      <c r="DZ447" s="24177"/>
      <c r="EA447" s="24178"/>
      <c r="EB447" s="24176"/>
      <c r="EC447" s="24177"/>
      <c r="ED447" s="24177"/>
      <c r="EE447" s="24177"/>
      <c r="EF447" s="24177"/>
      <c r="EG447" s="24177"/>
      <c r="EH447" s="24177"/>
      <c r="EI447" s="24177"/>
      <c r="EJ447" s="24177"/>
      <c r="EK447" s="24177"/>
      <c r="EL447" s="24178"/>
      <c r="EM447" s="24176"/>
      <c r="EN447" s="24177"/>
      <c r="EO447" s="24177"/>
      <c r="EP447" s="24177"/>
      <c r="EQ447" s="24177"/>
      <c r="ER447" s="24177"/>
      <c r="ES447" s="24177"/>
      <c r="ET447" s="24177"/>
      <c r="EU447" s="24177"/>
      <c r="EV447" s="24177"/>
      <c r="EW447" s="24178"/>
      <c r="EX447" s="24156"/>
      <c r="EY447" s="24157"/>
      <c r="EZ447" s="24177"/>
      <c r="FA447" s="24177"/>
      <c r="FB447" s="24157"/>
      <c r="FC447" s="24177"/>
      <c r="FD447" s="24177"/>
      <c r="FE447" s="24177"/>
      <c r="FF447" s="24177"/>
      <c r="FG447" s="24177"/>
      <c r="FH447" s="24178"/>
      <c r="FI447" s="24156"/>
      <c r="FJ447" s="24157"/>
      <c r="FK447" s="24177"/>
      <c r="FL447" s="24177"/>
      <c r="FM447" s="24157"/>
      <c r="FN447" s="24177"/>
      <c r="FO447" s="24177"/>
      <c r="FP447" s="24157"/>
      <c r="FQ447" s="24157"/>
      <c r="FR447" s="24157"/>
      <c r="FS447" s="24178"/>
      <c r="FT447" s="24161"/>
      <c r="FU447" s="1184" t="s">
        <v>710</v>
      </c>
      <c r="FV447" s="1568"/>
      <c r="FW447" s="1550"/>
      <c r="FX447" s="1550" t="str">
        <f t="shared" si="7"/>
        <v>Наименование признака дифференциации</v>
      </c>
      <c r="FY447" s="1550"/>
      <c r="FZ447" s="1550"/>
      <c r="GA447" s="1561">
        <v>0</v>
      </c>
    </row>
    <row r="448" spans="1:183" s="1747" customFormat="1" ht="23.25" customHeight="1">
      <c r="A448" s="1289"/>
      <c r="B448" s="1289"/>
      <c r="C448" s="1289"/>
      <c r="D448" s="1289"/>
      <c r="E448" s="24089"/>
      <c r="F448" s="24089" t="s">
        <v>192</v>
      </c>
      <c r="G448" s="24089"/>
      <c r="H448" s="24089"/>
      <c r="I448" s="24091"/>
      <c r="J448" s="24090" t="str">
        <f>I447&amp;".1"</f>
        <v>1.22.1.1.1</v>
      </c>
      <c r="K448" s="1289"/>
      <c r="L448" s="1295" t="s">
        <v>635</v>
      </c>
      <c r="M448" s="1674"/>
      <c r="N448" s="1674"/>
      <c r="O448" s="1674"/>
      <c r="P448" s="24092"/>
      <c r="Q448" s="24092">
        <v>1</v>
      </c>
      <c r="R448" s="293"/>
      <c r="S448" s="1976" t="str">
        <f>$J448</f>
        <v>1.22.1.1.1</v>
      </c>
      <c r="T448" s="222" t="s">
        <v>636</v>
      </c>
      <c r="U448" s="236"/>
      <c r="V448" s="24076"/>
      <c r="W448" s="24077"/>
      <c r="X448" s="24077"/>
      <c r="Y448" s="24077"/>
      <c r="Z448" s="24077"/>
      <c r="AA448" s="24077"/>
      <c r="AB448" s="24077"/>
      <c r="AC448" s="24077"/>
      <c r="AD448" s="24077"/>
      <c r="AE448" s="24077"/>
      <c r="AF448" s="24078"/>
      <c r="AG448" s="24076" t="s">
        <v>769</v>
      </c>
      <c r="AH448" s="24077"/>
      <c r="AI448" s="24077"/>
      <c r="AJ448" s="24077"/>
      <c r="AK448" s="24077"/>
      <c r="AL448" s="24077"/>
      <c r="AM448" s="24077"/>
      <c r="AN448" s="24077"/>
      <c r="AO448" s="24077"/>
      <c r="AP448" s="24077"/>
      <c r="AQ448" s="24077"/>
      <c r="AR448" s="24179"/>
      <c r="AS448" s="24180"/>
      <c r="AT448" s="24180"/>
      <c r="AU448" s="24180"/>
      <c r="AV448" s="24180"/>
      <c r="AW448" s="24180"/>
      <c r="AX448" s="24180"/>
      <c r="AY448" s="24180"/>
      <c r="AZ448" s="24180"/>
      <c r="BA448" s="24180"/>
      <c r="BB448" s="24181"/>
      <c r="BC448" s="24179"/>
      <c r="BD448" s="24180"/>
      <c r="BE448" s="24180"/>
      <c r="BF448" s="24180"/>
      <c r="BG448" s="24180"/>
      <c r="BH448" s="24180"/>
      <c r="BI448" s="24180"/>
      <c r="BJ448" s="24180"/>
      <c r="BK448" s="24180"/>
      <c r="BL448" s="24180"/>
      <c r="BM448" s="24181"/>
      <c r="BN448" s="24076"/>
      <c r="BO448" s="24077"/>
      <c r="BP448" s="24180"/>
      <c r="BQ448" s="24180"/>
      <c r="BR448" s="24077"/>
      <c r="BS448" s="24180"/>
      <c r="BT448" s="24180"/>
      <c r="BU448" s="24180"/>
      <c r="BV448" s="24180"/>
      <c r="BW448" s="24180"/>
      <c r="BX448" s="24181"/>
      <c r="BY448" s="24179"/>
      <c r="BZ448" s="24180"/>
      <c r="CA448" s="24180"/>
      <c r="CB448" s="24180"/>
      <c r="CC448" s="24180"/>
      <c r="CD448" s="24180"/>
      <c r="CE448" s="24180"/>
      <c r="CF448" s="24180"/>
      <c r="CG448" s="24180"/>
      <c r="CH448" s="24180"/>
      <c r="CI448" s="24181"/>
      <c r="CJ448" s="24179"/>
      <c r="CK448" s="24180"/>
      <c r="CL448" s="24180"/>
      <c r="CM448" s="24180"/>
      <c r="CN448" s="24180"/>
      <c r="CO448" s="24180"/>
      <c r="CP448" s="24180"/>
      <c r="CQ448" s="24180"/>
      <c r="CR448" s="24180"/>
      <c r="CS448" s="24180"/>
      <c r="CT448" s="24181"/>
      <c r="CU448" s="24179"/>
      <c r="CV448" s="24180"/>
      <c r="CW448" s="24180"/>
      <c r="CX448" s="24180"/>
      <c r="CY448" s="24180"/>
      <c r="CZ448" s="24180"/>
      <c r="DA448" s="24180"/>
      <c r="DB448" s="24180"/>
      <c r="DC448" s="24180"/>
      <c r="DD448" s="24180"/>
      <c r="DE448" s="24181"/>
      <c r="DF448" s="24179"/>
      <c r="DG448" s="24180"/>
      <c r="DH448" s="24180"/>
      <c r="DI448" s="24180"/>
      <c r="DJ448" s="24180"/>
      <c r="DK448" s="24180"/>
      <c r="DL448" s="24180"/>
      <c r="DM448" s="24180"/>
      <c r="DN448" s="24180"/>
      <c r="DO448" s="24180"/>
      <c r="DP448" s="24181"/>
      <c r="DQ448" s="24179"/>
      <c r="DR448" s="24180"/>
      <c r="DS448" s="24180"/>
      <c r="DT448" s="24180"/>
      <c r="DU448" s="24180"/>
      <c r="DV448" s="24180"/>
      <c r="DW448" s="24180"/>
      <c r="DX448" s="24180"/>
      <c r="DY448" s="24180"/>
      <c r="DZ448" s="24180"/>
      <c r="EA448" s="24181"/>
      <c r="EB448" s="24179"/>
      <c r="EC448" s="24180"/>
      <c r="ED448" s="24180"/>
      <c r="EE448" s="24180"/>
      <c r="EF448" s="24180"/>
      <c r="EG448" s="24180"/>
      <c r="EH448" s="24180"/>
      <c r="EI448" s="24180"/>
      <c r="EJ448" s="24180"/>
      <c r="EK448" s="24180"/>
      <c r="EL448" s="24181"/>
      <c r="EM448" s="24179"/>
      <c r="EN448" s="24180"/>
      <c r="EO448" s="24180"/>
      <c r="EP448" s="24180"/>
      <c r="EQ448" s="24180"/>
      <c r="ER448" s="24180"/>
      <c r="ES448" s="24180"/>
      <c r="ET448" s="24180"/>
      <c r="EU448" s="24180"/>
      <c r="EV448" s="24180"/>
      <c r="EW448" s="24181"/>
      <c r="EX448" s="24076"/>
      <c r="EY448" s="24077"/>
      <c r="EZ448" s="24180"/>
      <c r="FA448" s="24180"/>
      <c r="FB448" s="24077"/>
      <c r="FC448" s="24180"/>
      <c r="FD448" s="24180"/>
      <c r="FE448" s="24180"/>
      <c r="FF448" s="24180"/>
      <c r="FG448" s="24180"/>
      <c r="FH448" s="24181"/>
      <c r="FI448" s="24076"/>
      <c r="FJ448" s="24077"/>
      <c r="FK448" s="24180"/>
      <c r="FL448" s="24180"/>
      <c r="FM448" s="24077"/>
      <c r="FN448" s="24180"/>
      <c r="FO448" s="24180"/>
      <c r="FP448" s="24077"/>
      <c r="FQ448" s="24077"/>
      <c r="FR448" s="24077"/>
      <c r="FS448" s="24181"/>
      <c r="FT448" s="24078"/>
      <c r="FU448" s="1233" t="s">
        <v>711</v>
      </c>
      <c r="FV448" s="1568"/>
      <c r="FW448" s="1550"/>
      <c r="FX448" s="1550" t="str">
        <f t="shared" si="7"/>
        <v>Группа потребителей</v>
      </c>
      <c r="FY448" s="1550"/>
      <c r="FZ448" s="1550"/>
      <c r="GA448" s="1561">
        <v>0</v>
      </c>
    </row>
    <row r="449" spans="1:183" s="1747" customFormat="1" ht="23.25" customHeight="1">
      <c r="A449" s="1289"/>
      <c r="B449" s="1289"/>
      <c r="C449" s="1289"/>
      <c r="D449" s="1289"/>
      <c r="E449" s="24089"/>
      <c r="F449" s="24089" t="s">
        <v>192</v>
      </c>
      <c r="G449" s="24089"/>
      <c r="H449" s="24089"/>
      <c r="I449" s="24091"/>
      <c r="J449" s="24091"/>
      <c r="K449" s="24090" t="str">
        <f>J448&amp;".1"</f>
        <v>1.22.1.1.1.1</v>
      </c>
      <c r="L449" s="1295"/>
      <c r="M449" s="1674"/>
      <c r="N449" s="1674"/>
      <c r="O449" s="1674"/>
      <c r="P449" s="24092"/>
      <c r="Q449" s="24092"/>
      <c r="R449" s="293">
        <v>1</v>
      </c>
      <c r="S449" s="1976" t="str">
        <f>$K449</f>
        <v>1.22.1.1.1.1</v>
      </c>
      <c r="T449" s="1363"/>
      <c r="U449" s="236"/>
      <c r="V449" s="1286"/>
      <c r="W449" s="1286"/>
      <c r="X449" s="1286"/>
      <c r="Y449" s="1286"/>
      <c r="Z449" s="1286"/>
      <c r="AA449" s="1286"/>
      <c r="AB449" s="1286"/>
      <c r="AC449" s="24086"/>
      <c r="AD449" s="24085" t="s">
        <v>59</v>
      </c>
      <c r="AE449" s="24086"/>
      <c r="AF449" s="24085" t="s">
        <v>59</v>
      </c>
      <c r="AG449" s="687">
        <v>302.07</v>
      </c>
      <c r="AH449" s="687">
        <v>39.6</v>
      </c>
      <c r="AI449" s="687"/>
      <c r="AJ449" s="687"/>
      <c r="AK449" s="687">
        <v>3900.55</v>
      </c>
      <c r="AL449" s="687"/>
      <c r="AM449" s="687"/>
      <c r="AN449" s="24093">
        <v>45946.437615740739</v>
      </c>
      <c r="AO449" s="23957" t="s">
        <v>59</v>
      </c>
      <c r="AP449" s="24095">
        <v>46022.4375462963</v>
      </c>
      <c r="AQ449" s="23957" t="s">
        <v>59</v>
      </c>
      <c r="AR449" s="6310">
        <f>AG449</f>
        <v>302.07</v>
      </c>
      <c r="AS449" s="6310">
        <f>AH449</f>
        <v>39.6</v>
      </c>
      <c r="AT449" s="6310"/>
      <c r="AU449" s="6310"/>
      <c r="AV449" s="6310">
        <f>AK449</f>
        <v>3900.55</v>
      </c>
      <c r="AW449" s="6310"/>
      <c r="AX449" s="6310"/>
      <c r="AY449" s="24185">
        <v>46023.601099537038</v>
      </c>
      <c r="AZ449" s="24205" t="s">
        <v>59</v>
      </c>
      <c r="BA449" s="24207">
        <v>46295.601145833331</v>
      </c>
      <c r="BB449" s="24205" t="s">
        <v>59</v>
      </c>
      <c r="BC449" s="6310">
        <v>326.94</v>
      </c>
      <c r="BD449" s="6310">
        <v>44.35</v>
      </c>
      <c r="BE449" s="6310"/>
      <c r="BF449" s="6310"/>
      <c r="BG449" s="687">
        <v>4199.6099999999997</v>
      </c>
      <c r="BH449" s="6310"/>
      <c r="BI449" s="6310"/>
      <c r="BJ449" s="24185">
        <v>46296.601319444446</v>
      </c>
      <c r="BK449" s="24205" t="s">
        <v>59</v>
      </c>
      <c r="BL449" s="24207">
        <v>46387.601423611108</v>
      </c>
      <c r="BM449" s="24205" t="s">
        <v>6</v>
      </c>
      <c r="BN449" s="1286"/>
      <c r="BO449" s="1286"/>
      <c r="BP449" s="6354"/>
      <c r="BQ449" s="6354"/>
      <c r="BR449" s="1286"/>
      <c r="BS449" s="6354"/>
      <c r="BT449" s="6354"/>
      <c r="BU449" s="24210"/>
      <c r="BV449" s="24208" t="s">
        <v>59</v>
      </c>
      <c r="BW449" s="24210"/>
      <c r="BX449" s="24208" t="s">
        <v>59</v>
      </c>
      <c r="BY449" s="6354"/>
      <c r="BZ449" s="6354"/>
      <c r="CA449" s="6354"/>
      <c r="CB449" s="6354"/>
      <c r="CC449" s="6354"/>
      <c r="CD449" s="6354"/>
      <c r="CE449" s="6354"/>
      <c r="CF449" s="24210"/>
      <c r="CG449" s="24208" t="s">
        <v>59</v>
      </c>
      <c r="CH449" s="24210"/>
      <c r="CI449" s="24208" t="s">
        <v>59</v>
      </c>
      <c r="CJ449" s="6354"/>
      <c r="CK449" s="6354"/>
      <c r="CL449" s="6354"/>
      <c r="CM449" s="6354"/>
      <c r="CN449" s="6354"/>
      <c r="CO449" s="6354"/>
      <c r="CP449" s="6354"/>
      <c r="CQ449" s="24210"/>
      <c r="CR449" s="24208" t="s">
        <v>59</v>
      </c>
      <c r="CS449" s="24210"/>
      <c r="CT449" s="24208" t="s">
        <v>59</v>
      </c>
      <c r="CU449" s="6354"/>
      <c r="CV449" s="6354"/>
      <c r="CW449" s="6354"/>
      <c r="CX449" s="6354"/>
      <c r="CY449" s="6354"/>
      <c r="CZ449" s="6354"/>
      <c r="DA449" s="6354"/>
      <c r="DB449" s="24210"/>
      <c r="DC449" s="24208" t="s">
        <v>59</v>
      </c>
      <c r="DD449" s="24210"/>
      <c r="DE449" s="24208" t="s">
        <v>59</v>
      </c>
      <c r="DF449" s="6354"/>
      <c r="DG449" s="6354"/>
      <c r="DH449" s="6354"/>
      <c r="DI449" s="6354"/>
      <c r="DJ449" s="6354"/>
      <c r="DK449" s="6354"/>
      <c r="DL449" s="6354"/>
      <c r="DM449" s="24210"/>
      <c r="DN449" s="24208" t="s">
        <v>59</v>
      </c>
      <c r="DO449" s="24210"/>
      <c r="DP449" s="24208" t="s">
        <v>59</v>
      </c>
      <c r="DQ449" s="6354"/>
      <c r="DR449" s="6354"/>
      <c r="DS449" s="6354"/>
      <c r="DT449" s="6354"/>
      <c r="DU449" s="6354"/>
      <c r="DV449" s="6354"/>
      <c r="DW449" s="6354"/>
      <c r="DX449" s="24210"/>
      <c r="DY449" s="24208" t="s">
        <v>59</v>
      </c>
      <c r="DZ449" s="24210"/>
      <c r="EA449" s="24208" t="s">
        <v>59</v>
      </c>
      <c r="EB449" s="6354"/>
      <c r="EC449" s="6354"/>
      <c r="ED449" s="6354"/>
      <c r="EE449" s="6354"/>
      <c r="EF449" s="6354"/>
      <c r="EG449" s="6354"/>
      <c r="EH449" s="6354"/>
      <c r="EI449" s="24210"/>
      <c r="EJ449" s="24208" t="s">
        <v>59</v>
      </c>
      <c r="EK449" s="24210"/>
      <c r="EL449" s="24208" t="s">
        <v>59</v>
      </c>
      <c r="EM449" s="1286"/>
      <c r="EN449" s="1286"/>
      <c r="EO449" s="6354"/>
      <c r="EP449" s="6354"/>
      <c r="EQ449" s="1286"/>
      <c r="ER449" s="6354"/>
      <c r="ES449" s="6354"/>
      <c r="ET449" s="24210"/>
      <c r="EU449" s="24208" t="s">
        <v>59</v>
      </c>
      <c r="EV449" s="24210"/>
      <c r="EW449" s="24208" t="s">
        <v>59</v>
      </c>
      <c r="EX449" s="1286"/>
      <c r="EY449" s="1286"/>
      <c r="EZ449" s="6354"/>
      <c r="FA449" s="6354"/>
      <c r="FB449" s="1286"/>
      <c r="FC449" s="6354"/>
      <c r="FD449" s="6354"/>
      <c r="FE449" s="24210"/>
      <c r="FF449" s="24208" t="s">
        <v>59</v>
      </c>
      <c r="FG449" s="24210"/>
      <c r="FH449" s="24208" t="s">
        <v>59</v>
      </c>
      <c r="FI449" s="1286"/>
      <c r="FJ449" s="1286"/>
      <c r="FK449" s="1286"/>
      <c r="FL449" s="1286"/>
      <c r="FM449" s="1286"/>
      <c r="FN449" s="1286"/>
      <c r="FO449" s="1286"/>
      <c r="FP449" s="24086"/>
      <c r="FQ449" s="24085" t="s">
        <v>59</v>
      </c>
      <c r="FR449" s="24086"/>
      <c r="FS449" s="24085" t="s">
        <v>59</v>
      </c>
      <c r="FT449" s="1364"/>
      <c r="FU44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49" s="1568" t="e">
        <f ca="1">STRCHECKDATE(V450:FT450)</f>
        <v>#NAME?</v>
      </c>
      <c r="FW449" s="1550"/>
      <c r="FX449" s="1550" t="str">
        <f t="shared" si="7"/>
        <v/>
      </c>
      <c r="FY449" s="1550"/>
      <c r="FZ449" s="1550"/>
      <c r="GA449" s="1561">
        <v>0</v>
      </c>
    </row>
    <row r="450" spans="1:183" s="1747" customFormat="1" ht="14.25" customHeight="1">
      <c r="A450" s="1289"/>
      <c r="B450" s="1289"/>
      <c r="C450" s="1289"/>
      <c r="D450" s="1289"/>
      <c r="E450" s="24089"/>
      <c r="F450" s="24089" t="s">
        <v>192</v>
      </c>
      <c r="G450" s="24089"/>
      <c r="H450" s="24089"/>
      <c r="I450" s="24091"/>
      <c r="J450" s="24091"/>
      <c r="K450" s="24090"/>
      <c r="L450" s="1295"/>
      <c r="M450" s="1674"/>
      <c r="N450" s="1674"/>
      <c r="O450" s="1674"/>
      <c r="P450" s="24092"/>
      <c r="Q450" s="24092"/>
      <c r="R450" s="293"/>
      <c r="S450" s="1982"/>
      <c r="T450" s="236"/>
      <c r="U450" s="236"/>
      <c r="V450" s="1286"/>
      <c r="W450" s="1286"/>
      <c r="X450" s="1286"/>
      <c r="Y450" s="1286"/>
      <c r="Z450" s="1286"/>
      <c r="AA450" s="1286"/>
      <c r="AB450" s="1286"/>
      <c r="AC450" s="24085"/>
      <c r="AD450" s="24085"/>
      <c r="AE450" s="24085"/>
      <c r="AF450" s="24085"/>
      <c r="AG450" s="261"/>
      <c r="AH450" s="261"/>
      <c r="AI450" s="261"/>
      <c r="AJ450" s="261"/>
      <c r="AK450" s="261"/>
      <c r="AL450" s="261"/>
      <c r="AM450" s="261"/>
      <c r="AN450" s="24094"/>
      <c r="AO450" s="23957"/>
      <c r="AP450" s="24096"/>
      <c r="AQ450" s="23957"/>
      <c r="AR450" s="6311"/>
      <c r="AS450" s="6311"/>
      <c r="AT450" s="6311"/>
      <c r="AU450" s="6311"/>
      <c r="AV450" s="6311"/>
      <c r="AW450" s="6311"/>
      <c r="AX450" s="6311"/>
      <c r="AY450" s="24186"/>
      <c r="AZ450" s="24205"/>
      <c r="BA450" s="24209"/>
      <c r="BB450" s="24205"/>
      <c r="BC450" s="6311"/>
      <c r="BD450" s="6311"/>
      <c r="BE450" s="6311"/>
      <c r="BF450" s="6311"/>
      <c r="BG450" s="261"/>
      <c r="BH450" s="6311"/>
      <c r="BI450" s="6311"/>
      <c r="BJ450" s="24186"/>
      <c r="BK450" s="24205"/>
      <c r="BL450" s="24209"/>
      <c r="BM450" s="24205"/>
      <c r="BN450" s="1286"/>
      <c r="BO450" s="1286"/>
      <c r="BP450" s="6354"/>
      <c r="BQ450" s="6354"/>
      <c r="BR450" s="1286"/>
      <c r="BS450" s="6354"/>
      <c r="BT450" s="6354"/>
      <c r="BU450" s="24208"/>
      <c r="BV450" s="24208"/>
      <c r="BW450" s="24208"/>
      <c r="BX450" s="24208"/>
      <c r="BY450" s="6354"/>
      <c r="BZ450" s="6354"/>
      <c r="CA450" s="6354"/>
      <c r="CB450" s="6354"/>
      <c r="CC450" s="6354"/>
      <c r="CD450" s="6354"/>
      <c r="CE450" s="6354"/>
      <c r="CF450" s="24208"/>
      <c r="CG450" s="24208"/>
      <c r="CH450" s="24208"/>
      <c r="CI450" s="24208"/>
      <c r="CJ450" s="6354"/>
      <c r="CK450" s="6354"/>
      <c r="CL450" s="6354"/>
      <c r="CM450" s="6354"/>
      <c r="CN450" s="6354"/>
      <c r="CO450" s="6354"/>
      <c r="CP450" s="6354"/>
      <c r="CQ450" s="24208"/>
      <c r="CR450" s="24208"/>
      <c r="CS450" s="24208"/>
      <c r="CT450" s="24208"/>
      <c r="CU450" s="6354"/>
      <c r="CV450" s="6354"/>
      <c r="CW450" s="6354"/>
      <c r="CX450" s="6354"/>
      <c r="CY450" s="6354"/>
      <c r="CZ450" s="6354"/>
      <c r="DA450" s="6354"/>
      <c r="DB450" s="24208"/>
      <c r="DC450" s="24208"/>
      <c r="DD450" s="24208"/>
      <c r="DE450" s="24208"/>
      <c r="DF450" s="6354"/>
      <c r="DG450" s="6354"/>
      <c r="DH450" s="6354"/>
      <c r="DI450" s="6354"/>
      <c r="DJ450" s="6354"/>
      <c r="DK450" s="6354"/>
      <c r="DL450" s="6354"/>
      <c r="DM450" s="24208"/>
      <c r="DN450" s="24208"/>
      <c r="DO450" s="24208"/>
      <c r="DP450" s="24208"/>
      <c r="DQ450" s="6354"/>
      <c r="DR450" s="6354"/>
      <c r="DS450" s="6354"/>
      <c r="DT450" s="6354"/>
      <c r="DU450" s="6354"/>
      <c r="DV450" s="6354"/>
      <c r="DW450" s="6354"/>
      <c r="DX450" s="24208"/>
      <c r="DY450" s="24208"/>
      <c r="DZ450" s="24208"/>
      <c r="EA450" s="24208"/>
      <c r="EB450" s="6354"/>
      <c r="EC450" s="6354"/>
      <c r="ED450" s="6354"/>
      <c r="EE450" s="6354"/>
      <c r="EF450" s="6354"/>
      <c r="EG450" s="6354"/>
      <c r="EH450" s="6354"/>
      <c r="EI450" s="24208"/>
      <c r="EJ450" s="24208"/>
      <c r="EK450" s="24208"/>
      <c r="EL450" s="24208"/>
      <c r="EM450" s="1286"/>
      <c r="EN450" s="1286"/>
      <c r="EO450" s="6354"/>
      <c r="EP450" s="6354"/>
      <c r="EQ450" s="1286"/>
      <c r="ER450" s="6354"/>
      <c r="ES450" s="6354"/>
      <c r="ET450" s="24208"/>
      <c r="EU450" s="24208"/>
      <c r="EV450" s="24208"/>
      <c r="EW450" s="24208"/>
      <c r="EX450" s="1286"/>
      <c r="EY450" s="1286"/>
      <c r="EZ450" s="6354"/>
      <c r="FA450" s="6354"/>
      <c r="FB450" s="1286"/>
      <c r="FC450" s="6354"/>
      <c r="FD450" s="6354"/>
      <c r="FE450" s="24208"/>
      <c r="FF450" s="24208"/>
      <c r="FG450" s="24208"/>
      <c r="FH450" s="24208"/>
      <c r="FI450" s="1286"/>
      <c r="FJ450" s="1286"/>
      <c r="FK450" s="1286"/>
      <c r="FL450" s="1286"/>
      <c r="FM450" s="1286"/>
      <c r="FN450" s="1286"/>
      <c r="FO450" s="1286"/>
      <c r="FP450" s="24085"/>
      <c r="FQ450" s="24085"/>
      <c r="FR450" s="24085"/>
      <c r="FS450" s="24085"/>
      <c r="FT450" s="1365"/>
      <c r="FU450" s="24162"/>
      <c r="FV450" s="1568"/>
      <c r="FW450" s="1550"/>
      <c r="FX450" s="1550" t="str">
        <f t="shared" si="7"/>
        <v/>
      </c>
      <c r="FY450" s="1550"/>
      <c r="FZ450" s="1550"/>
      <c r="GA450" s="1561">
        <v>0</v>
      </c>
    </row>
    <row r="451" spans="1:183" s="1747" customFormat="1" ht="21" customHeight="1">
      <c r="A451" s="1289"/>
      <c r="B451" s="1289"/>
      <c r="C451" s="1289"/>
      <c r="D451" s="1289"/>
      <c r="E451" s="24089"/>
      <c r="F451" s="24089" t="s">
        <v>192</v>
      </c>
      <c r="G451" s="24089"/>
      <c r="H451" s="24089"/>
      <c r="I451" s="24091"/>
      <c r="J451" s="24090"/>
      <c r="K451" s="1289"/>
      <c r="L451" s="1295"/>
      <c r="M451" s="1674"/>
      <c r="N451" s="1674"/>
      <c r="O451" s="1674"/>
      <c r="P451" s="24092"/>
      <c r="Q451" s="24092"/>
      <c r="R451" s="292"/>
      <c r="S451" s="5908"/>
      <c r="T451" s="5909" t="s">
        <v>712</v>
      </c>
      <c r="U451" s="5910"/>
      <c r="V451" s="5911"/>
      <c r="W451" s="5912"/>
      <c r="X451" s="5913"/>
      <c r="Y451" s="5914"/>
      <c r="Z451" s="5915"/>
      <c r="AA451" s="5916"/>
      <c r="AB451" s="5917"/>
      <c r="AC451" s="5918"/>
      <c r="AD451" s="5919"/>
      <c r="AE451" s="5920"/>
      <c r="AF451" s="5921"/>
      <c r="AG451" s="5922"/>
      <c r="AH451" s="5923"/>
      <c r="AI451" s="5924"/>
      <c r="AJ451" s="5925"/>
      <c r="AK451" s="5926"/>
      <c r="AL451" s="5927"/>
      <c r="AM451" s="5928"/>
      <c r="AN451" s="5929"/>
      <c r="AO451" s="5930"/>
      <c r="AP451" s="5931"/>
      <c r="AQ451" s="5932"/>
      <c r="AR451" s="8062"/>
      <c r="AS451" s="8063"/>
      <c r="AT451" s="8064"/>
      <c r="AU451" s="8065"/>
      <c r="AV451" s="8066"/>
      <c r="AW451" s="8067"/>
      <c r="AX451" s="8068"/>
      <c r="AY451" s="8069"/>
      <c r="AZ451" s="8070"/>
      <c r="BA451" s="8071"/>
      <c r="BB451" s="8072"/>
      <c r="BC451" s="8073"/>
      <c r="BD451" s="8074"/>
      <c r="BE451" s="20246"/>
      <c r="BF451" s="20247"/>
      <c r="BG451" s="21942"/>
      <c r="BH451" s="20248"/>
      <c r="BI451" s="20249"/>
      <c r="BJ451" s="20250"/>
      <c r="BK451" s="20251"/>
      <c r="BL451" s="20252"/>
      <c r="BM451" s="20253"/>
      <c r="BN451" s="5933"/>
      <c r="BO451" s="5934"/>
      <c r="BP451" s="20254"/>
      <c r="BQ451" s="20255"/>
      <c r="BR451" s="5935"/>
      <c r="BS451" s="20256"/>
      <c r="BT451" s="20257"/>
      <c r="BU451" s="20258"/>
      <c r="BV451" s="20259"/>
      <c r="BW451" s="20260"/>
      <c r="BX451" s="20261"/>
      <c r="BY451" s="20262"/>
      <c r="BZ451" s="20263"/>
      <c r="CA451" s="20264"/>
      <c r="CB451" s="20265"/>
      <c r="CC451" s="20266"/>
      <c r="CD451" s="20267"/>
      <c r="CE451" s="20268"/>
      <c r="CF451" s="20269"/>
      <c r="CG451" s="20270"/>
      <c r="CH451" s="20271"/>
      <c r="CI451" s="20272"/>
      <c r="CJ451" s="20273"/>
      <c r="CK451" s="20274"/>
      <c r="CL451" s="20275"/>
      <c r="CM451" s="20276"/>
      <c r="CN451" s="20277"/>
      <c r="CO451" s="20278"/>
      <c r="CP451" s="20279"/>
      <c r="CQ451" s="20280"/>
      <c r="CR451" s="20281"/>
      <c r="CS451" s="20282"/>
      <c r="CT451" s="20283"/>
      <c r="CU451" s="20284"/>
      <c r="CV451" s="20285"/>
      <c r="CW451" s="20286"/>
      <c r="CX451" s="20287"/>
      <c r="CY451" s="20288"/>
      <c r="CZ451" s="20289"/>
      <c r="DA451" s="20290"/>
      <c r="DB451" s="20291"/>
      <c r="DC451" s="20292"/>
      <c r="DD451" s="20293"/>
      <c r="DE451" s="20294"/>
      <c r="DF451" s="20295"/>
      <c r="DG451" s="20296"/>
      <c r="DH451" s="20297"/>
      <c r="DI451" s="20298"/>
      <c r="DJ451" s="20299"/>
      <c r="DK451" s="20300"/>
      <c r="DL451" s="20301"/>
      <c r="DM451" s="20302"/>
      <c r="DN451" s="20303"/>
      <c r="DO451" s="20304"/>
      <c r="DP451" s="20305"/>
      <c r="DQ451" s="20306"/>
      <c r="DR451" s="20307"/>
      <c r="DS451" s="20308"/>
      <c r="DT451" s="20309"/>
      <c r="DU451" s="20310"/>
      <c r="DV451" s="20311"/>
      <c r="DW451" s="20312"/>
      <c r="DX451" s="20313"/>
      <c r="DY451" s="20314"/>
      <c r="DZ451" s="20315"/>
      <c r="EA451" s="20316"/>
      <c r="EB451" s="20317"/>
      <c r="EC451" s="20318"/>
      <c r="ED451" s="20319"/>
      <c r="EE451" s="20320"/>
      <c r="EF451" s="20321"/>
      <c r="EG451" s="20322"/>
      <c r="EH451" s="20323"/>
      <c r="EI451" s="20324"/>
      <c r="EJ451" s="20325"/>
      <c r="EK451" s="20326"/>
      <c r="EL451" s="20327"/>
      <c r="EM451" s="21782"/>
      <c r="EN451" s="21783"/>
      <c r="EO451" s="20328"/>
      <c r="EP451" s="20329"/>
      <c r="EQ451" s="21784"/>
      <c r="ER451" s="20330"/>
      <c r="ES451" s="20331"/>
      <c r="ET451" s="20332"/>
      <c r="EU451" s="20333"/>
      <c r="EV451" s="20334"/>
      <c r="EW451" s="20335"/>
      <c r="EX451" s="5936"/>
      <c r="EY451" s="5937"/>
      <c r="EZ451" s="20336"/>
      <c r="FA451" s="20337"/>
      <c r="FB451" s="5938"/>
      <c r="FC451" s="20338"/>
      <c r="FD451" s="20339"/>
      <c r="FE451" s="20340"/>
      <c r="FF451" s="20341"/>
      <c r="FG451" s="20342"/>
      <c r="FH451" s="5939"/>
      <c r="FI451" s="23142"/>
      <c r="FJ451" s="23143"/>
      <c r="FK451" s="23852"/>
      <c r="FL451" s="23853"/>
      <c r="FM451" s="23144"/>
      <c r="FN451" s="23854"/>
      <c r="FO451" s="23855"/>
      <c r="FP451" s="23145"/>
      <c r="FQ451" s="23146"/>
      <c r="FR451" s="23147"/>
      <c r="FS451" s="23856"/>
      <c r="FT451" s="5940"/>
      <c r="FU451" s="1184" t="s">
        <v>713</v>
      </c>
      <c r="FV451" s="1568"/>
      <c r="FW451" s="1550"/>
      <c r="FX451" s="1550" t="str">
        <f t="shared" si="7"/>
        <v>Добавить значение признака дифференциации</v>
      </c>
      <c r="FY451" s="1550"/>
      <c r="FZ451" s="1550"/>
      <c r="GA451" s="1561">
        <v>0</v>
      </c>
    </row>
    <row r="452" spans="1:183" s="1747" customFormat="1" ht="23.25" customHeight="1">
      <c r="A452" s="1289"/>
      <c r="B452" s="1289"/>
      <c r="C452" s="1289"/>
      <c r="D452" s="1289"/>
      <c r="E452" s="24089"/>
      <c r="F452" s="24089"/>
      <c r="G452" s="24089"/>
      <c r="H452" s="24089"/>
      <c r="I452" s="24091"/>
      <c r="J452" s="24090" t="str">
        <f>I447&amp;".2"</f>
        <v>1.22.1.1.2</v>
      </c>
      <c r="K452" s="1289"/>
      <c r="L452" s="1295" t="s">
        <v>635</v>
      </c>
      <c r="M452" s="1674"/>
      <c r="N452" s="1674"/>
      <c r="O452" s="1674"/>
      <c r="P452" s="24092"/>
      <c r="Q452" s="24206" t="s">
        <v>96</v>
      </c>
      <c r="R452" s="293"/>
      <c r="S452" s="1976" t="str">
        <f>$J452</f>
        <v>1.22.1.1.2</v>
      </c>
      <c r="T452" s="222" t="s">
        <v>636</v>
      </c>
      <c r="U452" s="236"/>
      <c r="V452" s="24076"/>
      <c r="W452" s="24077"/>
      <c r="X452" s="24077"/>
      <c r="Y452" s="24077"/>
      <c r="Z452" s="24077"/>
      <c r="AA452" s="24077"/>
      <c r="AB452" s="24077"/>
      <c r="AC452" s="24077"/>
      <c r="AD452" s="24077"/>
      <c r="AE452" s="24077"/>
      <c r="AF452" s="24078"/>
      <c r="AG452" s="24076" t="s">
        <v>771</v>
      </c>
      <c r="AH452" s="24077"/>
      <c r="AI452" s="24077"/>
      <c r="AJ452" s="24077"/>
      <c r="AK452" s="24077"/>
      <c r="AL452" s="24077"/>
      <c r="AM452" s="24077"/>
      <c r="AN452" s="24077"/>
      <c r="AO452" s="24077"/>
      <c r="AP452" s="24077"/>
      <c r="AQ452" s="24077"/>
      <c r="AR452" s="24179"/>
      <c r="AS452" s="24180"/>
      <c r="AT452" s="24180"/>
      <c r="AU452" s="24180"/>
      <c r="AV452" s="24180"/>
      <c r="AW452" s="24180"/>
      <c r="AX452" s="24180"/>
      <c r="AY452" s="24180"/>
      <c r="AZ452" s="24180"/>
      <c r="BA452" s="24180"/>
      <c r="BB452" s="24181"/>
      <c r="BC452" s="24179"/>
      <c r="BD452" s="24180"/>
      <c r="BE452" s="24180"/>
      <c r="BF452" s="24180"/>
      <c r="BG452" s="24180"/>
      <c r="BH452" s="24180"/>
      <c r="BI452" s="24180"/>
      <c r="BJ452" s="24180"/>
      <c r="BK452" s="24180"/>
      <c r="BL452" s="24180"/>
      <c r="BM452" s="24181"/>
      <c r="BN452" s="24076"/>
      <c r="BO452" s="24077"/>
      <c r="BP452" s="24180"/>
      <c r="BQ452" s="24180"/>
      <c r="BR452" s="24077"/>
      <c r="BS452" s="24180"/>
      <c r="BT452" s="24180"/>
      <c r="BU452" s="24180"/>
      <c r="BV452" s="24180"/>
      <c r="BW452" s="24180"/>
      <c r="BX452" s="24181"/>
      <c r="BY452" s="24179"/>
      <c r="BZ452" s="24180"/>
      <c r="CA452" s="24180"/>
      <c r="CB452" s="24180"/>
      <c r="CC452" s="24180"/>
      <c r="CD452" s="24180"/>
      <c r="CE452" s="24180"/>
      <c r="CF452" s="24180"/>
      <c r="CG452" s="24180"/>
      <c r="CH452" s="24180"/>
      <c r="CI452" s="24181"/>
      <c r="CJ452" s="24179"/>
      <c r="CK452" s="24180"/>
      <c r="CL452" s="24180"/>
      <c r="CM452" s="24180"/>
      <c r="CN452" s="24180"/>
      <c r="CO452" s="24180"/>
      <c r="CP452" s="24180"/>
      <c r="CQ452" s="24180"/>
      <c r="CR452" s="24180"/>
      <c r="CS452" s="24180"/>
      <c r="CT452" s="24181"/>
      <c r="CU452" s="24179"/>
      <c r="CV452" s="24180"/>
      <c r="CW452" s="24180"/>
      <c r="CX452" s="24180"/>
      <c r="CY452" s="24180"/>
      <c r="CZ452" s="24180"/>
      <c r="DA452" s="24180"/>
      <c r="DB452" s="24180"/>
      <c r="DC452" s="24180"/>
      <c r="DD452" s="24180"/>
      <c r="DE452" s="24181"/>
      <c r="DF452" s="24179"/>
      <c r="DG452" s="24180"/>
      <c r="DH452" s="24180"/>
      <c r="DI452" s="24180"/>
      <c r="DJ452" s="24180"/>
      <c r="DK452" s="24180"/>
      <c r="DL452" s="24180"/>
      <c r="DM452" s="24180"/>
      <c r="DN452" s="24180"/>
      <c r="DO452" s="24180"/>
      <c r="DP452" s="24181"/>
      <c r="DQ452" s="24179"/>
      <c r="DR452" s="24180"/>
      <c r="DS452" s="24180"/>
      <c r="DT452" s="24180"/>
      <c r="DU452" s="24180"/>
      <c r="DV452" s="24180"/>
      <c r="DW452" s="24180"/>
      <c r="DX452" s="24180"/>
      <c r="DY452" s="24180"/>
      <c r="DZ452" s="24180"/>
      <c r="EA452" s="24181"/>
      <c r="EB452" s="24179"/>
      <c r="EC452" s="24180"/>
      <c r="ED452" s="24180"/>
      <c r="EE452" s="24180"/>
      <c r="EF452" s="24180"/>
      <c r="EG452" s="24180"/>
      <c r="EH452" s="24180"/>
      <c r="EI452" s="24180"/>
      <c r="EJ452" s="24180"/>
      <c r="EK452" s="24180"/>
      <c r="EL452" s="24181"/>
      <c r="EM452" s="24179"/>
      <c r="EN452" s="24180"/>
      <c r="EO452" s="24180"/>
      <c r="EP452" s="24180"/>
      <c r="EQ452" s="24180"/>
      <c r="ER452" s="24180"/>
      <c r="ES452" s="24180"/>
      <c r="ET452" s="24180"/>
      <c r="EU452" s="24180"/>
      <c r="EV452" s="24180"/>
      <c r="EW452" s="24181"/>
      <c r="EX452" s="24076"/>
      <c r="EY452" s="24077"/>
      <c r="EZ452" s="24180"/>
      <c r="FA452" s="24180"/>
      <c r="FB452" s="24077"/>
      <c r="FC452" s="24180"/>
      <c r="FD452" s="24180"/>
      <c r="FE452" s="24180"/>
      <c r="FF452" s="24180"/>
      <c r="FG452" s="24180"/>
      <c r="FH452" s="24181"/>
      <c r="FI452" s="24076"/>
      <c r="FJ452" s="24077"/>
      <c r="FK452" s="24180"/>
      <c r="FL452" s="24180"/>
      <c r="FM452" s="24077"/>
      <c r="FN452" s="24180"/>
      <c r="FO452" s="24180"/>
      <c r="FP452" s="24077"/>
      <c r="FQ452" s="24077"/>
      <c r="FR452" s="24077"/>
      <c r="FS452" s="24181"/>
      <c r="FT452" s="24078"/>
      <c r="FU452" s="1233" t="s">
        <v>711</v>
      </c>
      <c r="FV452" s="1568"/>
      <c r="FW452" s="1550"/>
      <c r="FX452" s="1550" t="str">
        <f t="shared" si="7"/>
        <v>Группа потребителей</v>
      </c>
      <c r="FY452" s="1550"/>
      <c r="FZ452" s="1550"/>
      <c r="GA452" s="1561">
        <v>0</v>
      </c>
    </row>
    <row r="453" spans="1:183" s="1747" customFormat="1" ht="23.25" customHeight="1">
      <c r="A453" s="1289"/>
      <c r="B453" s="1289"/>
      <c r="C453" s="1289"/>
      <c r="D453" s="1289"/>
      <c r="E453" s="24089"/>
      <c r="F453" s="24089"/>
      <c r="G453" s="24089"/>
      <c r="H453" s="24089"/>
      <c r="I453" s="24091"/>
      <c r="J453" s="24091" t="str">
        <f>I447&amp;".1"</f>
        <v>1.22.1.1.1</v>
      </c>
      <c r="K453" s="24090" t="str">
        <f>J452&amp;".1"</f>
        <v>1.22.1.1.2.1</v>
      </c>
      <c r="L453" s="1295"/>
      <c r="M453" s="1674"/>
      <c r="N453" s="1674"/>
      <c r="O453" s="1674"/>
      <c r="P453" s="24092"/>
      <c r="Q453" s="24092"/>
      <c r="R453" s="293">
        <v>1</v>
      </c>
      <c r="S453" s="1976" t="str">
        <f>$K453</f>
        <v>1.22.1.1.2.1</v>
      </c>
      <c r="T453" s="1363"/>
      <c r="U453" s="236"/>
      <c r="V453" s="1286"/>
      <c r="W453" s="1286"/>
      <c r="X453" s="1286"/>
      <c r="Y453" s="1286"/>
      <c r="Z453" s="1286"/>
      <c r="AA453" s="1286"/>
      <c r="AB453" s="1286"/>
      <c r="AC453" s="24086"/>
      <c r="AD453" s="24085" t="s">
        <v>59</v>
      </c>
      <c r="AE453" s="24086"/>
      <c r="AF453" s="24085" t="s">
        <v>59</v>
      </c>
      <c r="AG453" s="687">
        <v>270.49</v>
      </c>
      <c r="AH453" s="687">
        <v>46.51</v>
      </c>
      <c r="AI453" s="687"/>
      <c r="AJ453" s="687"/>
      <c r="AK453" s="687">
        <v>3328.57</v>
      </c>
      <c r="AL453" s="687"/>
      <c r="AM453" s="687"/>
      <c r="AN453" s="24093">
        <v>45946.438935185186</v>
      </c>
      <c r="AO453" s="23957" t="s">
        <v>59</v>
      </c>
      <c r="AP453" s="24095">
        <v>46022.438877314817</v>
      </c>
      <c r="AQ453" s="23957" t="s">
        <v>59</v>
      </c>
      <c r="AR453" s="6310">
        <v>275.07</v>
      </c>
      <c r="AS453" s="6310">
        <v>47.29</v>
      </c>
      <c r="AT453" s="6310"/>
      <c r="AU453" s="6310"/>
      <c r="AV453" s="6310">
        <v>3385.23</v>
      </c>
      <c r="AW453" s="6310"/>
      <c r="AX453" s="6310"/>
      <c r="AY453" s="24185">
        <v>46023.601215277777</v>
      </c>
      <c r="AZ453" s="24205" t="s">
        <v>59</v>
      </c>
      <c r="BA453" s="24207">
        <v>46295.601261574076</v>
      </c>
      <c r="BB453" s="24205" t="s">
        <v>59</v>
      </c>
      <c r="BC453" s="6310">
        <v>308.08999999999997</v>
      </c>
      <c r="BD453" s="6310">
        <v>52.96</v>
      </c>
      <c r="BE453" s="6310"/>
      <c r="BF453" s="6310"/>
      <c r="BG453" s="687">
        <v>3791.46</v>
      </c>
      <c r="BH453" s="6310"/>
      <c r="BI453" s="6310"/>
      <c r="BJ453" s="24185">
        <v>46296.601377314815</v>
      </c>
      <c r="BK453" s="24205" t="s">
        <v>59</v>
      </c>
      <c r="BL453" s="24207">
        <v>46387.601481481484</v>
      </c>
      <c r="BM453" s="24205" t="s">
        <v>6</v>
      </c>
      <c r="BN453" s="1286"/>
      <c r="BO453" s="1286"/>
      <c r="BP453" s="6354"/>
      <c r="BQ453" s="6354"/>
      <c r="BR453" s="1286"/>
      <c r="BS453" s="6354"/>
      <c r="BT453" s="6354"/>
      <c r="BU453" s="24210"/>
      <c r="BV453" s="24208" t="s">
        <v>59</v>
      </c>
      <c r="BW453" s="24210"/>
      <c r="BX453" s="24208" t="s">
        <v>59</v>
      </c>
      <c r="BY453" s="6354"/>
      <c r="BZ453" s="6354"/>
      <c r="CA453" s="6354"/>
      <c r="CB453" s="6354"/>
      <c r="CC453" s="6354"/>
      <c r="CD453" s="6354"/>
      <c r="CE453" s="6354"/>
      <c r="CF453" s="24210"/>
      <c r="CG453" s="24208" t="s">
        <v>59</v>
      </c>
      <c r="CH453" s="24210"/>
      <c r="CI453" s="24208" t="s">
        <v>59</v>
      </c>
      <c r="CJ453" s="6354"/>
      <c r="CK453" s="6354"/>
      <c r="CL453" s="6354"/>
      <c r="CM453" s="6354"/>
      <c r="CN453" s="6354"/>
      <c r="CO453" s="6354"/>
      <c r="CP453" s="6354"/>
      <c r="CQ453" s="24210"/>
      <c r="CR453" s="24208" t="s">
        <v>59</v>
      </c>
      <c r="CS453" s="24210"/>
      <c r="CT453" s="24208" t="s">
        <v>59</v>
      </c>
      <c r="CU453" s="6354"/>
      <c r="CV453" s="6354"/>
      <c r="CW453" s="6354"/>
      <c r="CX453" s="6354"/>
      <c r="CY453" s="6354"/>
      <c r="CZ453" s="6354"/>
      <c r="DA453" s="6354"/>
      <c r="DB453" s="24210"/>
      <c r="DC453" s="24208" t="s">
        <v>59</v>
      </c>
      <c r="DD453" s="24210"/>
      <c r="DE453" s="24208" t="s">
        <v>59</v>
      </c>
      <c r="DF453" s="6354"/>
      <c r="DG453" s="6354"/>
      <c r="DH453" s="6354"/>
      <c r="DI453" s="6354"/>
      <c r="DJ453" s="6354"/>
      <c r="DK453" s="6354"/>
      <c r="DL453" s="6354"/>
      <c r="DM453" s="24210"/>
      <c r="DN453" s="24208" t="s">
        <v>59</v>
      </c>
      <c r="DO453" s="24210"/>
      <c r="DP453" s="24208" t="s">
        <v>59</v>
      </c>
      <c r="DQ453" s="6354"/>
      <c r="DR453" s="6354"/>
      <c r="DS453" s="6354"/>
      <c r="DT453" s="6354"/>
      <c r="DU453" s="6354"/>
      <c r="DV453" s="6354"/>
      <c r="DW453" s="6354"/>
      <c r="DX453" s="24210"/>
      <c r="DY453" s="24208" t="s">
        <v>59</v>
      </c>
      <c r="DZ453" s="24210"/>
      <c r="EA453" s="24208" t="s">
        <v>59</v>
      </c>
      <c r="EB453" s="6354"/>
      <c r="EC453" s="6354"/>
      <c r="ED453" s="6354"/>
      <c r="EE453" s="6354"/>
      <c r="EF453" s="6354"/>
      <c r="EG453" s="6354"/>
      <c r="EH453" s="6354"/>
      <c r="EI453" s="24210"/>
      <c r="EJ453" s="24208" t="s">
        <v>59</v>
      </c>
      <c r="EK453" s="24210"/>
      <c r="EL453" s="24208" t="s">
        <v>59</v>
      </c>
      <c r="EM453" s="1286"/>
      <c r="EN453" s="1286"/>
      <c r="EO453" s="6354"/>
      <c r="EP453" s="6354"/>
      <c r="EQ453" s="1286"/>
      <c r="ER453" s="6354"/>
      <c r="ES453" s="6354"/>
      <c r="ET453" s="24210"/>
      <c r="EU453" s="24208" t="s">
        <v>59</v>
      </c>
      <c r="EV453" s="24210"/>
      <c r="EW453" s="24208" t="s">
        <v>59</v>
      </c>
      <c r="EX453" s="1286"/>
      <c r="EY453" s="1286"/>
      <c r="EZ453" s="6354"/>
      <c r="FA453" s="6354"/>
      <c r="FB453" s="1286"/>
      <c r="FC453" s="6354"/>
      <c r="FD453" s="6354"/>
      <c r="FE453" s="24210"/>
      <c r="FF453" s="24208" t="s">
        <v>59</v>
      </c>
      <c r="FG453" s="24210"/>
      <c r="FH453" s="24208" t="s">
        <v>59</v>
      </c>
      <c r="FI453" s="1286"/>
      <c r="FJ453" s="1286"/>
      <c r="FK453" s="1286"/>
      <c r="FL453" s="1286"/>
      <c r="FM453" s="1286"/>
      <c r="FN453" s="1286"/>
      <c r="FO453" s="1286"/>
      <c r="FP453" s="24086"/>
      <c r="FQ453" s="24085" t="s">
        <v>59</v>
      </c>
      <c r="FR453" s="24086"/>
      <c r="FS453" s="24085" t="s">
        <v>59</v>
      </c>
      <c r="FT453" s="1364"/>
      <c r="FU45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53" s="1568" t="e">
        <f ca="1">STRCHECKDATE(V454:FT454)</f>
        <v>#NAME?</v>
      </c>
      <c r="FW453" s="1550"/>
      <c r="FX453" s="1550" t="str">
        <f t="shared" si="7"/>
        <v/>
      </c>
      <c r="FY453" s="1550"/>
      <c r="FZ453" s="1550"/>
      <c r="GA453" s="1561">
        <v>0</v>
      </c>
    </row>
    <row r="454" spans="1:183" s="1747" customFormat="1" ht="14.25" customHeight="1">
      <c r="A454" s="1289"/>
      <c r="B454" s="1289"/>
      <c r="C454" s="1289"/>
      <c r="D454" s="1289"/>
      <c r="E454" s="24089"/>
      <c r="F454" s="24089"/>
      <c r="G454" s="24089"/>
      <c r="H454" s="24089"/>
      <c r="I454" s="24091"/>
      <c r="J454" s="24091" t="str">
        <f>I447&amp;".1"</f>
        <v>1.22.1.1.1</v>
      </c>
      <c r="K454" s="24090"/>
      <c r="L454" s="1295"/>
      <c r="M454" s="1674"/>
      <c r="N454" s="1674"/>
      <c r="O454" s="1674"/>
      <c r="P454" s="24092"/>
      <c r="Q454" s="24092"/>
      <c r="R454" s="293"/>
      <c r="S454" s="1982"/>
      <c r="T454" s="236"/>
      <c r="U454" s="236"/>
      <c r="V454" s="1286"/>
      <c r="W454" s="1286"/>
      <c r="X454" s="1286"/>
      <c r="Y454" s="1286"/>
      <c r="Z454" s="1286"/>
      <c r="AA454" s="1286"/>
      <c r="AB454" s="1286"/>
      <c r="AC454" s="24085"/>
      <c r="AD454" s="24085"/>
      <c r="AE454" s="24085"/>
      <c r="AF454" s="24085"/>
      <c r="AG454" s="261"/>
      <c r="AH454" s="261"/>
      <c r="AI454" s="261"/>
      <c r="AJ454" s="261"/>
      <c r="AK454" s="261"/>
      <c r="AL454" s="261"/>
      <c r="AM454" s="261"/>
      <c r="AN454" s="24094"/>
      <c r="AO454" s="23957"/>
      <c r="AP454" s="24096"/>
      <c r="AQ454" s="23957"/>
      <c r="AR454" s="6311"/>
      <c r="AS454" s="6311"/>
      <c r="AT454" s="6311"/>
      <c r="AU454" s="6311"/>
      <c r="AV454" s="6311"/>
      <c r="AW454" s="6311"/>
      <c r="AX454" s="6311"/>
      <c r="AY454" s="24186"/>
      <c r="AZ454" s="24205"/>
      <c r="BA454" s="24209"/>
      <c r="BB454" s="24205"/>
      <c r="BC454" s="6311"/>
      <c r="BD454" s="6311"/>
      <c r="BE454" s="6311"/>
      <c r="BF454" s="6311"/>
      <c r="BG454" s="261"/>
      <c r="BH454" s="6311"/>
      <c r="BI454" s="6311"/>
      <c r="BJ454" s="24186"/>
      <c r="BK454" s="24205"/>
      <c r="BL454" s="24209"/>
      <c r="BM454" s="24205"/>
      <c r="BN454" s="1286"/>
      <c r="BO454" s="1286"/>
      <c r="BP454" s="6354"/>
      <c r="BQ454" s="6354"/>
      <c r="BR454" s="1286"/>
      <c r="BS454" s="6354"/>
      <c r="BT454" s="6354"/>
      <c r="BU454" s="24208"/>
      <c r="BV454" s="24208"/>
      <c r="BW454" s="24208"/>
      <c r="BX454" s="24208"/>
      <c r="BY454" s="6354"/>
      <c r="BZ454" s="6354"/>
      <c r="CA454" s="6354"/>
      <c r="CB454" s="6354"/>
      <c r="CC454" s="6354"/>
      <c r="CD454" s="6354"/>
      <c r="CE454" s="6354"/>
      <c r="CF454" s="24208"/>
      <c r="CG454" s="24208"/>
      <c r="CH454" s="24208"/>
      <c r="CI454" s="24208"/>
      <c r="CJ454" s="6354"/>
      <c r="CK454" s="6354"/>
      <c r="CL454" s="6354"/>
      <c r="CM454" s="6354"/>
      <c r="CN454" s="6354"/>
      <c r="CO454" s="6354"/>
      <c r="CP454" s="6354"/>
      <c r="CQ454" s="24208"/>
      <c r="CR454" s="24208"/>
      <c r="CS454" s="24208"/>
      <c r="CT454" s="24208"/>
      <c r="CU454" s="6354"/>
      <c r="CV454" s="6354"/>
      <c r="CW454" s="6354"/>
      <c r="CX454" s="6354"/>
      <c r="CY454" s="6354"/>
      <c r="CZ454" s="6354"/>
      <c r="DA454" s="6354"/>
      <c r="DB454" s="24208"/>
      <c r="DC454" s="24208"/>
      <c r="DD454" s="24208"/>
      <c r="DE454" s="24208"/>
      <c r="DF454" s="6354"/>
      <c r="DG454" s="6354"/>
      <c r="DH454" s="6354"/>
      <c r="DI454" s="6354"/>
      <c r="DJ454" s="6354"/>
      <c r="DK454" s="6354"/>
      <c r="DL454" s="6354"/>
      <c r="DM454" s="24208"/>
      <c r="DN454" s="24208"/>
      <c r="DO454" s="24208"/>
      <c r="DP454" s="24208"/>
      <c r="DQ454" s="6354"/>
      <c r="DR454" s="6354"/>
      <c r="DS454" s="6354"/>
      <c r="DT454" s="6354"/>
      <c r="DU454" s="6354"/>
      <c r="DV454" s="6354"/>
      <c r="DW454" s="6354"/>
      <c r="DX454" s="24208"/>
      <c r="DY454" s="24208"/>
      <c r="DZ454" s="24208"/>
      <c r="EA454" s="24208"/>
      <c r="EB454" s="6354"/>
      <c r="EC454" s="6354"/>
      <c r="ED454" s="6354"/>
      <c r="EE454" s="6354"/>
      <c r="EF454" s="6354"/>
      <c r="EG454" s="6354"/>
      <c r="EH454" s="6354"/>
      <c r="EI454" s="24208"/>
      <c r="EJ454" s="24208"/>
      <c r="EK454" s="24208"/>
      <c r="EL454" s="24208"/>
      <c r="EM454" s="1286"/>
      <c r="EN454" s="1286"/>
      <c r="EO454" s="6354"/>
      <c r="EP454" s="6354"/>
      <c r="EQ454" s="1286"/>
      <c r="ER454" s="6354"/>
      <c r="ES454" s="6354"/>
      <c r="ET454" s="24208"/>
      <c r="EU454" s="24208"/>
      <c r="EV454" s="24208"/>
      <c r="EW454" s="24208"/>
      <c r="EX454" s="1286"/>
      <c r="EY454" s="1286"/>
      <c r="EZ454" s="6354"/>
      <c r="FA454" s="6354"/>
      <c r="FB454" s="1286"/>
      <c r="FC454" s="6354"/>
      <c r="FD454" s="6354"/>
      <c r="FE454" s="24208"/>
      <c r="FF454" s="24208"/>
      <c r="FG454" s="24208"/>
      <c r="FH454" s="24208"/>
      <c r="FI454" s="1286"/>
      <c r="FJ454" s="1286"/>
      <c r="FK454" s="1286"/>
      <c r="FL454" s="1286"/>
      <c r="FM454" s="1286"/>
      <c r="FN454" s="1286"/>
      <c r="FO454" s="1286"/>
      <c r="FP454" s="24085"/>
      <c r="FQ454" s="24085"/>
      <c r="FR454" s="24085"/>
      <c r="FS454" s="24085"/>
      <c r="FT454" s="1365"/>
      <c r="FU454" s="24162"/>
      <c r="FV454" s="1568"/>
      <c r="FW454" s="1550"/>
      <c r="FX454" s="1550" t="str">
        <f t="shared" si="7"/>
        <v/>
      </c>
      <c r="FY454" s="1550"/>
      <c r="FZ454" s="1550"/>
      <c r="GA454" s="1561">
        <v>0</v>
      </c>
    </row>
    <row r="455" spans="1:183" s="1747" customFormat="1" ht="21" customHeight="1">
      <c r="A455" s="1289"/>
      <c r="B455" s="1289"/>
      <c r="C455" s="1289"/>
      <c r="D455" s="1289"/>
      <c r="E455" s="24089"/>
      <c r="F455" s="24089"/>
      <c r="G455" s="24089"/>
      <c r="H455" s="24089"/>
      <c r="I455" s="24091"/>
      <c r="J455" s="24090" t="str">
        <f>I447&amp;".1"</f>
        <v>1.22.1.1.1</v>
      </c>
      <c r="K455" s="1289"/>
      <c r="L455" s="1295"/>
      <c r="M455" s="1674"/>
      <c r="N455" s="1674"/>
      <c r="O455" s="1674"/>
      <c r="P455" s="24092"/>
      <c r="Q455" s="24092"/>
      <c r="R455" s="292"/>
      <c r="S455" s="5941"/>
      <c r="T455" s="5942" t="s">
        <v>712</v>
      </c>
      <c r="U455" s="5943"/>
      <c r="V455" s="5944"/>
      <c r="W455" s="5945"/>
      <c r="X455" s="5946"/>
      <c r="Y455" s="5947"/>
      <c r="Z455" s="5948"/>
      <c r="AA455" s="5949"/>
      <c r="AB455" s="5950"/>
      <c r="AC455" s="5951"/>
      <c r="AD455" s="5952"/>
      <c r="AE455" s="5953"/>
      <c r="AF455" s="5954"/>
      <c r="AG455" s="5955"/>
      <c r="AH455" s="5956"/>
      <c r="AI455" s="5957"/>
      <c r="AJ455" s="5958"/>
      <c r="AK455" s="5959"/>
      <c r="AL455" s="5960"/>
      <c r="AM455" s="5961"/>
      <c r="AN455" s="5962"/>
      <c r="AO455" s="5963"/>
      <c r="AP455" s="5964"/>
      <c r="AQ455" s="5965"/>
      <c r="AR455" s="8075"/>
      <c r="AS455" s="8076"/>
      <c r="AT455" s="8077"/>
      <c r="AU455" s="8078"/>
      <c r="AV455" s="8079"/>
      <c r="AW455" s="8080"/>
      <c r="AX455" s="8081"/>
      <c r="AY455" s="8082"/>
      <c r="AZ455" s="8083"/>
      <c r="BA455" s="8084"/>
      <c r="BB455" s="8085"/>
      <c r="BC455" s="8086"/>
      <c r="BD455" s="8087"/>
      <c r="BE455" s="20343"/>
      <c r="BF455" s="20344"/>
      <c r="BG455" s="21943"/>
      <c r="BH455" s="20345"/>
      <c r="BI455" s="20346"/>
      <c r="BJ455" s="20347"/>
      <c r="BK455" s="20348"/>
      <c r="BL455" s="20349"/>
      <c r="BM455" s="20350"/>
      <c r="BN455" s="5966"/>
      <c r="BO455" s="5967"/>
      <c r="BP455" s="20351"/>
      <c r="BQ455" s="20352"/>
      <c r="BR455" s="5968"/>
      <c r="BS455" s="20353"/>
      <c r="BT455" s="20354"/>
      <c r="BU455" s="20355"/>
      <c r="BV455" s="20356"/>
      <c r="BW455" s="20357"/>
      <c r="BX455" s="20358"/>
      <c r="BY455" s="20359"/>
      <c r="BZ455" s="20360"/>
      <c r="CA455" s="20361"/>
      <c r="CB455" s="20362"/>
      <c r="CC455" s="20363"/>
      <c r="CD455" s="20364"/>
      <c r="CE455" s="20365"/>
      <c r="CF455" s="20366"/>
      <c r="CG455" s="20367"/>
      <c r="CH455" s="20368"/>
      <c r="CI455" s="20369"/>
      <c r="CJ455" s="20370"/>
      <c r="CK455" s="20371"/>
      <c r="CL455" s="20372"/>
      <c r="CM455" s="20373"/>
      <c r="CN455" s="20374"/>
      <c r="CO455" s="20375"/>
      <c r="CP455" s="20376"/>
      <c r="CQ455" s="20377"/>
      <c r="CR455" s="20378"/>
      <c r="CS455" s="20379"/>
      <c r="CT455" s="20380"/>
      <c r="CU455" s="20381"/>
      <c r="CV455" s="20382"/>
      <c r="CW455" s="20383"/>
      <c r="CX455" s="20384"/>
      <c r="CY455" s="20385"/>
      <c r="CZ455" s="20386"/>
      <c r="DA455" s="20387"/>
      <c r="DB455" s="20388"/>
      <c r="DC455" s="20389"/>
      <c r="DD455" s="20390"/>
      <c r="DE455" s="20391"/>
      <c r="DF455" s="20392"/>
      <c r="DG455" s="20393"/>
      <c r="DH455" s="20394"/>
      <c r="DI455" s="20395"/>
      <c r="DJ455" s="20396"/>
      <c r="DK455" s="20397"/>
      <c r="DL455" s="20398"/>
      <c r="DM455" s="20399"/>
      <c r="DN455" s="20400"/>
      <c r="DO455" s="20401"/>
      <c r="DP455" s="20402"/>
      <c r="DQ455" s="20403"/>
      <c r="DR455" s="20404"/>
      <c r="DS455" s="20405"/>
      <c r="DT455" s="20406"/>
      <c r="DU455" s="20407"/>
      <c r="DV455" s="20408"/>
      <c r="DW455" s="20409"/>
      <c r="DX455" s="20410"/>
      <c r="DY455" s="20411"/>
      <c r="DZ455" s="20412"/>
      <c r="EA455" s="20413"/>
      <c r="EB455" s="20414"/>
      <c r="EC455" s="20415"/>
      <c r="ED455" s="20416"/>
      <c r="EE455" s="20417"/>
      <c r="EF455" s="20418"/>
      <c r="EG455" s="20419"/>
      <c r="EH455" s="20420"/>
      <c r="EI455" s="20421"/>
      <c r="EJ455" s="20422"/>
      <c r="EK455" s="20423"/>
      <c r="EL455" s="20424"/>
      <c r="EM455" s="21785"/>
      <c r="EN455" s="21786"/>
      <c r="EO455" s="20425"/>
      <c r="EP455" s="20426"/>
      <c r="EQ455" s="21787"/>
      <c r="ER455" s="20427"/>
      <c r="ES455" s="20428"/>
      <c r="ET455" s="20429"/>
      <c r="EU455" s="20430"/>
      <c r="EV455" s="20431"/>
      <c r="EW455" s="20432"/>
      <c r="EX455" s="5969"/>
      <c r="EY455" s="5970"/>
      <c r="EZ455" s="20433"/>
      <c r="FA455" s="20434"/>
      <c r="FB455" s="5971"/>
      <c r="FC455" s="20435"/>
      <c r="FD455" s="20436"/>
      <c r="FE455" s="20437"/>
      <c r="FF455" s="20438"/>
      <c r="FG455" s="20439"/>
      <c r="FH455" s="5972"/>
      <c r="FI455" s="23148"/>
      <c r="FJ455" s="23149"/>
      <c r="FK455" s="23857"/>
      <c r="FL455" s="23858"/>
      <c r="FM455" s="23150"/>
      <c r="FN455" s="23859"/>
      <c r="FO455" s="23860"/>
      <c r="FP455" s="23151"/>
      <c r="FQ455" s="23152"/>
      <c r="FR455" s="23153"/>
      <c r="FS455" s="23861"/>
      <c r="FT455" s="5973"/>
      <c r="FU455" s="1184" t="s">
        <v>713</v>
      </c>
      <c r="FV455" s="1568"/>
      <c r="FW455" s="1550"/>
      <c r="FX455" s="1550" t="str">
        <f t="shared" si="7"/>
        <v>Добавить значение признака дифференциации</v>
      </c>
      <c r="FY455" s="1550"/>
      <c r="FZ455" s="1550"/>
      <c r="GA455" s="1561">
        <v>0</v>
      </c>
    </row>
    <row r="456" spans="1:183" s="1747" customFormat="1" ht="21" customHeight="1">
      <c r="A456" s="1289"/>
      <c r="B456" s="1289"/>
      <c r="C456" s="1289"/>
      <c r="D456" s="1289"/>
      <c r="E456" s="24089"/>
      <c r="F456" s="24089" t="s">
        <v>192</v>
      </c>
      <c r="G456" s="24089"/>
      <c r="H456" s="24089"/>
      <c r="I456" s="24090"/>
      <c r="J456" s="1289"/>
      <c r="K456" s="1289"/>
      <c r="L456" s="1295"/>
      <c r="M456" s="1674"/>
      <c r="N456" s="1674"/>
      <c r="O456" s="1674"/>
      <c r="P456" s="24092"/>
      <c r="Q456" s="1978"/>
      <c r="R456" s="292"/>
      <c r="S456" s="5974"/>
      <c r="T456" s="5975" t="s">
        <v>641</v>
      </c>
      <c r="U456" s="5976"/>
      <c r="V456" s="5977"/>
      <c r="W456" s="5978"/>
      <c r="X456" s="5979"/>
      <c r="Y456" s="5980"/>
      <c r="Z456" s="5981"/>
      <c r="AA456" s="5982"/>
      <c r="AB456" s="5983"/>
      <c r="AC456" s="5984"/>
      <c r="AD456" s="5985"/>
      <c r="AE456" s="5986"/>
      <c r="AF456" s="5987"/>
      <c r="AG456" s="5988"/>
      <c r="AH456" s="5989"/>
      <c r="AI456" s="5990"/>
      <c r="AJ456" s="5991"/>
      <c r="AK456" s="5992"/>
      <c r="AL456" s="5993"/>
      <c r="AM456" s="5994"/>
      <c r="AN456" s="5995"/>
      <c r="AO456" s="5996"/>
      <c r="AP456" s="5997"/>
      <c r="AQ456" s="5998"/>
      <c r="AR456" s="8088"/>
      <c r="AS456" s="8089"/>
      <c r="AT456" s="8090"/>
      <c r="AU456" s="8091"/>
      <c r="AV456" s="8092"/>
      <c r="AW456" s="8093"/>
      <c r="AX456" s="8094"/>
      <c r="AY456" s="8095"/>
      <c r="AZ456" s="8096"/>
      <c r="BA456" s="8097"/>
      <c r="BB456" s="8098"/>
      <c r="BC456" s="8099"/>
      <c r="BD456" s="8100"/>
      <c r="BE456" s="20440"/>
      <c r="BF456" s="20441"/>
      <c r="BG456" s="21944"/>
      <c r="BH456" s="20442"/>
      <c r="BI456" s="20443"/>
      <c r="BJ456" s="20444"/>
      <c r="BK456" s="20445"/>
      <c r="BL456" s="20446"/>
      <c r="BM456" s="20447"/>
      <c r="BN456" s="5999"/>
      <c r="BO456" s="6000"/>
      <c r="BP456" s="20448"/>
      <c r="BQ456" s="20449"/>
      <c r="BR456" s="6001"/>
      <c r="BS456" s="20450"/>
      <c r="BT456" s="20451"/>
      <c r="BU456" s="20452"/>
      <c r="BV456" s="20453"/>
      <c r="BW456" s="20454"/>
      <c r="BX456" s="20455"/>
      <c r="BY456" s="20456"/>
      <c r="BZ456" s="20457"/>
      <c r="CA456" s="20458"/>
      <c r="CB456" s="20459"/>
      <c r="CC456" s="20460"/>
      <c r="CD456" s="20461"/>
      <c r="CE456" s="20462"/>
      <c r="CF456" s="20463"/>
      <c r="CG456" s="20464"/>
      <c r="CH456" s="20465"/>
      <c r="CI456" s="20466"/>
      <c r="CJ456" s="20467"/>
      <c r="CK456" s="20468"/>
      <c r="CL456" s="20469"/>
      <c r="CM456" s="20470"/>
      <c r="CN456" s="20471"/>
      <c r="CO456" s="20472"/>
      <c r="CP456" s="20473"/>
      <c r="CQ456" s="20474"/>
      <c r="CR456" s="20475"/>
      <c r="CS456" s="20476"/>
      <c r="CT456" s="20477"/>
      <c r="CU456" s="20478"/>
      <c r="CV456" s="20479"/>
      <c r="CW456" s="20480"/>
      <c r="CX456" s="20481"/>
      <c r="CY456" s="20482"/>
      <c r="CZ456" s="20483"/>
      <c r="DA456" s="20484"/>
      <c r="DB456" s="20485"/>
      <c r="DC456" s="20486"/>
      <c r="DD456" s="20487"/>
      <c r="DE456" s="20488"/>
      <c r="DF456" s="20489"/>
      <c r="DG456" s="20490"/>
      <c r="DH456" s="20491"/>
      <c r="DI456" s="20492"/>
      <c r="DJ456" s="20493"/>
      <c r="DK456" s="20494"/>
      <c r="DL456" s="20495"/>
      <c r="DM456" s="20496"/>
      <c r="DN456" s="20497"/>
      <c r="DO456" s="20498"/>
      <c r="DP456" s="20499"/>
      <c r="DQ456" s="20500"/>
      <c r="DR456" s="20501"/>
      <c r="DS456" s="20502"/>
      <c r="DT456" s="20503"/>
      <c r="DU456" s="20504"/>
      <c r="DV456" s="20505"/>
      <c r="DW456" s="20506"/>
      <c r="DX456" s="20507"/>
      <c r="DY456" s="20508"/>
      <c r="DZ456" s="20509"/>
      <c r="EA456" s="20510"/>
      <c r="EB456" s="20511"/>
      <c r="EC456" s="20512"/>
      <c r="ED456" s="20513"/>
      <c r="EE456" s="20514"/>
      <c r="EF456" s="20515"/>
      <c r="EG456" s="20516"/>
      <c r="EH456" s="20517"/>
      <c r="EI456" s="20518"/>
      <c r="EJ456" s="20519"/>
      <c r="EK456" s="20520"/>
      <c r="EL456" s="20521"/>
      <c r="EM456" s="21788"/>
      <c r="EN456" s="21789"/>
      <c r="EO456" s="20522"/>
      <c r="EP456" s="20523"/>
      <c r="EQ456" s="21790"/>
      <c r="ER456" s="20524"/>
      <c r="ES456" s="20525"/>
      <c r="ET456" s="20526"/>
      <c r="EU456" s="20527"/>
      <c r="EV456" s="20528"/>
      <c r="EW456" s="20529"/>
      <c r="EX456" s="6002"/>
      <c r="EY456" s="6003"/>
      <c r="EZ456" s="20530"/>
      <c r="FA456" s="20531"/>
      <c r="FB456" s="6004"/>
      <c r="FC456" s="20532"/>
      <c r="FD456" s="20533"/>
      <c r="FE456" s="20534"/>
      <c r="FF456" s="20535"/>
      <c r="FG456" s="20536"/>
      <c r="FH456" s="6005"/>
      <c r="FI456" s="23154"/>
      <c r="FJ456" s="23155"/>
      <c r="FK456" s="23862"/>
      <c r="FL456" s="23863"/>
      <c r="FM456" s="23156"/>
      <c r="FN456" s="23864"/>
      <c r="FO456" s="23865"/>
      <c r="FP456" s="23157"/>
      <c r="FQ456" s="23158"/>
      <c r="FR456" s="23159"/>
      <c r="FS456" s="23866"/>
      <c r="FT456" s="6006"/>
      <c r="FU456" s="6007"/>
      <c r="FV456" s="1568"/>
      <c r="FW456" s="1550"/>
      <c r="FX456" s="1550" t="str">
        <f t="shared" si="7"/>
        <v>Добавить группу потребителей</v>
      </c>
      <c r="FY456" s="1550"/>
      <c r="FZ456" s="1550"/>
      <c r="GA456" s="1561">
        <v>0</v>
      </c>
    </row>
    <row r="457" spans="1:183" s="1747" customFormat="1" ht="21" customHeight="1">
      <c r="A457" s="1289"/>
      <c r="B457" s="1289"/>
      <c r="C457" s="1289"/>
      <c r="D457" s="1289"/>
      <c r="E457" s="24089"/>
      <c r="F457" s="24089" t="s">
        <v>192</v>
      </c>
      <c r="G457" s="24089"/>
      <c r="H457" s="24088"/>
      <c r="I457" s="1289"/>
      <c r="J457" s="1289"/>
      <c r="K457" s="1289"/>
      <c r="L457" s="1295"/>
      <c r="M457" s="1291"/>
      <c r="N457" s="1291"/>
      <c r="O457" s="1292"/>
      <c r="P457" s="1720"/>
      <c r="Q457" s="311"/>
      <c r="R457" s="291"/>
      <c r="S457" s="6008"/>
      <c r="T457" s="6009" t="s">
        <v>714</v>
      </c>
      <c r="U457" s="6010"/>
      <c r="V457" s="6011"/>
      <c r="W457" s="6012"/>
      <c r="X457" s="6013"/>
      <c r="Y457" s="6014"/>
      <c r="Z457" s="6015"/>
      <c r="AA457" s="6016"/>
      <c r="AB457" s="6017"/>
      <c r="AC457" s="6018"/>
      <c r="AD457" s="6019"/>
      <c r="AE457" s="6020"/>
      <c r="AF457" s="6021"/>
      <c r="AG457" s="6022"/>
      <c r="AH457" s="6023"/>
      <c r="AI457" s="6024"/>
      <c r="AJ457" s="6025"/>
      <c r="AK457" s="6026"/>
      <c r="AL457" s="6027"/>
      <c r="AM457" s="6028"/>
      <c r="AN457" s="6029"/>
      <c r="AO457" s="6030"/>
      <c r="AP457" s="6031"/>
      <c r="AQ457" s="6032"/>
      <c r="AR457" s="8101"/>
      <c r="AS457" s="8102"/>
      <c r="AT457" s="8103"/>
      <c r="AU457" s="8104"/>
      <c r="AV457" s="8105"/>
      <c r="AW457" s="8106"/>
      <c r="AX457" s="8107"/>
      <c r="AY457" s="8108"/>
      <c r="AZ457" s="8109"/>
      <c r="BA457" s="8110"/>
      <c r="BB457" s="8111"/>
      <c r="BC457" s="8112"/>
      <c r="BD457" s="8113"/>
      <c r="BE457" s="20537"/>
      <c r="BF457" s="20538"/>
      <c r="BG457" s="21945"/>
      <c r="BH457" s="20539"/>
      <c r="BI457" s="20540"/>
      <c r="BJ457" s="20541"/>
      <c r="BK457" s="20542"/>
      <c r="BL457" s="20543"/>
      <c r="BM457" s="20544"/>
      <c r="BN457" s="6033"/>
      <c r="BO457" s="6034"/>
      <c r="BP457" s="20545"/>
      <c r="BQ457" s="20546"/>
      <c r="BR457" s="6035"/>
      <c r="BS457" s="20547"/>
      <c r="BT457" s="20548"/>
      <c r="BU457" s="20549"/>
      <c r="BV457" s="20550"/>
      <c r="BW457" s="20551"/>
      <c r="BX457" s="20552"/>
      <c r="BY457" s="20553"/>
      <c r="BZ457" s="20554"/>
      <c r="CA457" s="20555"/>
      <c r="CB457" s="20556"/>
      <c r="CC457" s="20557"/>
      <c r="CD457" s="20558"/>
      <c r="CE457" s="20559"/>
      <c r="CF457" s="20560"/>
      <c r="CG457" s="20561"/>
      <c r="CH457" s="20562"/>
      <c r="CI457" s="20563"/>
      <c r="CJ457" s="20564"/>
      <c r="CK457" s="20565"/>
      <c r="CL457" s="20566"/>
      <c r="CM457" s="20567"/>
      <c r="CN457" s="20568"/>
      <c r="CO457" s="20569"/>
      <c r="CP457" s="20570"/>
      <c r="CQ457" s="20571"/>
      <c r="CR457" s="20572"/>
      <c r="CS457" s="20573"/>
      <c r="CT457" s="20574"/>
      <c r="CU457" s="20575"/>
      <c r="CV457" s="20576"/>
      <c r="CW457" s="20577"/>
      <c r="CX457" s="20578"/>
      <c r="CY457" s="20579"/>
      <c r="CZ457" s="20580"/>
      <c r="DA457" s="20581"/>
      <c r="DB457" s="20582"/>
      <c r="DC457" s="20583"/>
      <c r="DD457" s="20584"/>
      <c r="DE457" s="20585"/>
      <c r="DF457" s="20586"/>
      <c r="DG457" s="20587"/>
      <c r="DH457" s="20588"/>
      <c r="DI457" s="20589"/>
      <c r="DJ457" s="20590"/>
      <c r="DK457" s="20591"/>
      <c r="DL457" s="20592"/>
      <c r="DM457" s="20593"/>
      <c r="DN457" s="20594"/>
      <c r="DO457" s="20595"/>
      <c r="DP457" s="20596"/>
      <c r="DQ457" s="20597"/>
      <c r="DR457" s="20598"/>
      <c r="DS457" s="20599"/>
      <c r="DT457" s="20600"/>
      <c r="DU457" s="20601"/>
      <c r="DV457" s="20602"/>
      <c r="DW457" s="20603"/>
      <c r="DX457" s="20604"/>
      <c r="DY457" s="20605"/>
      <c r="DZ457" s="20606"/>
      <c r="EA457" s="20607"/>
      <c r="EB457" s="20608"/>
      <c r="EC457" s="20609"/>
      <c r="ED457" s="20610"/>
      <c r="EE457" s="20611"/>
      <c r="EF457" s="20612"/>
      <c r="EG457" s="20613"/>
      <c r="EH457" s="20614"/>
      <c r="EI457" s="20615"/>
      <c r="EJ457" s="20616"/>
      <c r="EK457" s="20617"/>
      <c r="EL457" s="20618"/>
      <c r="EM457" s="21791"/>
      <c r="EN457" s="21792"/>
      <c r="EO457" s="20619"/>
      <c r="EP457" s="20620"/>
      <c r="EQ457" s="21793"/>
      <c r="ER457" s="20621"/>
      <c r="ES457" s="20622"/>
      <c r="ET457" s="20623"/>
      <c r="EU457" s="20624"/>
      <c r="EV457" s="20625"/>
      <c r="EW457" s="20626"/>
      <c r="EX457" s="6036"/>
      <c r="EY457" s="6037"/>
      <c r="EZ457" s="20627"/>
      <c r="FA457" s="20628"/>
      <c r="FB457" s="6038"/>
      <c r="FC457" s="20629"/>
      <c r="FD457" s="20630"/>
      <c r="FE457" s="20631"/>
      <c r="FF457" s="20632"/>
      <c r="FG457" s="20633"/>
      <c r="FH457" s="6039"/>
      <c r="FI457" s="23160"/>
      <c r="FJ457" s="23161"/>
      <c r="FK457" s="23867"/>
      <c r="FL457" s="23868"/>
      <c r="FM457" s="23162"/>
      <c r="FN457" s="23869"/>
      <c r="FO457" s="23870"/>
      <c r="FP457" s="23163"/>
      <c r="FQ457" s="23164"/>
      <c r="FR457" s="23165"/>
      <c r="FS457" s="23871"/>
      <c r="FT457" s="6040"/>
      <c r="FU457" s="6041"/>
      <c r="FV457" s="1568"/>
      <c r="FW457" s="1550"/>
      <c r="FX457" s="1550" t="str">
        <f t="shared" si="7"/>
        <v>Добавить наименование признака дифференциации</v>
      </c>
      <c r="FY457" s="1550"/>
      <c r="FZ457" s="1550"/>
      <c r="GA457" s="1561">
        <v>0</v>
      </c>
    </row>
    <row r="458" spans="1:183" s="558" customFormat="1" ht="14.25" customHeight="1">
      <c r="A458" s="1269"/>
      <c r="B458" s="1269"/>
      <c r="C458" s="1269"/>
      <c r="D458" s="1269"/>
      <c r="E458" s="24089"/>
      <c r="F458" s="24088" t="s">
        <v>192</v>
      </c>
      <c r="G458" s="1269"/>
      <c r="H458" s="1269"/>
      <c r="I458" s="1269"/>
      <c r="J458" s="1269"/>
      <c r="K458" s="1269"/>
      <c r="L458" s="1471"/>
      <c r="M458" s="1247"/>
      <c r="N458" s="1247"/>
      <c r="O458" s="1568"/>
      <c r="P458" s="1242"/>
      <c r="Q458" s="1270"/>
      <c r="R458" s="1242"/>
      <c r="S458" s="1248"/>
      <c r="T458" s="1251" t="s">
        <v>370</v>
      </c>
      <c r="U458" s="1250"/>
      <c r="V458" s="1250"/>
      <c r="W458" s="1250"/>
      <c r="X458" s="1250"/>
      <c r="Y458" s="1250"/>
      <c r="Z458" s="1250"/>
      <c r="AA458" s="1250"/>
      <c r="AB458" s="1250"/>
      <c r="AC458" s="1250"/>
      <c r="AD458" s="1250"/>
      <c r="AE458" s="1250"/>
      <c r="AF458" s="1250"/>
      <c r="AG458" s="1250"/>
      <c r="AH458" s="1250"/>
      <c r="AI458" s="1250"/>
      <c r="AJ458" s="1250"/>
      <c r="AK458" s="1250"/>
      <c r="AL458" s="1250"/>
      <c r="AM458" s="1250"/>
      <c r="AN458" s="1250"/>
      <c r="AO458" s="1250"/>
      <c r="AP458" s="1250"/>
      <c r="AQ458" s="1250"/>
      <c r="AR458" s="1250"/>
      <c r="AS458" s="1250"/>
      <c r="AT458" s="1250"/>
      <c r="AU458" s="1250"/>
      <c r="AV458" s="1250"/>
      <c r="AW458" s="1250"/>
      <c r="AX458" s="1250"/>
      <c r="AY458" s="1250"/>
      <c r="AZ458" s="1250"/>
      <c r="BA458" s="1250"/>
      <c r="BB458" s="1250"/>
      <c r="BC458" s="1250"/>
      <c r="BD458" s="1250"/>
      <c r="BE458" s="1250"/>
      <c r="BF458" s="1250"/>
      <c r="BG458" s="1250"/>
      <c r="BH458" s="1250"/>
      <c r="BI458" s="1250"/>
      <c r="BJ458" s="1250"/>
      <c r="BK458" s="1250"/>
      <c r="BL458" s="1250"/>
      <c r="BM458" s="1250"/>
      <c r="BN458" s="1250"/>
      <c r="BO458" s="1250"/>
      <c r="BP458" s="1250"/>
      <c r="BQ458" s="1250"/>
      <c r="BR458" s="1250"/>
      <c r="BS458" s="1250"/>
      <c r="BT458" s="1250"/>
      <c r="BU458" s="1250"/>
      <c r="BV458" s="1250"/>
      <c r="BW458" s="1250"/>
      <c r="BX458" s="1250"/>
      <c r="BY458" s="1250"/>
      <c r="BZ458" s="1250"/>
      <c r="CA458" s="1250"/>
      <c r="CB458" s="1250"/>
      <c r="CC458" s="1250"/>
      <c r="CD458" s="1250"/>
      <c r="CE458" s="1250"/>
      <c r="CF458" s="1250"/>
      <c r="CG458" s="1250"/>
      <c r="CH458" s="1250"/>
      <c r="CI458" s="1250"/>
      <c r="CJ458" s="1250"/>
      <c r="CK458" s="1250"/>
      <c r="CL458" s="1250"/>
      <c r="CM458" s="1250"/>
      <c r="CN458" s="1250"/>
      <c r="CO458" s="1250"/>
      <c r="CP458" s="1250"/>
      <c r="CQ458" s="1250"/>
      <c r="CR458" s="1250"/>
      <c r="CS458" s="1250"/>
      <c r="CT458" s="1250"/>
      <c r="CU458" s="1250"/>
      <c r="CV458" s="1250"/>
      <c r="CW458" s="1250"/>
      <c r="CX458" s="1250"/>
      <c r="CY458" s="1250"/>
      <c r="CZ458" s="1250"/>
      <c r="DA458" s="1250"/>
      <c r="DB458" s="1250"/>
      <c r="DC458" s="1250"/>
      <c r="DD458" s="1250"/>
      <c r="DE458" s="1250"/>
      <c r="DF458" s="1250"/>
      <c r="DG458" s="1250"/>
      <c r="DH458" s="1250"/>
      <c r="DI458" s="1250"/>
      <c r="DJ458" s="1250"/>
      <c r="DK458" s="1250"/>
      <c r="DL458" s="1250"/>
      <c r="DM458" s="1250"/>
      <c r="DN458" s="1250"/>
      <c r="DO458" s="1250"/>
      <c r="DP458" s="1250"/>
      <c r="DQ458" s="1250"/>
      <c r="DR458" s="1250"/>
      <c r="DS458" s="1250"/>
      <c r="DT458" s="1250"/>
      <c r="DU458" s="1250"/>
      <c r="DV458" s="1250"/>
      <c r="DW458" s="1250"/>
      <c r="DX458" s="1250"/>
      <c r="DY458" s="1250"/>
      <c r="DZ458" s="1250"/>
      <c r="EA458" s="1250"/>
      <c r="EB458" s="1250"/>
      <c r="EC458" s="1250"/>
      <c r="ED458" s="1250"/>
      <c r="EE458" s="1250"/>
      <c r="EF458" s="1250"/>
      <c r="EG458" s="1250"/>
      <c r="EH458" s="1250"/>
      <c r="EI458" s="1250"/>
      <c r="EJ458" s="1250"/>
      <c r="EK458" s="1250"/>
      <c r="EL458" s="1250"/>
      <c r="EM458" s="1250"/>
      <c r="EN458" s="1250"/>
      <c r="EO458" s="1250"/>
      <c r="EP458" s="1250"/>
      <c r="EQ458" s="1250"/>
      <c r="ER458" s="1250"/>
      <c r="ES458" s="1250"/>
      <c r="ET458" s="1250"/>
      <c r="EU458" s="1250"/>
      <c r="EV458" s="1250"/>
      <c r="EW458" s="1250"/>
      <c r="EX458" s="1250"/>
      <c r="EY458" s="1250"/>
      <c r="EZ458" s="1250"/>
      <c r="FA458" s="1250"/>
      <c r="FB458" s="1250"/>
      <c r="FC458" s="1250"/>
      <c r="FD458" s="1250"/>
      <c r="FE458" s="1250"/>
      <c r="FF458" s="1250"/>
      <c r="FG458" s="1250"/>
      <c r="FH458" s="5653"/>
      <c r="FI458" s="1250"/>
      <c r="FJ458" s="1250"/>
      <c r="FK458" s="1250"/>
      <c r="FL458" s="1250"/>
      <c r="FM458" s="1250"/>
      <c r="FN458" s="1250"/>
      <c r="FO458" s="1250"/>
      <c r="FP458" s="1250"/>
      <c r="FQ458" s="1250"/>
      <c r="FR458" s="1250"/>
      <c r="FS458" s="1250"/>
      <c r="FT458" s="1250"/>
      <c r="FU458" s="1250"/>
      <c r="FV458" s="1568"/>
      <c r="FW458" s="1550"/>
      <c r="FX458" s="1550" t="str">
        <f t="shared" si="7"/>
        <v>Добавить централизованную систему для дифференциации</v>
      </c>
      <c r="FY458" s="1550"/>
      <c r="FZ458" s="1550"/>
      <c r="GA458" s="1568">
        <v>0</v>
      </c>
    </row>
    <row r="459" spans="1:183" s="1747" customFormat="1" ht="23.25" customHeight="1">
      <c r="A459" s="1289"/>
      <c r="B459" s="1289" t="s">
        <v>471</v>
      </c>
      <c r="C459" s="1289"/>
      <c r="D459" s="1289"/>
      <c r="E459" s="24089"/>
      <c r="F459" s="24088" t="s">
        <v>202</v>
      </c>
      <c r="G459" s="1289"/>
      <c r="H459" s="1289"/>
      <c r="I459" s="1289"/>
      <c r="J459" s="1289"/>
      <c r="K459" s="1289"/>
      <c r="L459" s="1295"/>
      <c r="M459" s="1291"/>
      <c r="N459" s="1291"/>
      <c r="O459" s="1291"/>
      <c r="P459" s="1971"/>
      <c r="Q459" s="288"/>
      <c r="R459" s="289"/>
      <c r="S459" s="1976" t="str">
        <f>INDEX(PT_DIFFERENTIATION_NUM_TER,MATCH(B459,PT_DIFFERENTIATION_TER_ID,0))</f>
        <v>1.23</v>
      </c>
      <c r="T459" s="1448" t="s">
        <v>626</v>
      </c>
      <c r="U459" s="236"/>
      <c r="V459" s="24082"/>
      <c r="W459" s="24083"/>
      <c r="X459" s="24083"/>
      <c r="Y459" s="24083"/>
      <c r="Z459" s="24083"/>
      <c r="AA459" s="24083"/>
      <c r="AB459" s="24083"/>
      <c r="AC459" s="24083"/>
      <c r="AD459" s="24083"/>
      <c r="AE459" s="24083"/>
      <c r="AF459" s="24084"/>
      <c r="AG459" s="24082" t="str">
        <f>INDEX(PT_DIFFERENTIATION_TER,MATCH(B459,PT_DIFFERENTIATION_TER_ID,0))</f>
        <v>Территория 23</v>
      </c>
      <c r="AH459" s="24083"/>
      <c r="AI459" s="24083"/>
      <c r="AJ459" s="24083"/>
      <c r="AK459" s="24083"/>
      <c r="AL459" s="24083"/>
      <c r="AM459" s="24083"/>
      <c r="AN459" s="24083"/>
      <c r="AO459" s="24083"/>
      <c r="AP459" s="24083"/>
      <c r="AQ459" s="24083"/>
      <c r="AR459" s="24173"/>
      <c r="AS459" s="24174"/>
      <c r="AT459" s="24174"/>
      <c r="AU459" s="24174"/>
      <c r="AV459" s="24174"/>
      <c r="AW459" s="24174"/>
      <c r="AX459" s="24174"/>
      <c r="AY459" s="24174"/>
      <c r="AZ459" s="24174"/>
      <c r="BA459" s="24174"/>
      <c r="BB459" s="24175"/>
      <c r="BC459" s="24173"/>
      <c r="BD459" s="24174"/>
      <c r="BE459" s="24174"/>
      <c r="BF459" s="24174"/>
      <c r="BG459" s="24174"/>
      <c r="BH459" s="24174"/>
      <c r="BI459" s="24174"/>
      <c r="BJ459" s="24174"/>
      <c r="BK459" s="24174"/>
      <c r="BL459" s="24174"/>
      <c r="BM459" s="24175"/>
      <c r="BN459" s="24082"/>
      <c r="BO459" s="24083"/>
      <c r="BP459" s="24174"/>
      <c r="BQ459" s="24174"/>
      <c r="BR459" s="24083"/>
      <c r="BS459" s="24174"/>
      <c r="BT459" s="24174"/>
      <c r="BU459" s="24174"/>
      <c r="BV459" s="24174"/>
      <c r="BW459" s="24174"/>
      <c r="BX459" s="24175"/>
      <c r="BY459" s="24173"/>
      <c r="BZ459" s="24174"/>
      <c r="CA459" s="24174"/>
      <c r="CB459" s="24174"/>
      <c r="CC459" s="24174"/>
      <c r="CD459" s="24174"/>
      <c r="CE459" s="24174"/>
      <c r="CF459" s="24174"/>
      <c r="CG459" s="24174"/>
      <c r="CH459" s="24174"/>
      <c r="CI459" s="24175"/>
      <c r="CJ459" s="24173"/>
      <c r="CK459" s="24174"/>
      <c r="CL459" s="24174"/>
      <c r="CM459" s="24174"/>
      <c r="CN459" s="24174"/>
      <c r="CO459" s="24174"/>
      <c r="CP459" s="24174"/>
      <c r="CQ459" s="24174"/>
      <c r="CR459" s="24174"/>
      <c r="CS459" s="24174"/>
      <c r="CT459" s="24175"/>
      <c r="CU459" s="24173"/>
      <c r="CV459" s="24174"/>
      <c r="CW459" s="24174"/>
      <c r="CX459" s="24174"/>
      <c r="CY459" s="24174"/>
      <c r="CZ459" s="24174"/>
      <c r="DA459" s="24174"/>
      <c r="DB459" s="24174"/>
      <c r="DC459" s="24174"/>
      <c r="DD459" s="24174"/>
      <c r="DE459" s="24175"/>
      <c r="DF459" s="24173"/>
      <c r="DG459" s="24174"/>
      <c r="DH459" s="24174"/>
      <c r="DI459" s="24174"/>
      <c r="DJ459" s="24174"/>
      <c r="DK459" s="24174"/>
      <c r="DL459" s="24174"/>
      <c r="DM459" s="24174"/>
      <c r="DN459" s="24174"/>
      <c r="DO459" s="24174"/>
      <c r="DP459" s="24175"/>
      <c r="DQ459" s="24173"/>
      <c r="DR459" s="24174"/>
      <c r="DS459" s="24174"/>
      <c r="DT459" s="24174"/>
      <c r="DU459" s="24174"/>
      <c r="DV459" s="24174"/>
      <c r="DW459" s="24174"/>
      <c r="DX459" s="24174"/>
      <c r="DY459" s="24174"/>
      <c r="DZ459" s="24174"/>
      <c r="EA459" s="24175"/>
      <c r="EB459" s="24173"/>
      <c r="EC459" s="24174"/>
      <c r="ED459" s="24174"/>
      <c r="EE459" s="24174"/>
      <c r="EF459" s="24174"/>
      <c r="EG459" s="24174"/>
      <c r="EH459" s="24174"/>
      <c r="EI459" s="24174"/>
      <c r="EJ459" s="24174"/>
      <c r="EK459" s="24174"/>
      <c r="EL459" s="24175"/>
      <c r="EM459" s="24173"/>
      <c r="EN459" s="24174"/>
      <c r="EO459" s="24174"/>
      <c r="EP459" s="24174"/>
      <c r="EQ459" s="24174"/>
      <c r="ER459" s="24174"/>
      <c r="ES459" s="24174"/>
      <c r="ET459" s="24174"/>
      <c r="EU459" s="24174"/>
      <c r="EV459" s="24174"/>
      <c r="EW459" s="24175"/>
      <c r="EX459" s="24082"/>
      <c r="EY459" s="24083"/>
      <c r="EZ459" s="24174"/>
      <c r="FA459" s="24174"/>
      <c r="FB459" s="24083"/>
      <c r="FC459" s="24174"/>
      <c r="FD459" s="24174"/>
      <c r="FE459" s="24174"/>
      <c r="FF459" s="24174"/>
      <c r="FG459" s="24174"/>
      <c r="FH459" s="24175"/>
      <c r="FI459" s="24082"/>
      <c r="FJ459" s="24083"/>
      <c r="FK459" s="24174"/>
      <c r="FL459" s="24174"/>
      <c r="FM459" s="24083"/>
      <c r="FN459" s="24174"/>
      <c r="FO459" s="24174"/>
      <c r="FP459" s="24083"/>
      <c r="FQ459" s="24083"/>
      <c r="FR459" s="24083"/>
      <c r="FS459" s="24175"/>
      <c r="FT459" s="24084"/>
      <c r="FU459" s="1184" t="s">
        <v>627</v>
      </c>
      <c r="FV459" s="1568"/>
      <c r="FW459" s="1550"/>
      <c r="FX459" s="1550" t="str">
        <f t="shared" si="7"/>
        <v>Территория действия тарифа</v>
      </c>
      <c r="FY459" s="1550"/>
      <c r="FZ459" s="1550"/>
      <c r="GA459" s="1561">
        <v>0</v>
      </c>
    </row>
    <row r="460" spans="1:183" s="1747" customFormat="1" ht="23.25" customHeight="1">
      <c r="A460" s="1289"/>
      <c r="B460" s="1289"/>
      <c r="C460" s="1289" t="s">
        <v>472</v>
      </c>
      <c r="D460" s="1289"/>
      <c r="E460" s="24089"/>
      <c r="F460" s="24089" t="s">
        <v>197</v>
      </c>
      <c r="G460" s="24088">
        <v>1</v>
      </c>
      <c r="H460" s="1289"/>
      <c r="I460" s="1289"/>
      <c r="J460" s="1289"/>
      <c r="K460" s="1289"/>
      <c r="L460" s="1295"/>
      <c r="M460" s="1291"/>
      <c r="N460" s="1291"/>
      <c r="O460" s="1291"/>
      <c r="P460" s="290"/>
      <c r="Q460" s="288"/>
      <c r="R460" s="289"/>
      <c r="S460" s="1976" t="str">
        <f>INDEX(PT_DIFFERENTIATION_NUM_CS,MATCH(C460,PT_DIFFERENTIATION_CS_ID,0))</f>
        <v>1.23.1</v>
      </c>
      <c r="T460" s="245" t="s">
        <v>756</v>
      </c>
      <c r="U460" s="236"/>
      <c r="V460" s="24082"/>
      <c r="W460" s="24083"/>
      <c r="X460" s="24083"/>
      <c r="Y460" s="24083"/>
      <c r="Z460" s="24083"/>
      <c r="AA460" s="24083"/>
      <c r="AB460" s="24083"/>
      <c r="AC460" s="24083"/>
      <c r="AD460" s="24083"/>
      <c r="AE460" s="24083"/>
      <c r="AF460" s="24084"/>
      <c r="AG460" s="24082" t="str">
        <f>INDEX(PT_DIFFERENTIATION_CS,MATCH(C460,PT_DIFFERENTIATION_CS_ID,0))</f>
        <v>для потребителей дер. Гусино Краснинского муниципального округа  Смоленской области</v>
      </c>
      <c r="AH460" s="24083"/>
      <c r="AI460" s="24083"/>
      <c r="AJ460" s="24083"/>
      <c r="AK460" s="24083"/>
      <c r="AL460" s="24083"/>
      <c r="AM460" s="24083"/>
      <c r="AN460" s="24083"/>
      <c r="AO460" s="24083"/>
      <c r="AP460" s="24083"/>
      <c r="AQ460" s="24083"/>
      <c r="AR460" s="24173"/>
      <c r="AS460" s="24174"/>
      <c r="AT460" s="24174"/>
      <c r="AU460" s="24174"/>
      <c r="AV460" s="24174"/>
      <c r="AW460" s="24174"/>
      <c r="AX460" s="24174"/>
      <c r="AY460" s="24174"/>
      <c r="AZ460" s="24174"/>
      <c r="BA460" s="24174"/>
      <c r="BB460" s="24175"/>
      <c r="BC460" s="24173"/>
      <c r="BD460" s="24174"/>
      <c r="BE460" s="24174"/>
      <c r="BF460" s="24174"/>
      <c r="BG460" s="24174"/>
      <c r="BH460" s="24174"/>
      <c r="BI460" s="24174"/>
      <c r="BJ460" s="24174"/>
      <c r="BK460" s="24174"/>
      <c r="BL460" s="24174"/>
      <c r="BM460" s="24175"/>
      <c r="BN460" s="24082"/>
      <c r="BO460" s="24083"/>
      <c r="BP460" s="24174"/>
      <c r="BQ460" s="24174"/>
      <c r="BR460" s="24083"/>
      <c r="BS460" s="24174"/>
      <c r="BT460" s="24174"/>
      <c r="BU460" s="24174"/>
      <c r="BV460" s="24174"/>
      <c r="BW460" s="24174"/>
      <c r="BX460" s="24175"/>
      <c r="BY460" s="24173"/>
      <c r="BZ460" s="24174"/>
      <c r="CA460" s="24174"/>
      <c r="CB460" s="24174"/>
      <c r="CC460" s="24174"/>
      <c r="CD460" s="24174"/>
      <c r="CE460" s="24174"/>
      <c r="CF460" s="24174"/>
      <c r="CG460" s="24174"/>
      <c r="CH460" s="24174"/>
      <c r="CI460" s="24175"/>
      <c r="CJ460" s="24173"/>
      <c r="CK460" s="24174"/>
      <c r="CL460" s="24174"/>
      <c r="CM460" s="24174"/>
      <c r="CN460" s="24174"/>
      <c r="CO460" s="24174"/>
      <c r="CP460" s="24174"/>
      <c r="CQ460" s="24174"/>
      <c r="CR460" s="24174"/>
      <c r="CS460" s="24174"/>
      <c r="CT460" s="24175"/>
      <c r="CU460" s="24173"/>
      <c r="CV460" s="24174"/>
      <c r="CW460" s="24174"/>
      <c r="CX460" s="24174"/>
      <c r="CY460" s="24174"/>
      <c r="CZ460" s="24174"/>
      <c r="DA460" s="24174"/>
      <c r="DB460" s="24174"/>
      <c r="DC460" s="24174"/>
      <c r="DD460" s="24174"/>
      <c r="DE460" s="24175"/>
      <c r="DF460" s="24173"/>
      <c r="DG460" s="24174"/>
      <c r="DH460" s="24174"/>
      <c r="DI460" s="24174"/>
      <c r="DJ460" s="24174"/>
      <c r="DK460" s="24174"/>
      <c r="DL460" s="24174"/>
      <c r="DM460" s="24174"/>
      <c r="DN460" s="24174"/>
      <c r="DO460" s="24174"/>
      <c r="DP460" s="24175"/>
      <c r="DQ460" s="24173"/>
      <c r="DR460" s="24174"/>
      <c r="DS460" s="24174"/>
      <c r="DT460" s="24174"/>
      <c r="DU460" s="24174"/>
      <c r="DV460" s="24174"/>
      <c r="DW460" s="24174"/>
      <c r="DX460" s="24174"/>
      <c r="DY460" s="24174"/>
      <c r="DZ460" s="24174"/>
      <c r="EA460" s="24175"/>
      <c r="EB460" s="24173"/>
      <c r="EC460" s="24174"/>
      <c r="ED460" s="24174"/>
      <c r="EE460" s="24174"/>
      <c r="EF460" s="24174"/>
      <c r="EG460" s="24174"/>
      <c r="EH460" s="24174"/>
      <c r="EI460" s="24174"/>
      <c r="EJ460" s="24174"/>
      <c r="EK460" s="24174"/>
      <c r="EL460" s="24175"/>
      <c r="EM460" s="24173"/>
      <c r="EN460" s="24174"/>
      <c r="EO460" s="24174"/>
      <c r="EP460" s="24174"/>
      <c r="EQ460" s="24174"/>
      <c r="ER460" s="24174"/>
      <c r="ES460" s="24174"/>
      <c r="ET460" s="24174"/>
      <c r="EU460" s="24174"/>
      <c r="EV460" s="24174"/>
      <c r="EW460" s="24175"/>
      <c r="EX460" s="24082"/>
      <c r="EY460" s="24083"/>
      <c r="EZ460" s="24174"/>
      <c r="FA460" s="24174"/>
      <c r="FB460" s="24083"/>
      <c r="FC460" s="24174"/>
      <c r="FD460" s="24174"/>
      <c r="FE460" s="24174"/>
      <c r="FF460" s="24174"/>
      <c r="FG460" s="24174"/>
      <c r="FH460" s="24175"/>
      <c r="FI460" s="24082"/>
      <c r="FJ460" s="24083"/>
      <c r="FK460" s="24174"/>
      <c r="FL460" s="24174"/>
      <c r="FM460" s="24083"/>
      <c r="FN460" s="24174"/>
      <c r="FO460" s="24174"/>
      <c r="FP460" s="24083"/>
      <c r="FQ460" s="24083"/>
      <c r="FR460" s="24083"/>
      <c r="FS460" s="24175"/>
      <c r="FT460" s="24084"/>
      <c r="FU460" s="1184" t="s">
        <v>757</v>
      </c>
      <c r="FV460" s="1568"/>
      <c r="FW460" s="1550"/>
      <c r="FX460" s="1550" t="str">
        <f t="shared" si="7"/>
        <v>Наименование централизованной системы горячего водоснабжения</v>
      </c>
      <c r="FY460" s="1550"/>
      <c r="FZ460" s="1550"/>
      <c r="GA460" s="1561">
        <v>0</v>
      </c>
    </row>
    <row r="461" spans="1:183" s="1747" customFormat="1" ht="23.25" customHeight="1">
      <c r="A461" s="1289"/>
      <c r="B461" s="1289"/>
      <c r="C461" s="1289"/>
      <c r="D461" s="1289"/>
      <c r="E461" s="24089"/>
      <c r="F461" s="24089" t="s">
        <v>197</v>
      </c>
      <c r="G461" s="24089"/>
      <c r="H461" s="24089"/>
      <c r="I461" s="24090" t="str">
        <f>S460&amp;".1"</f>
        <v>1.23.1.1</v>
      </c>
      <c r="J461" s="1289"/>
      <c r="K461" s="1289"/>
      <c r="L461" s="1295"/>
      <c r="M461" s="1674"/>
      <c r="N461" s="1674"/>
      <c r="O461" s="1674"/>
      <c r="P461" s="24092">
        <v>1</v>
      </c>
      <c r="Q461" s="1978"/>
      <c r="R461" s="292"/>
      <c r="S461" s="1976" t="str">
        <f>$I461</f>
        <v>1.23.1.1</v>
      </c>
      <c r="T461" s="221" t="s">
        <v>709</v>
      </c>
      <c r="U461" s="236"/>
      <c r="V461" s="24156"/>
      <c r="W461" s="24157"/>
      <c r="X461" s="24157"/>
      <c r="Y461" s="24157"/>
      <c r="Z461" s="24157"/>
      <c r="AA461" s="24157"/>
      <c r="AB461" s="24157"/>
      <c r="AC461" s="24157"/>
      <c r="AD461" s="24157"/>
      <c r="AE461" s="24157"/>
      <c r="AF461" s="24158"/>
      <c r="AG461" s="24159"/>
      <c r="AH461" s="24160"/>
      <c r="AI461" s="24160"/>
      <c r="AJ461" s="24160"/>
      <c r="AK461" s="24160"/>
      <c r="AL461" s="24160"/>
      <c r="AM461" s="24160"/>
      <c r="AN461" s="24160"/>
      <c r="AO461" s="24160"/>
      <c r="AP461" s="24160"/>
      <c r="AQ461" s="24160"/>
      <c r="AR461" s="24176"/>
      <c r="AS461" s="24177"/>
      <c r="AT461" s="24177"/>
      <c r="AU461" s="24177"/>
      <c r="AV461" s="24177"/>
      <c r="AW461" s="24177"/>
      <c r="AX461" s="24177"/>
      <c r="AY461" s="24177"/>
      <c r="AZ461" s="24177"/>
      <c r="BA461" s="24177"/>
      <c r="BB461" s="24178"/>
      <c r="BC461" s="24176"/>
      <c r="BD461" s="24177"/>
      <c r="BE461" s="24177"/>
      <c r="BF461" s="24177"/>
      <c r="BG461" s="24177"/>
      <c r="BH461" s="24177"/>
      <c r="BI461" s="24177"/>
      <c r="BJ461" s="24177"/>
      <c r="BK461" s="24177"/>
      <c r="BL461" s="24177"/>
      <c r="BM461" s="24178"/>
      <c r="BN461" s="24156"/>
      <c r="BO461" s="24157"/>
      <c r="BP461" s="24177"/>
      <c r="BQ461" s="24177"/>
      <c r="BR461" s="24157"/>
      <c r="BS461" s="24177"/>
      <c r="BT461" s="24177"/>
      <c r="BU461" s="24177"/>
      <c r="BV461" s="24177"/>
      <c r="BW461" s="24177"/>
      <c r="BX461" s="24178"/>
      <c r="BY461" s="24176"/>
      <c r="BZ461" s="24177"/>
      <c r="CA461" s="24177"/>
      <c r="CB461" s="24177"/>
      <c r="CC461" s="24177"/>
      <c r="CD461" s="24177"/>
      <c r="CE461" s="24177"/>
      <c r="CF461" s="24177"/>
      <c r="CG461" s="24177"/>
      <c r="CH461" s="24177"/>
      <c r="CI461" s="24178"/>
      <c r="CJ461" s="24176"/>
      <c r="CK461" s="24177"/>
      <c r="CL461" s="24177"/>
      <c r="CM461" s="24177"/>
      <c r="CN461" s="24177"/>
      <c r="CO461" s="24177"/>
      <c r="CP461" s="24177"/>
      <c r="CQ461" s="24177"/>
      <c r="CR461" s="24177"/>
      <c r="CS461" s="24177"/>
      <c r="CT461" s="24178"/>
      <c r="CU461" s="24176"/>
      <c r="CV461" s="24177"/>
      <c r="CW461" s="24177"/>
      <c r="CX461" s="24177"/>
      <c r="CY461" s="24177"/>
      <c r="CZ461" s="24177"/>
      <c r="DA461" s="24177"/>
      <c r="DB461" s="24177"/>
      <c r="DC461" s="24177"/>
      <c r="DD461" s="24177"/>
      <c r="DE461" s="24178"/>
      <c r="DF461" s="24176"/>
      <c r="DG461" s="24177"/>
      <c r="DH461" s="24177"/>
      <c r="DI461" s="24177"/>
      <c r="DJ461" s="24177"/>
      <c r="DK461" s="24177"/>
      <c r="DL461" s="24177"/>
      <c r="DM461" s="24177"/>
      <c r="DN461" s="24177"/>
      <c r="DO461" s="24177"/>
      <c r="DP461" s="24178"/>
      <c r="DQ461" s="24176"/>
      <c r="DR461" s="24177"/>
      <c r="DS461" s="24177"/>
      <c r="DT461" s="24177"/>
      <c r="DU461" s="24177"/>
      <c r="DV461" s="24177"/>
      <c r="DW461" s="24177"/>
      <c r="DX461" s="24177"/>
      <c r="DY461" s="24177"/>
      <c r="DZ461" s="24177"/>
      <c r="EA461" s="24178"/>
      <c r="EB461" s="24176"/>
      <c r="EC461" s="24177"/>
      <c r="ED461" s="24177"/>
      <c r="EE461" s="24177"/>
      <c r="EF461" s="24177"/>
      <c r="EG461" s="24177"/>
      <c r="EH461" s="24177"/>
      <c r="EI461" s="24177"/>
      <c r="EJ461" s="24177"/>
      <c r="EK461" s="24177"/>
      <c r="EL461" s="24178"/>
      <c r="EM461" s="24176"/>
      <c r="EN461" s="24177"/>
      <c r="EO461" s="24177"/>
      <c r="EP461" s="24177"/>
      <c r="EQ461" s="24177"/>
      <c r="ER461" s="24177"/>
      <c r="ES461" s="24177"/>
      <c r="ET461" s="24177"/>
      <c r="EU461" s="24177"/>
      <c r="EV461" s="24177"/>
      <c r="EW461" s="24178"/>
      <c r="EX461" s="24156"/>
      <c r="EY461" s="24157"/>
      <c r="EZ461" s="24177"/>
      <c r="FA461" s="24177"/>
      <c r="FB461" s="24157"/>
      <c r="FC461" s="24177"/>
      <c r="FD461" s="24177"/>
      <c r="FE461" s="24177"/>
      <c r="FF461" s="24177"/>
      <c r="FG461" s="24177"/>
      <c r="FH461" s="24178"/>
      <c r="FI461" s="24156"/>
      <c r="FJ461" s="24157"/>
      <c r="FK461" s="24177"/>
      <c r="FL461" s="24177"/>
      <c r="FM461" s="24157"/>
      <c r="FN461" s="24177"/>
      <c r="FO461" s="24177"/>
      <c r="FP461" s="24157"/>
      <c r="FQ461" s="24157"/>
      <c r="FR461" s="24157"/>
      <c r="FS461" s="24178"/>
      <c r="FT461" s="24161"/>
      <c r="FU461" s="1184" t="s">
        <v>710</v>
      </c>
      <c r="FV461" s="1568"/>
      <c r="FW461" s="1550"/>
      <c r="FX461" s="1550" t="str">
        <f t="shared" si="7"/>
        <v>Наименование признака дифференциации</v>
      </c>
      <c r="FY461" s="1550"/>
      <c r="FZ461" s="1550"/>
      <c r="GA461" s="1561">
        <v>0</v>
      </c>
    </row>
    <row r="462" spans="1:183" s="1747" customFormat="1" ht="23.25" customHeight="1">
      <c r="A462" s="1289"/>
      <c r="B462" s="1289"/>
      <c r="C462" s="1289"/>
      <c r="D462" s="1289"/>
      <c r="E462" s="24089"/>
      <c r="F462" s="24089" t="s">
        <v>197</v>
      </c>
      <c r="G462" s="24089"/>
      <c r="H462" s="24089"/>
      <c r="I462" s="24091"/>
      <c r="J462" s="24090" t="str">
        <f>I461&amp;".1"</f>
        <v>1.23.1.1.1</v>
      </c>
      <c r="K462" s="1289"/>
      <c r="L462" s="1295" t="s">
        <v>635</v>
      </c>
      <c r="M462" s="1674"/>
      <c r="N462" s="1674"/>
      <c r="O462" s="1674"/>
      <c r="P462" s="24092"/>
      <c r="Q462" s="24092">
        <v>1</v>
      </c>
      <c r="R462" s="293"/>
      <c r="S462" s="1976" t="str">
        <f>$J462</f>
        <v>1.23.1.1.1</v>
      </c>
      <c r="T462" s="222" t="s">
        <v>636</v>
      </c>
      <c r="U462" s="236"/>
      <c r="V462" s="24076"/>
      <c r="W462" s="24077"/>
      <c r="X462" s="24077"/>
      <c r="Y462" s="24077"/>
      <c r="Z462" s="24077"/>
      <c r="AA462" s="24077"/>
      <c r="AB462" s="24077"/>
      <c r="AC462" s="24077"/>
      <c r="AD462" s="24077"/>
      <c r="AE462" s="24077"/>
      <c r="AF462" s="24078"/>
      <c r="AG462" s="24076" t="s">
        <v>769</v>
      </c>
      <c r="AH462" s="24077"/>
      <c r="AI462" s="24077"/>
      <c r="AJ462" s="24077"/>
      <c r="AK462" s="24077"/>
      <c r="AL462" s="24077"/>
      <c r="AM462" s="24077"/>
      <c r="AN462" s="24077"/>
      <c r="AO462" s="24077"/>
      <c r="AP462" s="24077"/>
      <c r="AQ462" s="24077"/>
      <c r="AR462" s="24179"/>
      <c r="AS462" s="24180"/>
      <c r="AT462" s="24180"/>
      <c r="AU462" s="24180"/>
      <c r="AV462" s="24180"/>
      <c r="AW462" s="24180"/>
      <c r="AX462" s="24180"/>
      <c r="AY462" s="24180"/>
      <c r="AZ462" s="24180"/>
      <c r="BA462" s="24180"/>
      <c r="BB462" s="24181"/>
      <c r="BC462" s="24179"/>
      <c r="BD462" s="24180"/>
      <c r="BE462" s="24180"/>
      <c r="BF462" s="24180"/>
      <c r="BG462" s="24180"/>
      <c r="BH462" s="24180"/>
      <c r="BI462" s="24180"/>
      <c r="BJ462" s="24180"/>
      <c r="BK462" s="24180"/>
      <c r="BL462" s="24180"/>
      <c r="BM462" s="24181"/>
      <c r="BN462" s="24076"/>
      <c r="BO462" s="24077"/>
      <c r="BP462" s="24180"/>
      <c r="BQ462" s="24180"/>
      <c r="BR462" s="24077"/>
      <c r="BS462" s="24180"/>
      <c r="BT462" s="24180"/>
      <c r="BU462" s="24180"/>
      <c r="BV462" s="24180"/>
      <c r="BW462" s="24180"/>
      <c r="BX462" s="24181"/>
      <c r="BY462" s="24179"/>
      <c r="BZ462" s="24180"/>
      <c r="CA462" s="24180"/>
      <c r="CB462" s="24180"/>
      <c r="CC462" s="24180"/>
      <c r="CD462" s="24180"/>
      <c r="CE462" s="24180"/>
      <c r="CF462" s="24180"/>
      <c r="CG462" s="24180"/>
      <c r="CH462" s="24180"/>
      <c r="CI462" s="24181"/>
      <c r="CJ462" s="24179"/>
      <c r="CK462" s="24180"/>
      <c r="CL462" s="24180"/>
      <c r="CM462" s="24180"/>
      <c r="CN462" s="24180"/>
      <c r="CO462" s="24180"/>
      <c r="CP462" s="24180"/>
      <c r="CQ462" s="24180"/>
      <c r="CR462" s="24180"/>
      <c r="CS462" s="24180"/>
      <c r="CT462" s="24181"/>
      <c r="CU462" s="24179"/>
      <c r="CV462" s="24180"/>
      <c r="CW462" s="24180"/>
      <c r="CX462" s="24180"/>
      <c r="CY462" s="24180"/>
      <c r="CZ462" s="24180"/>
      <c r="DA462" s="24180"/>
      <c r="DB462" s="24180"/>
      <c r="DC462" s="24180"/>
      <c r="DD462" s="24180"/>
      <c r="DE462" s="24181"/>
      <c r="DF462" s="24179"/>
      <c r="DG462" s="24180"/>
      <c r="DH462" s="24180"/>
      <c r="DI462" s="24180"/>
      <c r="DJ462" s="24180"/>
      <c r="DK462" s="24180"/>
      <c r="DL462" s="24180"/>
      <c r="DM462" s="24180"/>
      <c r="DN462" s="24180"/>
      <c r="DO462" s="24180"/>
      <c r="DP462" s="24181"/>
      <c r="DQ462" s="24179"/>
      <c r="DR462" s="24180"/>
      <c r="DS462" s="24180"/>
      <c r="DT462" s="24180"/>
      <c r="DU462" s="24180"/>
      <c r="DV462" s="24180"/>
      <c r="DW462" s="24180"/>
      <c r="DX462" s="24180"/>
      <c r="DY462" s="24180"/>
      <c r="DZ462" s="24180"/>
      <c r="EA462" s="24181"/>
      <c r="EB462" s="24179"/>
      <c r="EC462" s="24180"/>
      <c r="ED462" s="24180"/>
      <c r="EE462" s="24180"/>
      <c r="EF462" s="24180"/>
      <c r="EG462" s="24180"/>
      <c r="EH462" s="24180"/>
      <c r="EI462" s="24180"/>
      <c r="EJ462" s="24180"/>
      <c r="EK462" s="24180"/>
      <c r="EL462" s="24181"/>
      <c r="EM462" s="24179"/>
      <c r="EN462" s="24180"/>
      <c r="EO462" s="24180"/>
      <c r="EP462" s="24180"/>
      <c r="EQ462" s="24180"/>
      <c r="ER462" s="24180"/>
      <c r="ES462" s="24180"/>
      <c r="ET462" s="24180"/>
      <c r="EU462" s="24180"/>
      <c r="EV462" s="24180"/>
      <c r="EW462" s="24181"/>
      <c r="EX462" s="24076"/>
      <c r="EY462" s="24077"/>
      <c r="EZ462" s="24180"/>
      <c r="FA462" s="24180"/>
      <c r="FB462" s="24077"/>
      <c r="FC462" s="24180"/>
      <c r="FD462" s="24180"/>
      <c r="FE462" s="24180"/>
      <c r="FF462" s="24180"/>
      <c r="FG462" s="24180"/>
      <c r="FH462" s="24181"/>
      <c r="FI462" s="24076"/>
      <c r="FJ462" s="24077"/>
      <c r="FK462" s="24180"/>
      <c r="FL462" s="24180"/>
      <c r="FM462" s="24077"/>
      <c r="FN462" s="24180"/>
      <c r="FO462" s="24180"/>
      <c r="FP462" s="24077"/>
      <c r="FQ462" s="24077"/>
      <c r="FR462" s="24077"/>
      <c r="FS462" s="24181"/>
      <c r="FT462" s="24078"/>
      <c r="FU462" s="1233" t="s">
        <v>711</v>
      </c>
      <c r="FV462" s="1568"/>
      <c r="FW462" s="1550"/>
      <c r="FX462" s="1550" t="str">
        <f t="shared" si="7"/>
        <v>Группа потребителей</v>
      </c>
      <c r="FY462" s="1550"/>
      <c r="FZ462" s="1550"/>
      <c r="GA462" s="1561">
        <v>0</v>
      </c>
    </row>
    <row r="463" spans="1:183" s="1747" customFormat="1" ht="23.25" customHeight="1">
      <c r="A463" s="1289"/>
      <c r="B463" s="1289"/>
      <c r="C463" s="1289"/>
      <c r="D463" s="1289"/>
      <c r="E463" s="24089"/>
      <c r="F463" s="24089" t="s">
        <v>197</v>
      </c>
      <c r="G463" s="24089"/>
      <c r="H463" s="24089"/>
      <c r="I463" s="24091"/>
      <c r="J463" s="24091"/>
      <c r="K463" s="24090" t="str">
        <f>J462&amp;".1"</f>
        <v>1.23.1.1.1.1</v>
      </c>
      <c r="L463" s="1295"/>
      <c r="M463" s="1674"/>
      <c r="N463" s="1674"/>
      <c r="O463" s="1674"/>
      <c r="P463" s="24092"/>
      <c r="Q463" s="24092"/>
      <c r="R463" s="293">
        <v>1</v>
      </c>
      <c r="S463" s="1976" t="str">
        <f>$K463</f>
        <v>1.23.1.1.1.1</v>
      </c>
      <c r="T463" s="1363"/>
      <c r="U463" s="236"/>
      <c r="V463" s="1286"/>
      <c r="W463" s="1286"/>
      <c r="X463" s="1286"/>
      <c r="Y463" s="1286"/>
      <c r="Z463" s="1286"/>
      <c r="AA463" s="1286"/>
      <c r="AB463" s="1286"/>
      <c r="AC463" s="24086"/>
      <c r="AD463" s="24085" t="s">
        <v>59</v>
      </c>
      <c r="AE463" s="24086"/>
      <c r="AF463" s="24085" t="s">
        <v>59</v>
      </c>
      <c r="AG463" s="687">
        <v>233.71</v>
      </c>
      <c r="AH463" s="687">
        <v>86.93</v>
      </c>
      <c r="AI463" s="687"/>
      <c r="AJ463" s="687"/>
      <c r="AK463" s="687">
        <v>2201.88</v>
      </c>
      <c r="AL463" s="687"/>
      <c r="AM463" s="687"/>
      <c r="AN463" s="24093">
        <v>45946.442835648151</v>
      </c>
      <c r="AO463" s="23957" t="s">
        <v>59</v>
      </c>
      <c r="AP463" s="24095">
        <v>46022.442777777775</v>
      </c>
      <c r="AQ463" s="23957" t="s">
        <v>59</v>
      </c>
      <c r="AR463" s="6310">
        <v>235.19</v>
      </c>
      <c r="AS463" s="6310">
        <v>88.41</v>
      </c>
      <c r="AT463" s="6310"/>
      <c r="AU463" s="6310"/>
      <c r="AV463" s="6310">
        <v>2201.88</v>
      </c>
      <c r="AW463" s="6310"/>
      <c r="AX463" s="6310"/>
      <c r="AY463" s="24185">
        <v>46023.603113425925</v>
      </c>
      <c r="AZ463" s="24205" t="s">
        <v>59</v>
      </c>
      <c r="BA463" s="24207">
        <v>46295.603182870371</v>
      </c>
      <c r="BB463" s="24205" t="s">
        <v>59</v>
      </c>
      <c r="BC463" s="6310">
        <v>259.7</v>
      </c>
      <c r="BD463" s="6310">
        <v>95.31</v>
      </c>
      <c r="BE463" s="6310"/>
      <c r="BF463" s="6310"/>
      <c r="BG463" s="687">
        <v>2466.11</v>
      </c>
      <c r="BH463" s="6310"/>
      <c r="BI463" s="6310"/>
      <c r="BJ463" s="24185">
        <v>46296.603321759256</v>
      </c>
      <c r="BK463" s="24205" t="s">
        <v>59</v>
      </c>
      <c r="BL463" s="24207">
        <v>46752.603587962964</v>
      </c>
      <c r="BM463" s="24205" t="s">
        <v>6</v>
      </c>
      <c r="BN463" s="1286"/>
      <c r="BO463" s="1286"/>
      <c r="BP463" s="6354"/>
      <c r="BQ463" s="6354"/>
      <c r="BR463" s="1286"/>
      <c r="BS463" s="6354"/>
      <c r="BT463" s="6354"/>
      <c r="BU463" s="24210"/>
      <c r="BV463" s="24208" t="s">
        <v>59</v>
      </c>
      <c r="BW463" s="24210"/>
      <c r="BX463" s="24208" t="s">
        <v>59</v>
      </c>
      <c r="BY463" s="6354"/>
      <c r="BZ463" s="6354"/>
      <c r="CA463" s="6354"/>
      <c r="CB463" s="6354"/>
      <c r="CC463" s="6354"/>
      <c r="CD463" s="6354"/>
      <c r="CE463" s="6354"/>
      <c r="CF463" s="24210"/>
      <c r="CG463" s="24208" t="s">
        <v>59</v>
      </c>
      <c r="CH463" s="24210"/>
      <c r="CI463" s="24208" t="s">
        <v>59</v>
      </c>
      <c r="CJ463" s="6354"/>
      <c r="CK463" s="6354"/>
      <c r="CL463" s="6354"/>
      <c r="CM463" s="6354"/>
      <c r="CN463" s="6354"/>
      <c r="CO463" s="6354"/>
      <c r="CP463" s="6354"/>
      <c r="CQ463" s="24210"/>
      <c r="CR463" s="24208" t="s">
        <v>59</v>
      </c>
      <c r="CS463" s="24210"/>
      <c r="CT463" s="24208" t="s">
        <v>59</v>
      </c>
      <c r="CU463" s="6354"/>
      <c r="CV463" s="6354"/>
      <c r="CW463" s="6354"/>
      <c r="CX463" s="6354"/>
      <c r="CY463" s="6354"/>
      <c r="CZ463" s="6354"/>
      <c r="DA463" s="6354"/>
      <c r="DB463" s="24210"/>
      <c r="DC463" s="24208" t="s">
        <v>59</v>
      </c>
      <c r="DD463" s="24210"/>
      <c r="DE463" s="24208" t="s">
        <v>59</v>
      </c>
      <c r="DF463" s="6354"/>
      <c r="DG463" s="6354"/>
      <c r="DH463" s="6354"/>
      <c r="DI463" s="6354"/>
      <c r="DJ463" s="6354"/>
      <c r="DK463" s="6354"/>
      <c r="DL463" s="6354"/>
      <c r="DM463" s="24210"/>
      <c r="DN463" s="24208" t="s">
        <v>59</v>
      </c>
      <c r="DO463" s="24210"/>
      <c r="DP463" s="24208" t="s">
        <v>59</v>
      </c>
      <c r="DQ463" s="6354"/>
      <c r="DR463" s="6354"/>
      <c r="DS463" s="6354"/>
      <c r="DT463" s="6354"/>
      <c r="DU463" s="6354"/>
      <c r="DV463" s="6354"/>
      <c r="DW463" s="6354"/>
      <c r="DX463" s="24210"/>
      <c r="DY463" s="24208" t="s">
        <v>59</v>
      </c>
      <c r="DZ463" s="24210"/>
      <c r="EA463" s="24208" t="s">
        <v>59</v>
      </c>
      <c r="EB463" s="6354"/>
      <c r="EC463" s="6354"/>
      <c r="ED463" s="6354"/>
      <c r="EE463" s="6354"/>
      <c r="EF463" s="6354"/>
      <c r="EG463" s="6354"/>
      <c r="EH463" s="6354"/>
      <c r="EI463" s="24210"/>
      <c r="EJ463" s="24208" t="s">
        <v>59</v>
      </c>
      <c r="EK463" s="24210"/>
      <c r="EL463" s="24208" t="s">
        <v>59</v>
      </c>
      <c r="EM463" s="1286"/>
      <c r="EN463" s="1286"/>
      <c r="EO463" s="6354"/>
      <c r="EP463" s="6354"/>
      <c r="EQ463" s="1286"/>
      <c r="ER463" s="6354"/>
      <c r="ES463" s="6354"/>
      <c r="ET463" s="24210"/>
      <c r="EU463" s="24208" t="s">
        <v>59</v>
      </c>
      <c r="EV463" s="24210"/>
      <c r="EW463" s="24208" t="s">
        <v>59</v>
      </c>
      <c r="EX463" s="1286"/>
      <c r="EY463" s="1286"/>
      <c r="EZ463" s="6354"/>
      <c r="FA463" s="6354"/>
      <c r="FB463" s="1286"/>
      <c r="FC463" s="6354"/>
      <c r="FD463" s="6354"/>
      <c r="FE463" s="24210"/>
      <c r="FF463" s="24208" t="s">
        <v>59</v>
      </c>
      <c r="FG463" s="24210"/>
      <c r="FH463" s="24208" t="s">
        <v>59</v>
      </c>
      <c r="FI463" s="1286"/>
      <c r="FJ463" s="1286"/>
      <c r="FK463" s="1286"/>
      <c r="FL463" s="1286"/>
      <c r="FM463" s="1286"/>
      <c r="FN463" s="1286"/>
      <c r="FO463" s="1286"/>
      <c r="FP463" s="24086"/>
      <c r="FQ463" s="24085" t="s">
        <v>59</v>
      </c>
      <c r="FR463" s="24086"/>
      <c r="FS463" s="24085" t="s">
        <v>59</v>
      </c>
      <c r="FT463" s="1364"/>
      <c r="FU463"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63" s="1568" t="e">
        <f ca="1">STRCHECKDATE(V464:FT464)</f>
        <v>#NAME?</v>
      </c>
      <c r="FW463" s="1550"/>
      <c r="FX463" s="1550" t="str">
        <f t="shared" si="7"/>
        <v/>
      </c>
      <c r="FY463" s="1550"/>
      <c r="FZ463" s="1550"/>
      <c r="GA463" s="1561">
        <v>0</v>
      </c>
    </row>
    <row r="464" spans="1:183" s="1747" customFormat="1" ht="14.25" customHeight="1">
      <c r="A464" s="1289"/>
      <c r="B464" s="1289"/>
      <c r="C464" s="1289"/>
      <c r="D464" s="1289"/>
      <c r="E464" s="24089"/>
      <c r="F464" s="24089" t="s">
        <v>197</v>
      </c>
      <c r="G464" s="24089"/>
      <c r="H464" s="24089"/>
      <c r="I464" s="24091"/>
      <c r="J464" s="24091"/>
      <c r="K464" s="24090"/>
      <c r="L464" s="1295"/>
      <c r="M464" s="1674"/>
      <c r="N464" s="1674"/>
      <c r="O464" s="1674"/>
      <c r="P464" s="24092"/>
      <c r="Q464" s="24092"/>
      <c r="R464" s="293"/>
      <c r="S464" s="1982"/>
      <c r="T464" s="236"/>
      <c r="U464" s="236"/>
      <c r="V464" s="1286"/>
      <c r="W464" s="1286"/>
      <c r="X464" s="1286"/>
      <c r="Y464" s="1286"/>
      <c r="Z464" s="1286"/>
      <c r="AA464" s="1286"/>
      <c r="AB464" s="1286"/>
      <c r="AC464" s="24085"/>
      <c r="AD464" s="24085"/>
      <c r="AE464" s="24085"/>
      <c r="AF464" s="24085"/>
      <c r="AG464" s="261"/>
      <c r="AH464" s="261"/>
      <c r="AI464" s="261"/>
      <c r="AJ464" s="261"/>
      <c r="AK464" s="261"/>
      <c r="AL464" s="261"/>
      <c r="AM464" s="261"/>
      <c r="AN464" s="24094"/>
      <c r="AO464" s="23957"/>
      <c r="AP464" s="24096"/>
      <c r="AQ464" s="23957"/>
      <c r="AR464" s="6311"/>
      <c r="AS464" s="6311"/>
      <c r="AT464" s="6311"/>
      <c r="AU464" s="6311"/>
      <c r="AV464" s="6311"/>
      <c r="AW464" s="6311"/>
      <c r="AX464" s="6311"/>
      <c r="AY464" s="24186"/>
      <c r="AZ464" s="24205"/>
      <c r="BA464" s="24209"/>
      <c r="BB464" s="24205"/>
      <c r="BC464" s="6311"/>
      <c r="BD464" s="6311"/>
      <c r="BE464" s="6311"/>
      <c r="BF464" s="6311"/>
      <c r="BG464" s="261"/>
      <c r="BH464" s="6311"/>
      <c r="BI464" s="6311"/>
      <c r="BJ464" s="24186"/>
      <c r="BK464" s="24205"/>
      <c r="BL464" s="24209"/>
      <c r="BM464" s="24205"/>
      <c r="BN464" s="1286"/>
      <c r="BO464" s="1286"/>
      <c r="BP464" s="6354"/>
      <c r="BQ464" s="6354"/>
      <c r="BR464" s="1286"/>
      <c r="BS464" s="6354"/>
      <c r="BT464" s="6354"/>
      <c r="BU464" s="24208"/>
      <c r="BV464" s="24208"/>
      <c r="BW464" s="24208"/>
      <c r="BX464" s="24208"/>
      <c r="BY464" s="6354"/>
      <c r="BZ464" s="6354"/>
      <c r="CA464" s="6354"/>
      <c r="CB464" s="6354"/>
      <c r="CC464" s="6354"/>
      <c r="CD464" s="6354"/>
      <c r="CE464" s="6354"/>
      <c r="CF464" s="24208"/>
      <c r="CG464" s="24208"/>
      <c r="CH464" s="24208"/>
      <c r="CI464" s="24208"/>
      <c r="CJ464" s="6354"/>
      <c r="CK464" s="6354"/>
      <c r="CL464" s="6354"/>
      <c r="CM464" s="6354"/>
      <c r="CN464" s="6354"/>
      <c r="CO464" s="6354"/>
      <c r="CP464" s="6354"/>
      <c r="CQ464" s="24208"/>
      <c r="CR464" s="24208"/>
      <c r="CS464" s="24208"/>
      <c r="CT464" s="24208"/>
      <c r="CU464" s="6354"/>
      <c r="CV464" s="6354"/>
      <c r="CW464" s="6354"/>
      <c r="CX464" s="6354"/>
      <c r="CY464" s="6354"/>
      <c r="CZ464" s="6354"/>
      <c r="DA464" s="6354"/>
      <c r="DB464" s="24208"/>
      <c r="DC464" s="24208"/>
      <c r="DD464" s="24208"/>
      <c r="DE464" s="24208"/>
      <c r="DF464" s="6354"/>
      <c r="DG464" s="6354"/>
      <c r="DH464" s="6354"/>
      <c r="DI464" s="6354"/>
      <c r="DJ464" s="6354"/>
      <c r="DK464" s="6354"/>
      <c r="DL464" s="6354"/>
      <c r="DM464" s="24208"/>
      <c r="DN464" s="24208"/>
      <c r="DO464" s="24208"/>
      <c r="DP464" s="24208"/>
      <c r="DQ464" s="6354"/>
      <c r="DR464" s="6354"/>
      <c r="DS464" s="6354"/>
      <c r="DT464" s="6354"/>
      <c r="DU464" s="6354"/>
      <c r="DV464" s="6354"/>
      <c r="DW464" s="6354"/>
      <c r="DX464" s="24208"/>
      <c r="DY464" s="24208"/>
      <c r="DZ464" s="24208"/>
      <c r="EA464" s="24208"/>
      <c r="EB464" s="6354"/>
      <c r="EC464" s="6354"/>
      <c r="ED464" s="6354"/>
      <c r="EE464" s="6354"/>
      <c r="EF464" s="6354"/>
      <c r="EG464" s="6354"/>
      <c r="EH464" s="6354"/>
      <c r="EI464" s="24208"/>
      <c r="EJ464" s="24208"/>
      <c r="EK464" s="24208"/>
      <c r="EL464" s="24208"/>
      <c r="EM464" s="1286"/>
      <c r="EN464" s="1286"/>
      <c r="EO464" s="6354"/>
      <c r="EP464" s="6354"/>
      <c r="EQ464" s="1286"/>
      <c r="ER464" s="6354"/>
      <c r="ES464" s="6354"/>
      <c r="ET464" s="24208"/>
      <c r="EU464" s="24208"/>
      <c r="EV464" s="24208"/>
      <c r="EW464" s="24208"/>
      <c r="EX464" s="1286"/>
      <c r="EY464" s="1286"/>
      <c r="EZ464" s="6354"/>
      <c r="FA464" s="6354"/>
      <c r="FB464" s="1286"/>
      <c r="FC464" s="6354"/>
      <c r="FD464" s="6354"/>
      <c r="FE464" s="24208"/>
      <c r="FF464" s="24208"/>
      <c r="FG464" s="24208"/>
      <c r="FH464" s="24208"/>
      <c r="FI464" s="1286"/>
      <c r="FJ464" s="1286"/>
      <c r="FK464" s="1286"/>
      <c r="FL464" s="1286"/>
      <c r="FM464" s="1286"/>
      <c r="FN464" s="1286"/>
      <c r="FO464" s="1286"/>
      <c r="FP464" s="24085"/>
      <c r="FQ464" s="24085"/>
      <c r="FR464" s="24085"/>
      <c r="FS464" s="24085"/>
      <c r="FT464" s="1365"/>
      <c r="FU464" s="24162"/>
      <c r="FV464" s="1568"/>
      <c r="FW464" s="1550"/>
      <c r="FX464" s="1550" t="str">
        <f t="shared" si="7"/>
        <v/>
      </c>
      <c r="FY464" s="1550"/>
      <c r="FZ464" s="1550"/>
      <c r="GA464" s="1561">
        <v>0</v>
      </c>
    </row>
    <row r="465" spans="1:183" s="1747" customFormat="1" ht="21" customHeight="1">
      <c r="A465" s="1289"/>
      <c r="B465" s="1289"/>
      <c r="C465" s="1289"/>
      <c r="D465" s="1289"/>
      <c r="E465" s="24089"/>
      <c r="F465" s="24089" t="s">
        <v>197</v>
      </c>
      <c r="G465" s="24089"/>
      <c r="H465" s="24089"/>
      <c r="I465" s="24091"/>
      <c r="J465" s="24090"/>
      <c r="K465" s="1289"/>
      <c r="L465" s="1295"/>
      <c r="M465" s="1674"/>
      <c r="N465" s="1674"/>
      <c r="O465" s="1674"/>
      <c r="P465" s="24092"/>
      <c r="Q465" s="24092"/>
      <c r="R465" s="292"/>
      <c r="S465" s="6042"/>
      <c r="T465" s="6043" t="s">
        <v>712</v>
      </c>
      <c r="U465" s="6044"/>
      <c r="V465" s="6045"/>
      <c r="W465" s="6046"/>
      <c r="X465" s="6047"/>
      <c r="Y465" s="6048"/>
      <c r="Z465" s="6049"/>
      <c r="AA465" s="6050"/>
      <c r="AB465" s="6051"/>
      <c r="AC465" s="6052"/>
      <c r="AD465" s="6053"/>
      <c r="AE465" s="6054"/>
      <c r="AF465" s="6055"/>
      <c r="AG465" s="6056"/>
      <c r="AH465" s="6057"/>
      <c r="AI465" s="6058"/>
      <c r="AJ465" s="6059"/>
      <c r="AK465" s="6060"/>
      <c r="AL465" s="6061"/>
      <c r="AM465" s="6062"/>
      <c r="AN465" s="6063"/>
      <c r="AO465" s="6064"/>
      <c r="AP465" s="6065"/>
      <c r="AQ465" s="6066"/>
      <c r="AR465" s="8114"/>
      <c r="AS465" s="8115"/>
      <c r="AT465" s="8116"/>
      <c r="AU465" s="8117"/>
      <c r="AV465" s="8118"/>
      <c r="AW465" s="8119"/>
      <c r="AX465" s="8120"/>
      <c r="AY465" s="8121"/>
      <c r="AZ465" s="8122"/>
      <c r="BA465" s="8123"/>
      <c r="BB465" s="8124"/>
      <c r="BC465" s="8125"/>
      <c r="BD465" s="8126"/>
      <c r="BE465" s="20634"/>
      <c r="BF465" s="20635"/>
      <c r="BG465" s="21946"/>
      <c r="BH465" s="20636"/>
      <c r="BI465" s="20637"/>
      <c r="BJ465" s="20638"/>
      <c r="BK465" s="20639"/>
      <c r="BL465" s="20640"/>
      <c r="BM465" s="20641"/>
      <c r="BN465" s="6067"/>
      <c r="BO465" s="6068"/>
      <c r="BP465" s="20642"/>
      <c r="BQ465" s="20643"/>
      <c r="BR465" s="6069"/>
      <c r="BS465" s="20644"/>
      <c r="BT465" s="20645"/>
      <c r="BU465" s="20646"/>
      <c r="BV465" s="20647"/>
      <c r="BW465" s="20648"/>
      <c r="BX465" s="20649"/>
      <c r="BY465" s="20650"/>
      <c r="BZ465" s="20651"/>
      <c r="CA465" s="20652"/>
      <c r="CB465" s="20653"/>
      <c r="CC465" s="20654"/>
      <c r="CD465" s="20655"/>
      <c r="CE465" s="20656"/>
      <c r="CF465" s="20657"/>
      <c r="CG465" s="20658"/>
      <c r="CH465" s="20659"/>
      <c r="CI465" s="20660"/>
      <c r="CJ465" s="20661"/>
      <c r="CK465" s="20662"/>
      <c r="CL465" s="20663"/>
      <c r="CM465" s="20664"/>
      <c r="CN465" s="20665"/>
      <c r="CO465" s="20666"/>
      <c r="CP465" s="20667"/>
      <c r="CQ465" s="20668"/>
      <c r="CR465" s="20669"/>
      <c r="CS465" s="20670"/>
      <c r="CT465" s="20671"/>
      <c r="CU465" s="20672"/>
      <c r="CV465" s="20673"/>
      <c r="CW465" s="20674"/>
      <c r="CX465" s="20675"/>
      <c r="CY465" s="20676"/>
      <c r="CZ465" s="20677"/>
      <c r="DA465" s="20678"/>
      <c r="DB465" s="20679"/>
      <c r="DC465" s="20680"/>
      <c r="DD465" s="20681"/>
      <c r="DE465" s="20682"/>
      <c r="DF465" s="20683"/>
      <c r="DG465" s="20684"/>
      <c r="DH465" s="20685"/>
      <c r="DI465" s="20686"/>
      <c r="DJ465" s="20687"/>
      <c r="DK465" s="20688"/>
      <c r="DL465" s="20689"/>
      <c r="DM465" s="20690"/>
      <c r="DN465" s="20691"/>
      <c r="DO465" s="20692"/>
      <c r="DP465" s="20693"/>
      <c r="DQ465" s="20694"/>
      <c r="DR465" s="20695"/>
      <c r="DS465" s="20696"/>
      <c r="DT465" s="20697"/>
      <c r="DU465" s="20698"/>
      <c r="DV465" s="20699"/>
      <c r="DW465" s="20700"/>
      <c r="DX465" s="20701"/>
      <c r="DY465" s="20702"/>
      <c r="DZ465" s="20703"/>
      <c r="EA465" s="20704"/>
      <c r="EB465" s="20705"/>
      <c r="EC465" s="20706"/>
      <c r="ED465" s="20707"/>
      <c r="EE465" s="20708"/>
      <c r="EF465" s="20709"/>
      <c r="EG465" s="20710"/>
      <c r="EH465" s="20711"/>
      <c r="EI465" s="20712"/>
      <c r="EJ465" s="20713"/>
      <c r="EK465" s="20714"/>
      <c r="EL465" s="20715"/>
      <c r="EM465" s="21794"/>
      <c r="EN465" s="21795"/>
      <c r="EO465" s="20716"/>
      <c r="EP465" s="20717"/>
      <c r="EQ465" s="21796"/>
      <c r="ER465" s="20718"/>
      <c r="ES465" s="20719"/>
      <c r="ET465" s="20720"/>
      <c r="EU465" s="20721"/>
      <c r="EV465" s="20722"/>
      <c r="EW465" s="20723"/>
      <c r="EX465" s="6070"/>
      <c r="EY465" s="6071"/>
      <c r="EZ465" s="20724"/>
      <c r="FA465" s="20725"/>
      <c r="FB465" s="6072"/>
      <c r="FC465" s="20726"/>
      <c r="FD465" s="20727"/>
      <c r="FE465" s="20728"/>
      <c r="FF465" s="20729"/>
      <c r="FG465" s="20730"/>
      <c r="FH465" s="6073"/>
      <c r="FI465" s="23166"/>
      <c r="FJ465" s="23167"/>
      <c r="FK465" s="23872"/>
      <c r="FL465" s="23873"/>
      <c r="FM465" s="23168"/>
      <c r="FN465" s="23874"/>
      <c r="FO465" s="23875"/>
      <c r="FP465" s="23169"/>
      <c r="FQ465" s="23170"/>
      <c r="FR465" s="23171"/>
      <c r="FS465" s="23876"/>
      <c r="FT465" s="6074"/>
      <c r="FU465" s="1184" t="s">
        <v>713</v>
      </c>
      <c r="FV465" s="1568"/>
      <c r="FW465" s="1550"/>
      <c r="FX465" s="1550" t="str">
        <f t="shared" si="7"/>
        <v>Добавить значение признака дифференциации</v>
      </c>
      <c r="FY465" s="1550"/>
      <c r="FZ465" s="1550"/>
      <c r="GA465" s="1561">
        <v>0</v>
      </c>
    </row>
    <row r="466" spans="1:183" s="1747" customFormat="1" ht="23.25" customHeight="1">
      <c r="A466" s="1289"/>
      <c r="B466" s="1289"/>
      <c r="C466" s="1289"/>
      <c r="D466" s="1289"/>
      <c r="E466" s="24089"/>
      <c r="F466" s="24089"/>
      <c r="G466" s="24089"/>
      <c r="H466" s="24089"/>
      <c r="I466" s="24091"/>
      <c r="J466" s="24090" t="str">
        <f>I461&amp;".2"</f>
        <v>1.23.1.1.2</v>
      </c>
      <c r="K466" s="1289"/>
      <c r="L466" s="1295" t="s">
        <v>635</v>
      </c>
      <c r="M466" s="1674"/>
      <c r="N466" s="1674"/>
      <c r="O466" s="1674"/>
      <c r="P466" s="24092"/>
      <c r="Q466" s="24206" t="s">
        <v>96</v>
      </c>
      <c r="R466" s="293"/>
      <c r="S466" s="1976" t="str">
        <f>$J466</f>
        <v>1.23.1.1.2</v>
      </c>
      <c r="T466" s="222" t="s">
        <v>636</v>
      </c>
      <c r="U466" s="236"/>
      <c r="V466" s="24076"/>
      <c r="W466" s="24077"/>
      <c r="X466" s="24077"/>
      <c r="Y466" s="24077"/>
      <c r="Z466" s="24077"/>
      <c r="AA466" s="24077"/>
      <c r="AB466" s="24077"/>
      <c r="AC466" s="24077"/>
      <c r="AD466" s="24077"/>
      <c r="AE466" s="24077"/>
      <c r="AF466" s="24078"/>
      <c r="AG466" s="24076" t="s">
        <v>771</v>
      </c>
      <c r="AH466" s="24077"/>
      <c r="AI466" s="24077"/>
      <c r="AJ466" s="24077"/>
      <c r="AK466" s="24077"/>
      <c r="AL466" s="24077"/>
      <c r="AM466" s="24077"/>
      <c r="AN466" s="24077"/>
      <c r="AO466" s="24077"/>
      <c r="AP466" s="24077"/>
      <c r="AQ466" s="24077"/>
      <c r="AR466" s="24179"/>
      <c r="AS466" s="24180"/>
      <c r="AT466" s="24180"/>
      <c r="AU466" s="24180"/>
      <c r="AV466" s="24180"/>
      <c r="AW466" s="24180"/>
      <c r="AX466" s="24180"/>
      <c r="AY466" s="24180"/>
      <c r="AZ466" s="24180"/>
      <c r="BA466" s="24180"/>
      <c r="BB466" s="24181"/>
      <c r="BC466" s="24179"/>
      <c r="BD466" s="24180"/>
      <c r="BE466" s="24180"/>
      <c r="BF466" s="24180"/>
      <c r="BG466" s="24180"/>
      <c r="BH466" s="24180"/>
      <c r="BI466" s="24180"/>
      <c r="BJ466" s="24180"/>
      <c r="BK466" s="24180"/>
      <c r="BL466" s="24180"/>
      <c r="BM466" s="24181"/>
      <c r="BN466" s="24076"/>
      <c r="BO466" s="24077"/>
      <c r="BP466" s="24180"/>
      <c r="BQ466" s="24180"/>
      <c r="BR466" s="24077"/>
      <c r="BS466" s="24180"/>
      <c r="BT466" s="24180"/>
      <c r="BU466" s="24180"/>
      <c r="BV466" s="24180"/>
      <c r="BW466" s="24180"/>
      <c r="BX466" s="24181"/>
      <c r="BY466" s="24179"/>
      <c r="BZ466" s="24180"/>
      <c r="CA466" s="24180"/>
      <c r="CB466" s="24180"/>
      <c r="CC466" s="24180"/>
      <c r="CD466" s="24180"/>
      <c r="CE466" s="24180"/>
      <c r="CF466" s="24180"/>
      <c r="CG466" s="24180"/>
      <c r="CH466" s="24180"/>
      <c r="CI466" s="24181"/>
      <c r="CJ466" s="24179"/>
      <c r="CK466" s="24180"/>
      <c r="CL466" s="24180"/>
      <c r="CM466" s="24180"/>
      <c r="CN466" s="24180"/>
      <c r="CO466" s="24180"/>
      <c r="CP466" s="24180"/>
      <c r="CQ466" s="24180"/>
      <c r="CR466" s="24180"/>
      <c r="CS466" s="24180"/>
      <c r="CT466" s="24181"/>
      <c r="CU466" s="24179"/>
      <c r="CV466" s="24180"/>
      <c r="CW466" s="24180"/>
      <c r="CX466" s="24180"/>
      <c r="CY466" s="24180"/>
      <c r="CZ466" s="24180"/>
      <c r="DA466" s="24180"/>
      <c r="DB466" s="24180"/>
      <c r="DC466" s="24180"/>
      <c r="DD466" s="24180"/>
      <c r="DE466" s="24181"/>
      <c r="DF466" s="24179"/>
      <c r="DG466" s="24180"/>
      <c r="DH466" s="24180"/>
      <c r="DI466" s="24180"/>
      <c r="DJ466" s="24180"/>
      <c r="DK466" s="24180"/>
      <c r="DL466" s="24180"/>
      <c r="DM466" s="24180"/>
      <c r="DN466" s="24180"/>
      <c r="DO466" s="24180"/>
      <c r="DP466" s="24181"/>
      <c r="DQ466" s="24179"/>
      <c r="DR466" s="24180"/>
      <c r="DS466" s="24180"/>
      <c r="DT466" s="24180"/>
      <c r="DU466" s="24180"/>
      <c r="DV466" s="24180"/>
      <c r="DW466" s="24180"/>
      <c r="DX466" s="24180"/>
      <c r="DY466" s="24180"/>
      <c r="DZ466" s="24180"/>
      <c r="EA466" s="24181"/>
      <c r="EB466" s="24179"/>
      <c r="EC466" s="24180"/>
      <c r="ED466" s="24180"/>
      <c r="EE466" s="24180"/>
      <c r="EF466" s="24180"/>
      <c r="EG466" s="24180"/>
      <c r="EH466" s="24180"/>
      <c r="EI466" s="24180"/>
      <c r="EJ466" s="24180"/>
      <c r="EK466" s="24180"/>
      <c r="EL466" s="24181"/>
      <c r="EM466" s="24179"/>
      <c r="EN466" s="24180"/>
      <c r="EO466" s="24180"/>
      <c r="EP466" s="24180"/>
      <c r="EQ466" s="24180"/>
      <c r="ER466" s="24180"/>
      <c r="ES466" s="24180"/>
      <c r="ET466" s="24180"/>
      <c r="EU466" s="24180"/>
      <c r="EV466" s="24180"/>
      <c r="EW466" s="24181"/>
      <c r="EX466" s="24076"/>
      <c r="EY466" s="24077"/>
      <c r="EZ466" s="24180"/>
      <c r="FA466" s="24180"/>
      <c r="FB466" s="24077"/>
      <c r="FC466" s="24180"/>
      <c r="FD466" s="24180"/>
      <c r="FE466" s="24180"/>
      <c r="FF466" s="24180"/>
      <c r="FG466" s="24180"/>
      <c r="FH466" s="24181"/>
      <c r="FI466" s="24076"/>
      <c r="FJ466" s="24077"/>
      <c r="FK466" s="24180"/>
      <c r="FL466" s="24180"/>
      <c r="FM466" s="24077"/>
      <c r="FN466" s="24180"/>
      <c r="FO466" s="24180"/>
      <c r="FP466" s="24077"/>
      <c r="FQ466" s="24077"/>
      <c r="FR466" s="24077"/>
      <c r="FS466" s="24181"/>
      <c r="FT466" s="24078"/>
      <c r="FU466" s="1233" t="s">
        <v>711</v>
      </c>
      <c r="FV466" s="1568"/>
      <c r="FW466" s="1550"/>
      <c r="FX466" s="1550" t="str">
        <f t="shared" si="7"/>
        <v>Группа потребителей</v>
      </c>
      <c r="FY466" s="1550"/>
      <c r="FZ466" s="1550"/>
      <c r="GA466" s="1561">
        <v>0</v>
      </c>
    </row>
    <row r="467" spans="1:183" s="1747" customFormat="1" ht="23.25" customHeight="1">
      <c r="A467" s="1289"/>
      <c r="B467" s="1289"/>
      <c r="C467" s="1289"/>
      <c r="D467" s="1289"/>
      <c r="E467" s="24089"/>
      <c r="F467" s="24089"/>
      <c r="G467" s="24089"/>
      <c r="H467" s="24089"/>
      <c r="I467" s="24091"/>
      <c r="J467" s="24091" t="str">
        <f>I461&amp;".1"</f>
        <v>1.23.1.1.1</v>
      </c>
      <c r="K467" s="24090" t="str">
        <f>J466&amp;".1"</f>
        <v>1.23.1.1.2.1</v>
      </c>
      <c r="L467" s="1295"/>
      <c r="M467" s="1674"/>
      <c r="N467" s="1674"/>
      <c r="O467" s="1674"/>
      <c r="P467" s="24092"/>
      <c r="Q467" s="24092"/>
      <c r="R467" s="293">
        <v>1</v>
      </c>
      <c r="S467" s="1976" t="str">
        <f>$K467</f>
        <v>1.23.1.1.2.1</v>
      </c>
      <c r="T467" s="1363"/>
      <c r="U467" s="236"/>
      <c r="V467" s="1286"/>
      <c r="W467" s="1286"/>
      <c r="X467" s="1286"/>
      <c r="Y467" s="1286"/>
      <c r="Z467" s="1286"/>
      <c r="AA467" s="1286"/>
      <c r="AB467" s="1286"/>
      <c r="AC467" s="24086"/>
      <c r="AD467" s="24085" t="s">
        <v>59</v>
      </c>
      <c r="AE467" s="24086"/>
      <c r="AF467" s="24085" t="s">
        <v>59</v>
      </c>
      <c r="AG467" s="687">
        <v>166.92</v>
      </c>
      <c r="AH467" s="687">
        <v>30.32</v>
      </c>
      <c r="AI467" s="687"/>
      <c r="AJ467" s="687"/>
      <c r="AK467" s="687">
        <v>1958.3</v>
      </c>
      <c r="AL467" s="687"/>
      <c r="AM467" s="687"/>
      <c r="AN467" s="24093">
        <v>45946.443564814814</v>
      </c>
      <c r="AO467" s="23957" t="s">
        <v>59</v>
      </c>
      <c r="AP467" s="24095">
        <v>46022.443495370368</v>
      </c>
      <c r="AQ467" s="23957" t="s">
        <v>59</v>
      </c>
      <c r="AR467" s="6310">
        <v>169.76</v>
      </c>
      <c r="AS467" s="6310">
        <v>30.84</v>
      </c>
      <c r="AT467" s="6310"/>
      <c r="AU467" s="6310"/>
      <c r="AV467" s="6310">
        <v>1982.27</v>
      </c>
      <c r="AW467" s="6310"/>
      <c r="AX467" s="6310"/>
      <c r="AY467" s="24185">
        <v>46023.603148148148</v>
      </c>
      <c r="AZ467" s="24205" t="s">
        <v>59</v>
      </c>
      <c r="BA467" s="24207">
        <v>46295.603252314817</v>
      </c>
      <c r="BB467" s="24205" t="s">
        <v>59</v>
      </c>
      <c r="BC467" s="6310">
        <v>190.14</v>
      </c>
      <c r="BD467" s="6310">
        <v>34.54</v>
      </c>
      <c r="BE467" s="6310"/>
      <c r="BF467" s="6310"/>
      <c r="BG467" s="687">
        <v>2220.14</v>
      </c>
      <c r="BH467" s="6310"/>
      <c r="BI467" s="6310"/>
      <c r="BJ467" s="24185">
        <v>46296.603796296295</v>
      </c>
      <c r="BK467" s="24205" t="s">
        <v>59</v>
      </c>
      <c r="BL467" s="24207">
        <v>46752.603877314818</v>
      </c>
      <c r="BM467" s="24205" t="s">
        <v>6</v>
      </c>
      <c r="BN467" s="1286"/>
      <c r="BO467" s="1286"/>
      <c r="BP467" s="6354"/>
      <c r="BQ467" s="6354"/>
      <c r="BR467" s="1286"/>
      <c r="BS467" s="6354"/>
      <c r="BT467" s="6354"/>
      <c r="BU467" s="24210"/>
      <c r="BV467" s="24208" t="s">
        <v>59</v>
      </c>
      <c r="BW467" s="24210"/>
      <c r="BX467" s="24208" t="s">
        <v>59</v>
      </c>
      <c r="BY467" s="6354"/>
      <c r="BZ467" s="6354"/>
      <c r="CA467" s="6354"/>
      <c r="CB467" s="6354"/>
      <c r="CC467" s="6354"/>
      <c r="CD467" s="6354"/>
      <c r="CE467" s="6354"/>
      <c r="CF467" s="24210"/>
      <c r="CG467" s="24208" t="s">
        <v>59</v>
      </c>
      <c r="CH467" s="24210"/>
      <c r="CI467" s="24208" t="s">
        <v>59</v>
      </c>
      <c r="CJ467" s="6354"/>
      <c r="CK467" s="6354"/>
      <c r="CL467" s="6354"/>
      <c r="CM467" s="6354"/>
      <c r="CN467" s="6354"/>
      <c r="CO467" s="6354"/>
      <c r="CP467" s="6354"/>
      <c r="CQ467" s="24210"/>
      <c r="CR467" s="24208" t="s">
        <v>59</v>
      </c>
      <c r="CS467" s="24210"/>
      <c r="CT467" s="24208" t="s">
        <v>59</v>
      </c>
      <c r="CU467" s="6354"/>
      <c r="CV467" s="6354"/>
      <c r="CW467" s="6354"/>
      <c r="CX467" s="6354"/>
      <c r="CY467" s="6354"/>
      <c r="CZ467" s="6354"/>
      <c r="DA467" s="6354"/>
      <c r="DB467" s="24210"/>
      <c r="DC467" s="24208" t="s">
        <v>59</v>
      </c>
      <c r="DD467" s="24210"/>
      <c r="DE467" s="24208" t="s">
        <v>59</v>
      </c>
      <c r="DF467" s="6354"/>
      <c r="DG467" s="6354"/>
      <c r="DH467" s="6354"/>
      <c r="DI467" s="6354"/>
      <c r="DJ467" s="6354"/>
      <c r="DK467" s="6354"/>
      <c r="DL467" s="6354"/>
      <c r="DM467" s="24210"/>
      <c r="DN467" s="24208" t="s">
        <v>59</v>
      </c>
      <c r="DO467" s="24210"/>
      <c r="DP467" s="24208" t="s">
        <v>59</v>
      </c>
      <c r="DQ467" s="6354"/>
      <c r="DR467" s="6354"/>
      <c r="DS467" s="6354"/>
      <c r="DT467" s="6354"/>
      <c r="DU467" s="6354"/>
      <c r="DV467" s="6354"/>
      <c r="DW467" s="6354"/>
      <c r="DX467" s="24210"/>
      <c r="DY467" s="24208" t="s">
        <v>59</v>
      </c>
      <c r="DZ467" s="24210"/>
      <c r="EA467" s="24208" t="s">
        <v>59</v>
      </c>
      <c r="EB467" s="6354"/>
      <c r="EC467" s="6354"/>
      <c r="ED467" s="6354"/>
      <c r="EE467" s="6354"/>
      <c r="EF467" s="6354"/>
      <c r="EG467" s="6354"/>
      <c r="EH467" s="6354"/>
      <c r="EI467" s="24210"/>
      <c r="EJ467" s="24208" t="s">
        <v>59</v>
      </c>
      <c r="EK467" s="24210"/>
      <c r="EL467" s="24208" t="s">
        <v>59</v>
      </c>
      <c r="EM467" s="1286"/>
      <c r="EN467" s="1286"/>
      <c r="EO467" s="6354"/>
      <c r="EP467" s="6354"/>
      <c r="EQ467" s="1286"/>
      <c r="ER467" s="6354"/>
      <c r="ES467" s="6354"/>
      <c r="ET467" s="24210"/>
      <c r="EU467" s="24208" t="s">
        <v>59</v>
      </c>
      <c r="EV467" s="24210"/>
      <c r="EW467" s="24208" t="s">
        <v>59</v>
      </c>
      <c r="EX467" s="1286"/>
      <c r="EY467" s="1286"/>
      <c r="EZ467" s="6354"/>
      <c r="FA467" s="6354"/>
      <c r="FB467" s="1286"/>
      <c r="FC467" s="6354"/>
      <c r="FD467" s="6354"/>
      <c r="FE467" s="24210"/>
      <c r="FF467" s="24208" t="s">
        <v>59</v>
      </c>
      <c r="FG467" s="24210"/>
      <c r="FH467" s="24208" t="s">
        <v>59</v>
      </c>
      <c r="FI467" s="1286"/>
      <c r="FJ467" s="1286"/>
      <c r="FK467" s="1286"/>
      <c r="FL467" s="1286"/>
      <c r="FM467" s="1286"/>
      <c r="FN467" s="1286"/>
      <c r="FO467" s="1286"/>
      <c r="FP467" s="24086"/>
      <c r="FQ467" s="24085" t="s">
        <v>59</v>
      </c>
      <c r="FR467" s="24086"/>
      <c r="FS467" s="24085" t="s">
        <v>59</v>
      </c>
      <c r="FT467" s="1364"/>
      <c r="FU46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67" s="1568" t="e">
        <f ca="1">STRCHECKDATE(V468:FT468)</f>
        <v>#NAME?</v>
      </c>
      <c r="FW467" s="1550"/>
      <c r="FX467" s="1550" t="str">
        <f t="shared" si="7"/>
        <v/>
      </c>
      <c r="FY467" s="1550"/>
      <c r="FZ467" s="1550"/>
      <c r="GA467" s="1561">
        <v>0</v>
      </c>
    </row>
    <row r="468" spans="1:183" s="1747" customFormat="1" ht="14.25" customHeight="1">
      <c r="A468" s="1289"/>
      <c r="B468" s="1289"/>
      <c r="C468" s="1289"/>
      <c r="D468" s="1289"/>
      <c r="E468" s="24089"/>
      <c r="F468" s="24089"/>
      <c r="G468" s="24089"/>
      <c r="H468" s="24089"/>
      <c r="I468" s="24091"/>
      <c r="J468" s="24091" t="str">
        <f>I461&amp;".1"</f>
        <v>1.23.1.1.1</v>
      </c>
      <c r="K468" s="24090"/>
      <c r="L468" s="1295"/>
      <c r="M468" s="1674"/>
      <c r="N468" s="1674"/>
      <c r="O468" s="1674"/>
      <c r="P468" s="24092"/>
      <c r="Q468" s="24092"/>
      <c r="R468" s="293"/>
      <c r="S468" s="1982"/>
      <c r="T468" s="236"/>
      <c r="U468" s="236"/>
      <c r="V468" s="1286"/>
      <c r="W468" s="1286"/>
      <c r="X468" s="1286"/>
      <c r="Y468" s="1286"/>
      <c r="Z468" s="1286"/>
      <c r="AA468" s="1286"/>
      <c r="AB468" s="1286"/>
      <c r="AC468" s="24085"/>
      <c r="AD468" s="24085"/>
      <c r="AE468" s="24085"/>
      <c r="AF468" s="24085"/>
      <c r="AG468" s="261"/>
      <c r="AH468" s="261"/>
      <c r="AI468" s="261"/>
      <c r="AJ468" s="261"/>
      <c r="AK468" s="261"/>
      <c r="AL468" s="261"/>
      <c r="AM468" s="261"/>
      <c r="AN468" s="24094"/>
      <c r="AO468" s="23957"/>
      <c r="AP468" s="24096"/>
      <c r="AQ468" s="23957"/>
      <c r="AR468" s="6311"/>
      <c r="AS468" s="6311"/>
      <c r="AT468" s="6311"/>
      <c r="AU468" s="6311"/>
      <c r="AV468" s="6311"/>
      <c r="AW468" s="6311"/>
      <c r="AX468" s="6311"/>
      <c r="AY468" s="24186"/>
      <c r="AZ468" s="24205"/>
      <c r="BA468" s="24209"/>
      <c r="BB468" s="24205"/>
      <c r="BC468" s="6311"/>
      <c r="BD468" s="6311"/>
      <c r="BE468" s="6311"/>
      <c r="BF468" s="6311"/>
      <c r="BG468" s="261"/>
      <c r="BH468" s="6311"/>
      <c r="BI468" s="6311"/>
      <c r="BJ468" s="24186"/>
      <c r="BK468" s="24205"/>
      <c r="BL468" s="24209"/>
      <c r="BM468" s="24205"/>
      <c r="BN468" s="1286"/>
      <c r="BO468" s="1286"/>
      <c r="BP468" s="6354"/>
      <c r="BQ468" s="6354"/>
      <c r="BR468" s="1286"/>
      <c r="BS468" s="6354"/>
      <c r="BT468" s="6354"/>
      <c r="BU468" s="24208"/>
      <c r="BV468" s="24208"/>
      <c r="BW468" s="24208"/>
      <c r="BX468" s="24208"/>
      <c r="BY468" s="6354"/>
      <c r="BZ468" s="6354"/>
      <c r="CA468" s="6354"/>
      <c r="CB468" s="6354"/>
      <c r="CC468" s="6354"/>
      <c r="CD468" s="6354"/>
      <c r="CE468" s="6354"/>
      <c r="CF468" s="24208"/>
      <c r="CG468" s="24208"/>
      <c r="CH468" s="24208"/>
      <c r="CI468" s="24208"/>
      <c r="CJ468" s="6354"/>
      <c r="CK468" s="6354"/>
      <c r="CL468" s="6354"/>
      <c r="CM468" s="6354"/>
      <c r="CN468" s="6354"/>
      <c r="CO468" s="6354"/>
      <c r="CP468" s="6354"/>
      <c r="CQ468" s="24208"/>
      <c r="CR468" s="24208"/>
      <c r="CS468" s="24208"/>
      <c r="CT468" s="24208"/>
      <c r="CU468" s="6354"/>
      <c r="CV468" s="6354"/>
      <c r="CW468" s="6354"/>
      <c r="CX468" s="6354"/>
      <c r="CY468" s="6354"/>
      <c r="CZ468" s="6354"/>
      <c r="DA468" s="6354"/>
      <c r="DB468" s="24208"/>
      <c r="DC468" s="24208"/>
      <c r="DD468" s="24208"/>
      <c r="DE468" s="24208"/>
      <c r="DF468" s="6354"/>
      <c r="DG468" s="6354"/>
      <c r="DH468" s="6354"/>
      <c r="DI468" s="6354"/>
      <c r="DJ468" s="6354"/>
      <c r="DK468" s="6354"/>
      <c r="DL468" s="6354"/>
      <c r="DM468" s="24208"/>
      <c r="DN468" s="24208"/>
      <c r="DO468" s="24208"/>
      <c r="DP468" s="24208"/>
      <c r="DQ468" s="6354"/>
      <c r="DR468" s="6354"/>
      <c r="DS468" s="6354"/>
      <c r="DT468" s="6354"/>
      <c r="DU468" s="6354"/>
      <c r="DV468" s="6354"/>
      <c r="DW468" s="6354"/>
      <c r="DX468" s="24208"/>
      <c r="DY468" s="24208"/>
      <c r="DZ468" s="24208"/>
      <c r="EA468" s="24208"/>
      <c r="EB468" s="6354"/>
      <c r="EC468" s="6354"/>
      <c r="ED468" s="6354"/>
      <c r="EE468" s="6354"/>
      <c r="EF468" s="6354"/>
      <c r="EG468" s="6354"/>
      <c r="EH468" s="6354"/>
      <c r="EI468" s="24208"/>
      <c r="EJ468" s="24208"/>
      <c r="EK468" s="24208"/>
      <c r="EL468" s="24208"/>
      <c r="EM468" s="1286"/>
      <c r="EN468" s="1286"/>
      <c r="EO468" s="6354"/>
      <c r="EP468" s="6354"/>
      <c r="EQ468" s="1286"/>
      <c r="ER468" s="6354"/>
      <c r="ES468" s="6354"/>
      <c r="ET468" s="24208"/>
      <c r="EU468" s="24208"/>
      <c r="EV468" s="24208"/>
      <c r="EW468" s="24208"/>
      <c r="EX468" s="1286"/>
      <c r="EY468" s="1286"/>
      <c r="EZ468" s="6354"/>
      <c r="FA468" s="6354"/>
      <c r="FB468" s="1286"/>
      <c r="FC468" s="6354"/>
      <c r="FD468" s="6354"/>
      <c r="FE468" s="24208"/>
      <c r="FF468" s="24208"/>
      <c r="FG468" s="24208"/>
      <c r="FH468" s="24208"/>
      <c r="FI468" s="1286"/>
      <c r="FJ468" s="1286"/>
      <c r="FK468" s="1286"/>
      <c r="FL468" s="1286"/>
      <c r="FM468" s="1286"/>
      <c r="FN468" s="1286"/>
      <c r="FO468" s="1286"/>
      <c r="FP468" s="24085"/>
      <c r="FQ468" s="24085"/>
      <c r="FR468" s="24085"/>
      <c r="FS468" s="24085"/>
      <c r="FT468" s="1365"/>
      <c r="FU468" s="24162"/>
      <c r="FV468" s="1568"/>
      <c r="FW468" s="1550"/>
      <c r="FX468" s="1550" t="str">
        <f t="shared" si="7"/>
        <v/>
      </c>
      <c r="FY468" s="1550"/>
      <c r="FZ468" s="1550"/>
      <c r="GA468" s="1561">
        <v>0</v>
      </c>
    </row>
    <row r="469" spans="1:183" s="1747" customFormat="1" ht="21" customHeight="1">
      <c r="A469" s="1289"/>
      <c r="B469" s="1289"/>
      <c r="C469" s="1289"/>
      <c r="D469" s="1289"/>
      <c r="E469" s="24089"/>
      <c r="F469" s="24089"/>
      <c r="G469" s="24089"/>
      <c r="H469" s="24089"/>
      <c r="I469" s="24091"/>
      <c r="J469" s="24090" t="str">
        <f>I461&amp;".1"</f>
        <v>1.23.1.1.1</v>
      </c>
      <c r="K469" s="1289"/>
      <c r="L469" s="1295"/>
      <c r="M469" s="1674"/>
      <c r="N469" s="1674"/>
      <c r="O469" s="1674"/>
      <c r="P469" s="24092"/>
      <c r="Q469" s="24092"/>
      <c r="R469" s="292"/>
      <c r="S469" s="6075"/>
      <c r="T469" s="6076" t="s">
        <v>712</v>
      </c>
      <c r="U469" s="6077"/>
      <c r="V469" s="6078"/>
      <c r="W469" s="6079"/>
      <c r="X469" s="6080"/>
      <c r="Y469" s="6081"/>
      <c r="Z469" s="6082"/>
      <c r="AA469" s="6083"/>
      <c r="AB469" s="6084"/>
      <c r="AC469" s="6085"/>
      <c r="AD469" s="6086"/>
      <c r="AE469" s="6087"/>
      <c r="AF469" s="6088"/>
      <c r="AG469" s="6089"/>
      <c r="AH469" s="6090"/>
      <c r="AI469" s="6091"/>
      <c r="AJ469" s="6092"/>
      <c r="AK469" s="6093"/>
      <c r="AL469" s="6094"/>
      <c r="AM469" s="6095"/>
      <c r="AN469" s="6096"/>
      <c r="AO469" s="6097"/>
      <c r="AP469" s="6098"/>
      <c r="AQ469" s="6099"/>
      <c r="AR469" s="8127"/>
      <c r="AS469" s="8128"/>
      <c r="AT469" s="8129"/>
      <c r="AU469" s="8130"/>
      <c r="AV469" s="8131"/>
      <c r="AW469" s="8132"/>
      <c r="AX469" s="8133"/>
      <c r="AY469" s="8134"/>
      <c r="AZ469" s="8135"/>
      <c r="BA469" s="8136"/>
      <c r="BB469" s="8137"/>
      <c r="BC469" s="8138"/>
      <c r="BD469" s="8139"/>
      <c r="BE469" s="20731"/>
      <c r="BF469" s="20732"/>
      <c r="BG469" s="21947"/>
      <c r="BH469" s="20733"/>
      <c r="BI469" s="20734"/>
      <c r="BJ469" s="20735"/>
      <c r="BK469" s="20736"/>
      <c r="BL469" s="20737"/>
      <c r="BM469" s="20738"/>
      <c r="BN469" s="6100"/>
      <c r="BO469" s="6101"/>
      <c r="BP469" s="20739"/>
      <c r="BQ469" s="20740"/>
      <c r="BR469" s="6102"/>
      <c r="BS469" s="20741"/>
      <c r="BT469" s="20742"/>
      <c r="BU469" s="20743"/>
      <c r="BV469" s="20744"/>
      <c r="BW469" s="20745"/>
      <c r="BX469" s="20746"/>
      <c r="BY469" s="20747"/>
      <c r="BZ469" s="20748"/>
      <c r="CA469" s="20749"/>
      <c r="CB469" s="20750"/>
      <c r="CC469" s="20751"/>
      <c r="CD469" s="20752"/>
      <c r="CE469" s="20753"/>
      <c r="CF469" s="20754"/>
      <c r="CG469" s="20755"/>
      <c r="CH469" s="20756"/>
      <c r="CI469" s="20757"/>
      <c r="CJ469" s="20758"/>
      <c r="CK469" s="20759"/>
      <c r="CL469" s="20760"/>
      <c r="CM469" s="20761"/>
      <c r="CN469" s="20762"/>
      <c r="CO469" s="20763"/>
      <c r="CP469" s="20764"/>
      <c r="CQ469" s="20765"/>
      <c r="CR469" s="20766"/>
      <c r="CS469" s="20767"/>
      <c r="CT469" s="20768"/>
      <c r="CU469" s="20769"/>
      <c r="CV469" s="20770"/>
      <c r="CW469" s="20771"/>
      <c r="CX469" s="20772"/>
      <c r="CY469" s="20773"/>
      <c r="CZ469" s="20774"/>
      <c r="DA469" s="20775"/>
      <c r="DB469" s="20776"/>
      <c r="DC469" s="20777"/>
      <c r="DD469" s="20778"/>
      <c r="DE469" s="20779"/>
      <c r="DF469" s="20780"/>
      <c r="DG469" s="20781"/>
      <c r="DH469" s="20782"/>
      <c r="DI469" s="20783"/>
      <c r="DJ469" s="20784"/>
      <c r="DK469" s="20785"/>
      <c r="DL469" s="20786"/>
      <c r="DM469" s="20787"/>
      <c r="DN469" s="20788"/>
      <c r="DO469" s="20789"/>
      <c r="DP469" s="20790"/>
      <c r="DQ469" s="20791"/>
      <c r="DR469" s="20792"/>
      <c r="DS469" s="20793"/>
      <c r="DT469" s="20794"/>
      <c r="DU469" s="20795"/>
      <c r="DV469" s="20796"/>
      <c r="DW469" s="20797"/>
      <c r="DX469" s="20798"/>
      <c r="DY469" s="20799"/>
      <c r="DZ469" s="20800"/>
      <c r="EA469" s="20801"/>
      <c r="EB469" s="20802"/>
      <c r="EC469" s="20803"/>
      <c r="ED469" s="20804"/>
      <c r="EE469" s="20805"/>
      <c r="EF469" s="20806"/>
      <c r="EG469" s="20807"/>
      <c r="EH469" s="20808"/>
      <c r="EI469" s="20809"/>
      <c r="EJ469" s="20810"/>
      <c r="EK469" s="20811"/>
      <c r="EL469" s="20812"/>
      <c r="EM469" s="21797"/>
      <c r="EN469" s="21798"/>
      <c r="EO469" s="20813"/>
      <c r="EP469" s="20814"/>
      <c r="EQ469" s="21799"/>
      <c r="ER469" s="20815"/>
      <c r="ES469" s="20816"/>
      <c r="ET469" s="20817"/>
      <c r="EU469" s="20818"/>
      <c r="EV469" s="20819"/>
      <c r="EW469" s="20820"/>
      <c r="EX469" s="6103"/>
      <c r="EY469" s="6104"/>
      <c r="EZ469" s="20821"/>
      <c r="FA469" s="20822"/>
      <c r="FB469" s="6105"/>
      <c r="FC469" s="20823"/>
      <c r="FD469" s="20824"/>
      <c r="FE469" s="20825"/>
      <c r="FF469" s="20826"/>
      <c r="FG469" s="20827"/>
      <c r="FH469" s="6106"/>
      <c r="FI469" s="23172"/>
      <c r="FJ469" s="23173"/>
      <c r="FK469" s="23877"/>
      <c r="FL469" s="23878"/>
      <c r="FM469" s="23174"/>
      <c r="FN469" s="23879"/>
      <c r="FO469" s="23880"/>
      <c r="FP469" s="23175"/>
      <c r="FQ469" s="23176"/>
      <c r="FR469" s="23177"/>
      <c r="FS469" s="23881"/>
      <c r="FT469" s="6107"/>
      <c r="FU469" s="1184" t="s">
        <v>713</v>
      </c>
      <c r="FV469" s="1568"/>
      <c r="FW469" s="1550"/>
      <c r="FX469" s="1550" t="str">
        <f t="shared" si="7"/>
        <v>Добавить значение признака дифференциации</v>
      </c>
      <c r="FY469" s="1550"/>
      <c r="FZ469" s="1550"/>
      <c r="GA469" s="1561">
        <v>0</v>
      </c>
    </row>
    <row r="470" spans="1:183" s="1747" customFormat="1" ht="21" customHeight="1">
      <c r="A470" s="1289"/>
      <c r="B470" s="1289"/>
      <c r="C470" s="1289"/>
      <c r="D470" s="1289"/>
      <c r="E470" s="24089"/>
      <c r="F470" s="24089" t="s">
        <v>197</v>
      </c>
      <c r="G470" s="24089"/>
      <c r="H470" s="24089"/>
      <c r="I470" s="24090"/>
      <c r="J470" s="1289"/>
      <c r="K470" s="1289"/>
      <c r="L470" s="1295"/>
      <c r="M470" s="1674"/>
      <c r="N470" s="1674"/>
      <c r="O470" s="1674"/>
      <c r="P470" s="24092"/>
      <c r="Q470" s="1978"/>
      <c r="R470" s="292"/>
      <c r="S470" s="6108"/>
      <c r="T470" s="6109" t="s">
        <v>641</v>
      </c>
      <c r="U470" s="6110"/>
      <c r="V470" s="6111"/>
      <c r="W470" s="6112"/>
      <c r="X470" s="6113"/>
      <c r="Y470" s="6114"/>
      <c r="Z470" s="6115"/>
      <c r="AA470" s="6116"/>
      <c r="AB470" s="6117"/>
      <c r="AC470" s="6118"/>
      <c r="AD470" s="6119"/>
      <c r="AE470" s="6120"/>
      <c r="AF470" s="6121"/>
      <c r="AG470" s="6122"/>
      <c r="AH470" s="6123"/>
      <c r="AI470" s="6124"/>
      <c r="AJ470" s="6125"/>
      <c r="AK470" s="6126"/>
      <c r="AL470" s="6127"/>
      <c r="AM470" s="6128"/>
      <c r="AN470" s="6129"/>
      <c r="AO470" s="6130"/>
      <c r="AP470" s="6131"/>
      <c r="AQ470" s="6132"/>
      <c r="AR470" s="8140"/>
      <c r="AS470" s="8141"/>
      <c r="AT470" s="8142"/>
      <c r="AU470" s="8143"/>
      <c r="AV470" s="8144"/>
      <c r="AW470" s="8145"/>
      <c r="AX470" s="8146"/>
      <c r="AY470" s="8147"/>
      <c r="AZ470" s="8148"/>
      <c r="BA470" s="8149"/>
      <c r="BB470" s="8150"/>
      <c r="BC470" s="8151"/>
      <c r="BD470" s="8152"/>
      <c r="BE470" s="20828"/>
      <c r="BF470" s="20829"/>
      <c r="BG470" s="21948"/>
      <c r="BH470" s="20830"/>
      <c r="BI470" s="20831"/>
      <c r="BJ470" s="20832"/>
      <c r="BK470" s="20833"/>
      <c r="BL470" s="20834"/>
      <c r="BM470" s="20835"/>
      <c r="BN470" s="6133"/>
      <c r="BO470" s="6134"/>
      <c r="BP470" s="20836"/>
      <c r="BQ470" s="20837"/>
      <c r="BR470" s="6135"/>
      <c r="BS470" s="20838"/>
      <c r="BT470" s="20839"/>
      <c r="BU470" s="20840"/>
      <c r="BV470" s="20841"/>
      <c r="BW470" s="20842"/>
      <c r="BX470" s="20843"/>
      <c r="BY470" s="20844"/>
      <c r="BZ470" s="20845"/>
      <c r="CA470" s="20846"/>
      <c r="CB470" s="20847"/>
      <c r="CC470" s="20848"/>
      <c r="CD470" s="20849"/>
      <c r="CE470" s="20850"/>
      <c r="CF470" s="20851"/>
      <c r="CG470" s="20852"/>
      <c r="CH470" s="20853"/>
      <c r="CI470" s="20854"/>
      <c r="CJ470" s="20855"/>
      <c r="CK470" s="20856"/>
      <c r="CL470" s="20857"/>
      <c r="CM470" s="20858"/>
      <c r="CN470" s="20859"/>
      <c r="CO470" s="20860"/>
      <c r="CP470" s="20861"/>
      <c r="CQ470" s="20862"/>
      <c r="CR470" s="20863"/>
      <c r="CS470" s="20864"/>
      <c r="CT470" s="20865"/>
      <c r="CU470" s="20866"/>
      <c r="CV470" s="20867"/>
      <c r="CW470" s="20868"/>
      <c r="CX470" s="20869"/>
      <c r="CY470" s="20870"/>
      <c r="CZ470" s="20871"/>
      <c r="DA470" s="20872"/>
      <c r="DB470" s="20873"/>
      <c r="DC470" s="20874"/>
      <c r="DD470" s="20875"/>
      <c r="DE470" s="20876"/>
      <c r="DF470" s="20877"/>
      <c r="DG470" s="20878"/>
      <c r="DH470" s="20879"/>
      <c r="DI470" s="20880"/>
      <c r="DJ470" s="20881"/>
      <c r="DK470" s="20882"/>
      <c r="DL470" s="20883"/>
      <c r="DM470" s="20884"/>
      <c r="DN470" s="20885"/>
      <c r="DO470" s="20886"/>
      <c r="DP470" s="20887"/>
      <c r="DQ470" s="20888"/>
      <c r="DR470" s="20889"/>
      <c r="DS470" s="20890"/>
      <c r="DT470" s="20891"/>
      <c r="DU470" s="20892"/>
      <c r="DV470" s="20893"/>
      <c r="DW470" s="20894"/>
      <c r="DX470" s="20895"/>
      <c r="DY470" s="20896"/>
      <c r="DZ470" s="20897"/>
      <c r="EA470" s="20898"/>
      <c r="EB470" s="20899"/>
      <c r="EC470" s="20900"/>
      <c r="ED470" s="20901"/>
      <c r="EE470" s="20902"/>
      <c r="EF470" s="20903"/>
      <c r="EG470" s="20904"/>
      <c r="EH470" s="20905"/>
      <c r="EI470" s="20906"/>
      <c r="EJ470" s="20907"/>
      <c r="EK470" s="20908"/>
      <c r="EL470" s="20909"/>
      <c r="EM470" s="21800"/>
      <c r="EN470" s="21801"/>
      <c r="EO470" s="20910"/>
      <c r="EP470" s="20911"/>
      <c r="EQ470" s="21802"/>
      <c r="ER470" s="20912"/>
      <c r="ES470" s="20913"/>
      <c r="ET470" s="20914"/>
      <c r="EU470" s="20915"/>
      <c r="EV470" s="20916"/>
      <c r="EW470" s="20917"/>
      <c r="EX470" s="6136"/>
      <c r="EY470" s="6137"/>
      <c r="EZ470" s="20918"/>
      <c r="FA470" s="20919"/>
      <c r="FB470" s="6138"/>
      <c r="FC470" s="20920"/>
      <c r="FD470" s="20921"/>
      <c r="FE470" s="20922"/>
      <c r="FF470" s="20923"/>
      <c r="FG470" s="20924"/>
      <c r="FH470" s="6139"/>
      <c r="FI470" s="23178"/>
      <c r="FJ470" s="23179"/>
      <c r="FK470" s="23882"/>
      <c r="FL470" s="23883"/>
      <c r="FM470" s="23180"/>
      <c r="FN470" s="23884"/>
      <c r="FO470" s="23885"/>
      <c r="FP470" s="23181"/>
      <c r="FQ470" s="23182"/>
      <c r="FR470" s="23183"/>
      <c r="FS470" s="23886"/>
      <c r="FT470" s="6140"/>
      <c r="FU470" s="6141"/>
      <c r="FV470" s="1568"/>
      <c r="FW470" s="1550"/>
      <c r="FX470" s="1550" t="str">
        <f t="shared" si="7"/>
        <v>Добавить группу потребителей</v>
      </c>
      <c r="FY470" s="1550"/>
      <c r="FZ470" s="1550"/>
      <c r="GA470" s="1561">
        <v>0</v>
      </c>
    </row>
    <row r="471" spans="1:183" s="1747" customFormat="1" ht="21" customHeight="1">
      <c r="A471" s="1289"/>
      <c r="B471" s="1289"/>
      <c r="C471" s="1289"/>
      <c r="D471" s="1289"/>
      <c r="E471" s="24089"/>
      <c r="F471" s="24089" t="s">
        <v>197</v>
      </c>
      <c r="G471" s="24089"/>
      <c r="H471" s="24088"/>
      <c r="I471" s="1289"/>
      <c r="J471" s="1289"/>
      <c r="K471" s="1289"/>
      <c r="L471" s="1295"/>
      <c r="M471" s="1291"/>
      <c r="N471" s="1291"/>
      <c r="O471" s="1292"/>
      <c r="P471" s="1720"/>
      <c r="Q471" s="311"/>
      <c r="R471" s="291"/>
      <c r="S471" s="6142"/>
      <c r="T471" s="6143" t="s">
        <v>714</v>
      </c>
      <c r="U471" s="6144"/>
      <c r="V471" s="6145"/>
      <c r="W471" s="6146"/>
      <c r="X471" s="6147"/>
      <c r="Y471" s="6148"/>
      <c r="Z471" s="6149"/>
      <c r="AA471" s="6150"/>
      <c r="AB471" s="6151"/>
      <c r="AC471" s="6152"/>
      <c r="AD471" s="6153"/>
      <c r="AE471" s="6154"/>
      <c r="AF471" s="6155"/>
      <c r="AG471" s="6156"/>
      <c r="AH471" s="6157"/>
      <c r="AI471" s="6158"/>
      <c r="AJ471" s="6159"/>
      <c r="AK471" s="6160"/>
      <c r="AL471" s="6161"/>
      <c r="AM471" s="6162"/>
      <c r="AN471" s="6163"/>
      <c r="AO471" s="6164"/>
      <c r="AP471" s="6165"/>
      <c r="AQ471" s="6166"/>
      <c r="AR471" s="8153"/>
      <c r="AS471" s="8154"/>
      <c r="AT471" s="8155"/>
      <c r="AU471" s="8156"/>
      <c r="AV471" s="8157"/>
      <c r="AW471" s="8158"/>
      <c r="AX471" s="8159"/>
      <c r="AY471" s="8160"/>
      <c r="AZ471" s="8161"/>
      <c r="BA471" s="8162"/>
      <c r="BB471" s="8163"/>
      <c r="BC471" s="8164"/>
      <c r="BD471" s="8165"/>
      <c r="BE471" s="20925"/>
      <c r="BF471" s="20926"/>
      <c r="BG471" s="21949"/>
      <c r="BH471" s="20927"/>
      <c r="BI471" s="20928"/>
      <c r="BJ471" s="20929"/>
      <c r="BK471" s="20930"/>
      <c r="BL471" s="20931"/>
      <c r="BM471" s="20932"/>
      <c r="BN471" s="6167"/>
      <c r="BO471" s="6168"/>
      <c r="BP471" s="20933"/>
      <c r="BQ471" s="20934"/>
      <c r="BR471" s="6169"/>
      <c r="BS471" s="20935"/>
      <c r="BT471" s="20936"/>
      <c r="BU471" s="20937"/>
      <c r="BV471" s="20938"/>
      <c r="BW471" s="20939"/>
      <c r="BX471" s="20940"/>
      <c r="BY471" s="20941"/>
      <c r="BZ471" s="20942"/>
      <c r="CA471" s="20943"/>
      <c r="CB471" s="20944"/>
      <c r="CC471" s="20945"/>
      <c r="CD471" s="20946"/>
      <c r="CE471" s="20947"/>
      <c r="CF471" s="20948"/>
      <c r="CG471" s="20949"/>
      <c r="CH471" s="20950"/>
      <c r="CI471" s="20951"/>
      <c r="CJ471" s="20952"/>
      <c r="CK471" s="20953"/>
      <c r="CL471" s="20954"/>
      <c r="CM471" s="20955"/>
      <c r="CN471" s="20956"/>
      <c r="CO471" s="20957"/>
      <c r="CP471" s="20958"/>
      <c r="CQ471" s="20959"/>
      <c r="CR471" s="20960"/>
      <c r="CS471" s="20961"/>
      <c r="CT471" s="20962"/>
      <c r="CU471" s="20963"/>
      <c r="CV471" s="20964"/>
      <c r="CW471" s="20965"/>
      <c r="CX471" s="20966"/>
      <c r="CY471" s="20967"/>
      <c r="CZ471" s="20968"/>
      <c r="DA471" s="20969"/>
      <c r="DB471" s="20970"/>
      <c r="DC471" s="20971"/>
      <c r="DD471" s="20972"/>
      <c r="DE471" s="20973"/>
      <c r="DF471" s="20974"/>
      <c r="DG471" s="20975"/>
      <c r="DH471" s="20976"/>
      <c r="DI471" s="20977"/>
      <c r="DJ471" s="20978"/>
      <c r="DK471" s="20979"/>
      <c r="DL471" s="20980"/>
      <c r="DM471" s="20981"/>
      <c r="DN471" s="20982"/>
      <c r="DO471" s="20983"/>
      <c r="DP471" s="20984"/>
      <c r="DQ471" s="20985"/>
      <c r="DR471" s="20986"/>
      <c r="DS471" s="20987"/>
      <c r="DT471" s="20988"/>
      <c r="DU471" s="20989"/>
      <c r="DV471" s="20990"/>
      <c r="DW471" s="20991"/>
      <c r="DX471" s="20992"/>
      <c r="DY471" s="20993"/>
      <c r="DZ471" s="20994"/>
      <c r="EA471" s="20995"/>
      <c r="EB471" s="20996"/>
      <c r="EC471" s="20997"/>
      <c r="ED471" s="20998"/>
      <c r="EE471" s="20999"/>
      <c r="EF471" s="21000"/>
      <c r="EG471" s="21001"/>
      <c r="EH471" s="21002"/>
      <c r="EI471" s="21003"/>
      <c r="EJ471" s="21004"/>
      <c r="EK471" s="21005"/>
      <c r="EL471" s="21006"/>
      <c r="EM471" s="21803"/>
      <c r="EN471" s="21804"/>
      <c r="EO471" s="21007"/>
      <c r="EP471" s="21008"/>
      <c r="EQ471" s="21805"/>
      <c r="ER471" s="21009"/>
      <c r="ES471" s="21010"/>
      <c r="ET471" s="21011"/>
      <c r="EU471" s="21012"/>
      <c r="EV471" s="21013"/>
      <c r="EW471" s="21014"/>
      <c r="EX471" s="6170"/>
      <c r="EY471" s="6171"/>
      <c r="EZ471" s="21015"/>
      <c r="FA471" s="21016"/>
      <c r="FB471" s="6172"/>
      <c r="FC471" s="21017"/>
      <c r="FD471" s="21018"/>
      <c r="FE471" s="21019"/>
      <c r="FF471" s="21020"/>
      <c r="FG471" s="21021"/>
      <c r="FH471" s="6173"/>
      <c r="FI471" s="23184"/>
      <c r="FJ471" s="23185"/>
      <c r="FK471" s="23887"/>
      <c r="FL471" s="23888"/>
      <c r="FM471" s="23186"/>
      <c r="FN471" s="23889"/>
      <c r="FO471" s="23890"/>
      <c r="FP471" s="23187"/>
      <c r="FQ471" s="23188"/>
      <c r="FR471" s="23189"/>
      <c r="FS471" s="23891"/>
      <c r="FT471" s="6174"/>
      <c r="FU471" s="6175"/>
      <c r="FV471" s="1568"/>
      <c r="FW471" s="1550"/>
      <c r="FX471" s="1550" t="str">
        <f t="shared" si="7"/>
        <v>Добавить наименование признака дифференциации</v>
      </c>
      <c r="FY471" s="1550"/>
      <c r="FZ471" s="1550"/>
      <c r="GA471" s="1561">
        <v>0</v>
      </c>
    </row>
    <row r="472" spans="1:183" s="558" customFormat="1" ht="14.25" customHeight="1">
      <c r="A472" s="1269"/>
      <c r="B472" s="1269"/>
      <c r="C472" s="1269"/>
      <c r="D472" s="1269"/>
      <c r="E472" s="24089"/>
      <c r="F472" s="24088" t="s">
        <v>197</v>
      </c>
      <c r="G472" s="1269"/>
      <c r="H472" s="1269"/>
      <c r="I472" s="1269"/>
      <c r="J472" s="1269"/>
      <c r="K472" s="1269"/>
      <c r="L472" s="1471"/>
      <c r="M472" s="1247"/>
      <c r="N472" s="1247"/>
      <c r="O472" s="1568"/>
      <c r="P472" s="1242"/>
      <c r="Q472" s="1270"/>
      <c r="R472" s="1242"/>
      <c r="S472" s="1248"/>
      <c r="T472" s="1251" t="s">
        <v>370</v>
      </c>
      <c r="U472" s="1250"/>
      <c r="V472" s="1250"/>
      <c r="W472" s="1250"/>
      <c r="X472" s="1250"/>
      <c r="Y472" s="1250"/>
      <c r="Z472" s="1250"/>
      <c r="AA472" s="1250"/>
      <c r="AB472" s="1250"/>
      <c r="AC472" s="1250"/>
      <c r="AD472" s="1250"/>
      <c r="AE472" s="1250"/>
      <c r="AF472" s="1250"/>
      <c r="AG472" s="1250"/>
      <c r="AH472" s="1250"/>
      <c r="AI472" s="1250"/>
      <c r="AJ472" s="1250"/>
      <c r="AK472" s="1250"/>
      <c r="AL472" s="1250"/>
      <c r="AM472" s="1250"/>
      <c r="AN472" s="1250"/>
      <c r="AO472" s="1250"/>
      <c r="AP472" s="1250"/>
      <c r="AQ472" s="1250"/>
      <c r="AR472" s="1250"/>
      <c r="AS472" s="1250"/>
      <c r="AT472" s="1250"/>
      <c r="AU472" s="1250"/>
      <c r="AV472" s="1250"/>
      <c r="AW472" s="1250"/>
      <c r="AX472" s="1250"/>
      <c r="AY472" s="1250"/>
      <c r="AZ472" s="1250"/>
      <c r="BA472" s="1250"/>
      <c r="BB472" s="1250"/>
      <c r="BC472" s="1250"/>
      <c r="BD472" s="1250"/>
      <c r="BE472" s="1250"/>
      <c r="BF472" s="1250"/>
      <c r="BG472" s="1250"/>
      <c r="BH472" s="1250"/>
      <c r="BI472" s="1250"/>
      <c r="BJ472" s="1250"/>
      <c r="BK472" s="1250"/>
      <c r="BL472" s="1250"/>
      <c r="BM472" s="1250"/>
      <c r="BN472" s="1250"/>
      <c r="BO472" s="1250"/>
      <c r="BP472" s="1250"/>
      <c r="BQ472" s="1250"/>
      <c r="BR472" s="1250"/>
      <c r="BS472" s="1250"/>
      <c r="BT472" s="1250"/>
      <c r="BU472" s="1250"/>
      <c r="BV472" s="1250"/>
      <c r="BW472" s="1250"/>
      <c r="BX472" s="1250"/>
      <c r="BY472" s="1250"/>
      <c r="BZ472" s="1250"/>
      <c r="CA472" s="1250"/>
      <c r="CB472" s="1250"/>
      <c r="CC472" s="1250"/>
      <c r="CD472" s="1250"/>
      <c r="CE472" s="1250"/>
      <c r="CF472" s="1250"/>
      <c r="CG472" s="1250"/>
      <c r="CH472" s="1250"/>
      <c r="CI472" s="1250"/>
      <c r="CJ472" s="1250"/>
      <c r="CK472" s="1250"/>
      <c r="CL472" s="1250"/>
      <c r="CM472" s="1250"/>
      <c r="CN472" s="1250"/>
      <c r="CO472" s="1250"/>
      <c r="CP472" s="1250"/>
      <c r="CQ472" s="1250"/>
      <c r="CR472" s="1250"/>
      <c r="CS472" s="1250"/>
      <c r="CT472" s="1250"/>
      <c r="CU472" s="1250"/>
      <c r="CV472" s="1250"/>
      <c r="CW472" s="1250"/>
      <c r="CX472" s="1250"/>
      <c r="CY472" s="1250"/>
      <c r="CZ472" s="1250"/>
      <c r="DA472" s="1250"/>
      <c r="DB472" s="1250"/>
      <c r="DC472" s="1250"/>
      <c r="DD472" s="1250"/>
      <c r="DE472" s="1250"/>
      <c r="DF472" s="1250"/>
      <c r="DG472" s="1250"/>
      <c r="DH472" s="1250"/>
      <c r="DI472" s="1250"/>
      <c r="DJ472" s="1250"/>
      <c r="DK472" s="1250"/>
      <c r="DL472" s="1250"/>
      <c r="DM472" s="1250"/>
      <c r="DN472" s="1250"/>
      <c r="DO472" s="1250"/>
      <c r="DP472" s="1250"/>
      <c r="DQ472" s="1250"/>
      <c r="DR472" s="1250"/>
      <c r="DS472" s="1250"/>
      <c r="DT472" s="1250"/>
      <c r="DU472" s="1250"/>
      <c r="DV472" s="1250"/>
      <c r="DW472" s="1250"/>
      <c r="DX472" s="1250"/>
      <c r="DY472" s="1250"/>
      <c r="DZ472" s="1250"/>
      <c r="EA472" s="1250"/>
      <c r="EB472" s="1250"/>
      <c r="EC472" s="1250"/>
      <c r="ED472" s="1250"/>
      <c r="EE472" s="1250"/>
      <c r="EF472" s="1250"/>
      <c r="EG472" s="1250"/>
      <c r="EH472" s="1250"/>
      <c r="EI472" s="1250"/>
      <c r="EJ472" s="1250"/>
      <c r="EK472" s="1250"/>
      <c r="EL472" s="1250"/>
      <c r="EM472" s="1250"/>
      <c r="EN472" s="1250"/>
      <c r="EO472" s="1250"/>
      <c r="EP472" s="1250"/>
      <c r="EQ472" s="1250"/>
      <c r="ER472" s="1250"/>
      <c r="ES472" s="1250"/>
      <c r="ET472" s="1250"/>
      <c r="EU472" s="1250"/>
      <c r="EV472" s="1250"/>
      <c r="EW472" s="1250"/>
      <c r="EX472" s="1250"/>
      <c r="EY472" s="1250"/>
      <c r="EZ472" s="1250"/>
      <c r="FA472" s="1250"/>
      <c r="FB472" s="1250"/>
      <c r="FC472" s="1250"/>
      <c r="FD472" s="1250"/>
      <c r="FE472" s="1250"/>
      <c r="FF472" s="1250"/>
      <c r="FG472" s="1250"/>
      <c r="FH472" s="5653"/>
      <c r="FI472" s="1250"/>
      <c r="FJ472" s="1250"/>
      <c r="FK472" s="1250"/>
      <c r="FL472" s="1250"/>
      <c r="FM472" s="1250"/>
      <c r="FN472" s="1250"/>
      <c r="FO472" s="1250"/>
      <c r="FP472" s="1250"/>
      <c r="FQ472" s="1250"/>
      <c r="FR472" s="1250"/>
      <c r="FS472" s="1250"/>
      <c r="FT472" s="1250"/>
      <c r="FU472" s="1250"/>
      <c r="FV472" s="1568"/>
      <c r="FW472" s="1550"/>
      <c r="FX472" s="1550" t="str">
        <f t="shared" si="7"/>
        <v>Добавить централизованную систему для дифференциации</v>
      </c>
      <c r="FY472" s="1550"/>
      <c r="FZ472" s="1550"/>
      <c r="GA472" s="1568">
        <v>0</v>
      </c>
    </row>
    <row r="473" spans="1:183" s="1747" customFormat="1" ht="23.25" customHeight="1">
      <c r="A473" s="1289"/>
      <c r="B473" s="1289" t="s">
        <v>475</v>
      </c>
      <c r="C473" s="1289"/>
      <c r="D473" s="1289"/>
      <c r="E473" s="24089"/>
      <c r="F473" s="24088" t="s">
        <v>207</v>
      </c>
      <c r="G473" s="1289"/>
      <c r="H473" s="1289"/>
      <c r="I473" s="1289"/>
      <c r="J473" s="1289"/>
      <c r="K473" s="1289"/>
      <c r="L473" s="1295"/>
      <c r="M473" s="1291"/>
      <c r="N473" s="1291"/>
      <c r="O473" s="1291"/>
      <c r="P473" s="1971"/>
      <c r="Q473" s="288"/>
      <c r="R473" s="289"/>
      <c r="S473" s="1976" t="str">
        <f>INDEX(PT_DIFFERENTIATION_NUM_TER,MATCH(B473,PT_DIFFERENTIATION_TER_ID,0))</f>
        <v>1.24</v>
      </c>
      <c r="T473" s="1448" t="s">
        <v>626</v>
      </c>
      <c r="U473" s="236"/>
      <c r="V473" s="24082"/>
      <c r="W473" s="24083"/>
      <c r="X473" s="24083"/>
      <c r="Y473" s="24083"/>
      <c r="Z473" s="24083"/>
      <c r="AA473" s="24083"/>
      <c r="AB473" s="24083"/>
      <c r="AC473" s="24083"/>
      <c r="AD473" s="24083"/>
      <c r="AE473" s="24083"/>
      <c r="AF473" s="24084"/>
      <c r="AG473" s="24082" t="str">
        <f>INDEX(PT_DIFFERENTIATION_TER,MATCH(B473,PT_DIFFERENTIATION_TER_ID,0))</f>
        <v>Территория 24</v>
      </c>
      <c r="AH473" s="24083"/>
      <c r="AI473" s="24083"/>
      <c r="AJ473" s="24083"/>
      <c r="AK473" s="24083"/>
      <c r="AL473" s="24083"/>
      <c r="AM473" s="24083"/>
      <c r="AN473" s="24083"/>
      <c r="AO473" s="24083"/>
      <c r="AP473" s="24083"/>
      <c r="AQ473" s="24083"/>
      <c r="AR473" s="24173"/>
      <c r="AS473" s="24174"/>
      <c r="AT473" s="24174"/>
      <c r="AU473" s="24174"/>
      <c r="AV473" s="24174"/>
      <c r="AW473" s="24174"/>
      <c r="AX473" s="24174"/>
      <c r="AY473" s="24174"/>
      <c r="AZ473" s="24174"/>
      <c r="BA473" s="24174"/>
      <c r="BB473" s="24175"/>
      <c r="BC473" s="24173"/>
      <c r="BD473" s="24174"/>
      <c r="BE473" s="24174"/>
      <c r="BF473" s="24174"/>
      <c r="BG473" s="24174"/>
      <c r="BH473" s="24174"/>
      <c r="BI473" s="24174"/>
      <c r="BJ473" s="24174"/>
      <c r="BK473" s="24174"/>
      <c r="BL473" s="24174"/>
      <c r="BM473" s="24175"/>
      <c r="BN473" s="24082"/>
      <c r="BO473" s="24083"/>
      <c r="BP473" s="24174"/>
      <c r="BQ473" s="24174"/>
      <c r="BR473" s="24083"/>
      <c r="BS473" s="24174"/>
      <c r="BT473" s="24174"/>
      <c r="BU473" s="24174"/>
      <c r="BV473" s="24174"/>
      <c r="BW473" s="24174"/>
      <c r="BX473" s="24175"/>
      <c r="BY473" s="24173"/>
      <c r="BZ473" s="24174"/>
      <c r="CA473" s="24174"/>
      <c r="CB473" s="24174"/>
      <c r="CC473" s="24174"/>
      <c r="CD473" s="24174"/>
      <c r="CE473" s="24174"/>
      <c r="CF473" s="24174"/>
      <c r="CG473" s="24174"/>
      <c r="CH473" s="24174"/>
      <c r="CI473" s="24175"/>
      <c r="CJ473" s="24173"/>
      <c r="CK473" s="24174"/>
      <c r="CL473" s="24174"/>
      <c r="CM473" s="24174"/>
      <c r="CN473" s="24174"/>
      <c r="CO473" s="24174"/>
      <c r="CP473" s="24174"/>
      <c r="CQ473" s="24174"/>
      <c r="CR473" s="24174"/>
      <c r="CS473" s="24174"/>
      <c r="CT473" s="24175"/>
      <c r="CU473" s="24173"/>
      <c r="CV473" s="24174"/>
      <c r="CW473" s="24174"/>
      <c r="CX473" s="24174"/>
      <c r="CY473" s="24174"/>
      <c r="CZ473" s="24174"/>
      <c r="DA473" s="24174"/>
      <c r="DB473" s="24174"/>
      <c r="DC473" s="24174"/>
      <c r="DD473" s="24174"/>
      <c r="DE473" s="24175"/>
      <c r="DF473" s="24173"/>
      <c r="DG473" s="24174"/>
      <c r="DH473" s="24174"/>
      <c r="DI473" s="24174"/>
      <c r="DJ473" s="24174"/>
      <c r="DK473" s="24174"/>
      <c r="DL473" s="24174"/>
      <c r="DM473" s="24174"/>
      <c r="DN473" s="24174"/>
      <c r="DO473" s="24174"/>
      <c r="DP473" s="24175"/>
      <c r="DQ473" s="24173"/>
      <c r="DR473" s="24174"/>
      <c r="DS473" s="24174"/>
      <c r="DT473" s="24174"/>
      <c r="DU473" s="24174"/>
      <c r="DV473" s="24174"/>
      <c r="DW473" s="24174"/>
      <c r="DX473" s="24174"/>
      <c r="DY473" s="24174"/>
      <c r="DZ473" s="24174"/>
      <c r="EA473" s="24175"/>
      <c r="EB473" s="24173"/>
      <c r="EC473" s="24174"/>
      <c r="ED473" s="24174"/>
      <c r="EE473" s="24174"/>
      <c r="EF473" s="24174"/>
      <c r="EG473" s="24174"/>
      <c r="EH473" s="24174"/>
      <c r="EI473" s="24174"/>
      <c r="EJ473" s="24174"/>
      <c r="EK473" s="24174"/>
      <c r="EL473" s="24175"/>
      <c r="EM473" s="24173"/>
      <c r="EN473" s="24174"/>
      <c r="EO473" s="24174"/>
      <c r="EP473" s="24174"/>
      <c r="EQ473" s="24174"/>
      <c r="ER473" s="24174"/>
      <c r="ES473" s="24174"/>
      <c r="ET473" s="24174"/>
      <c r="EU473" s="24174"/>
      <c r="EV473" s="24174"/>
      <c r="EW473" s="24175"/>
      <c r="EX473" s="24082"/>
      <c r="EY473" s="24083"/>
      <c r="EZ473" s="24174"/>
      <c r="FA473" s="24174"/>
      <c r="FB473" s="24083"/>
      <c r="FC473" s="24174"/>
      <c r="FD473" s="24174"/>
      <c r="FE473" s="24174"/>
      <c r="FF473" s="24174"/>
      <c r="FG473" s="24174"/>
      <c r="FH473" s="24175"/>
      <c r="FI473" s="24082"/>
      <c r="FJ473" s="24083"/>
      <c r="FK473" s="24174"/>
      <c r="FL473" s="24174"/>
      <c r="FM473" s="24083"/>
      <c r="FN473" s="24174"/>
      <c r="FO473" s="24174"/>
      <c r="FP473" s="24083"/>
      <c r="FQ473" s="24083"/>
      <c r="FR473" s="24083"/>
      <c r="FS473" s="24175"/>
      <c r="FT473" s="24084"/>
      <c r="FU473" s="1184" t="s">
        <v>627</v>
      </c>
      <c r="FV473" s="1568"/>
      <c r="FW473" s="1550"/>
      <c r="FX473" s="1550" t="str">
        <f t="shared" si="7"/>
        <v>Территория действия тарифа</v>
      </c>
      <c r="FY473" s="1550"/>
      <c r="FZ473" s="1550"/>
      <c r="GA473" s="1561">
        <v>0</v>
      </c>
    </row>
    <row r="474" spans="1:183" s="1747" customFormat="1" ht="23.25" customHeight="1">
      <c r="A474" s="1289"/>
      <c r="B474" s="1289"/>
      <c r="C474" s="1289" t="s">
        <v>476</v>
      </c>
      <c r="D474" s="1289"/>
      <c r="E474" s="24089"/>
      <c r="F474" s="24089" t="s">
        <v>202</v>
      </c>
      <c r="G474" s="24088">
        <v>1</v>
      </c>
      <c r="H474" s="1289"/>
      <c r="I474" s="1289"/>
      <c r="J474" s="1289"/>
      <c r="K474" s="1289"/>
      <c r="L474" s="1295"/>
      <c r="M474" s="1291"/>
      <c r="N474" s="1291"/>
      <c r="O474" s="1291"/>
      <c r="P474" s="290"/>
      <c r="Q474" s="288"/>
      <c r="R474" s="289"/>
      <c r="S474" s="1976" t="str">
        <f>INDEX(PT_DIFFERENTIATION_NUM_CS,MATCH(C474,PT_DIFFERENTIATION_CS_ID,0))</f>
        <v>1.24.1</v>
      </c>
      <c r="T474" s="245" t="s">
        <v>756</v>
      </c>
      <c r="U474" s="236"/>
      <c r="V474" s="24082"/>
      <c r="W474" s="24083"/>
      <c r="X474" s="24083"/>
      <c r="Y474" s="24083"/>
      <c r="Z474" s="24083"/>
      <c r="AA474" s="24083"/>
      <c r="AB474" s="24083"/>
      <c r="AC474" s="24083"/>
      <c r="AD474" s="24083"/>
      <c r="AE474" s="24083"/>
      <c r="AF474" s="24084"/>
      <c r="AG474" s="24082" t="str">
        <f>INDEX(PT_DIFFERENTIATION_CS,MATCH(C474,PT_DIFFERENTIATION_CS_ID,0))</f>
        <v>для потребителей с. Первомайский Шумячского муниципального округа Смоленской области</v>
      </c>
      <c r="AH474" s="24083"/>
      <c r="AI474" s="24083"/>
      <c r="AJ474" s="24083"/>
      <c r="AK474" s="24083"/>
      <c r="AL474" s="24083"/>
      <c r="AM474" s="24083"/>
      <c r="AN474" s="24083"/>
      <c r="AO474" s="24083"/>
      <c r="AP474" s="24083"/>
      <c r="AQ474" s="24083"/>
      <c r="AR474" s="24173"/>
      <c r="AS474" s="24174"/>
      <c r="AT474" s="24174"/>
      <c r="AU474" s="24174"/>
      <c r="AV474" s="24174"/>
      <c r="AW474" s="24174"/>
      <c r="AX474" s="24174"/>
      <c r="AY474" s="24174"/>
      <c r="AZ474" s="24174"/>
      <c r="BA474" s="24174"/>
      <c r="BB474" s="24175"/>
      <c r="BC474" s="24173"/>
      <c r="BD474" s="24174"/>
      <c r="BE474" s="24174"/>
      <c r="BF474" s="24174"/>
      <c r="BG474" s="24174"/>
      <c r="BH474" s="24174"/>
      <c r="BI474" s="24174"/>
      <c r="BJ474" s="24174"/>
      <c r="BK474" s="24174"/>
      <c r="BL474" s="24174"/>
      <c r="BM474" s="24175"/>
      <c r="BN474" s="24082"/>
      <c r="BO474" s="24083"/>
      <c r="BP474" s="24174"/>
      <c r="BQ474" s="24174"/>
      <c r="BR474" s="24083"/>
      <c r="BS474" s="24174"/>
      <c r="BT474" s="24174"/>
      <c r="BU474" s="24174"/>
      <c r="BV474" s="24174"/>
      <c r="BW474" s="24174"/>
      <c r="BX474" s="24175"/>
      <c r="BY474" s="24173"/>
      <c r="BZ474" s="24174"/>
      <c r="CA474" s="24174"/>
      <c r="CB474" s="24174"/>
      <c r="CC474" s="24174"/>
      <c r="CD474" s="24174"/>
      <c r="CE474" s="24174"/>
      <c r="CF474" s="24174"/>
      <c r="CG474" s="24174"/>
      <c r="CH474" s="24174"/>
      <c r="CI474" s="24175"/>
      <c r="CJ474" s="24173"/>
      <c r="CK474" s="24174"/>
      <c r="CL474" s="24174"/>
      <c r="CM474" s="24174"/>
      <c r="CN474" s="24174"/>
      <c r="CO474" s="24174"/>
      <c r="CP474" s="24174"/>
      <c r="CQ474" s="24174"/>
      <c r="CR474" s="24174"/>
      <c r="CS474" s="24174"/>
      <c r="CT474" s="24175"/>
      <c r="CU474" s="24173"/>
      <c r="CV474" s="24174"/>
      <c r="CW474" s="24174"/>
      <c r="CX474" s="24174"/>
      <c r="CY474" s="24174"/>
      <c r="CZ474" s="24174"/>
      <c r="DA474" s="24174"/>
      <c r="DB474" s="24174"/>
      <c r="DC474" s="24174"/>
      <c r="DD474" s="24174"/>
      <c r="DE474" s="24175"/>
      <c r="DF474" s="24173"/>
      <c r="DG474" s="24174"/>
      <c r="DH474" s="24174"/>
      <c r="DI474" s="24174"/>
      <c r="DJ474" s="24174"/>
      <c r="DK474" s="24174"/>
      <c r="DL474" s="24174"/>
      <c r="DM474" s="24174"/>
      <c r="DN474" s="24174"/>
      <c r="DO474" s="24174"/>
      <c r="DP474" s="24175"/>
      <c r="DQ474" s="24173"/>
      <c r="DR474" s="24174"/>
      <c r="DS474" s="24174"/>
      <c r="DT474" s="24174"/>
      <c r="DU474" s="24174"/>
      <c r="DV474" s="24174"/>
      <c r="DW474" s="24174"/>
      <c r="DX474" s="24174"/>
      <c r="DY474" s="24174"/>
      <c r="DZ474" s="24174"/>
      <c r="EA474" s="24175"/>
      <c r="EB474" s="24173"/>
      <c r="EC474" s="24174"/>
      <c r="ED474" s="24174"/>
      <c r="EE474" s="24174"/>
      <c r="EF474" s="24174"/>
      <c r="EG474" s="24174"/>
      <c r="EH474" s="24174"/>
      <c r="EI474" s="24174"/>
      <c r="EJ474" s="24174"/>
      <c r="EK474" s="24174"/>
      <c r="EL474" s="24175"/>
      <c r="EM474" s="24173"/>
      <c r="EN474" s="24174"/>
      <c r="EO474" s="24174"/>
      <c r="EP474" s="24174"/>
      <c r="EQ474" s="24174"/>
      <c r="ER474" s="24174"/>
      <c r="ES474" s="24174"/>
      <c r="ET474" s="24174"/>
      <c r="EU474" s="24174"/>
      <c r="EV474" s="24174"/>
      <c r="EW474" s="24175"/>
      <c r="EX474" s="24082"/>
      <c r="EY474" s="24083"/>
      <c r="EZ474" s="24174"/>
      <c r="FA474" s="24174"/>
      <c r="FB474" s="24083"/>
      <c r="FC474" s="24174"/>
      <c r="FD474" s="24174"/>
      <c r="FE474" s="24174"/>
      <c r="FF474" s="24174"/>
      <c r="FG474" s="24174"/>
      <c r="FH474" s="24175"/>
      <c r="FI474" s="24082"/>
      <c r="FJ474" s="24083"/>
      <c r="FK474" s="24174"/>
      <c r="FL474" s="24174"/>
      <c r="FM474" s="24083"/>
      <c r="FN474" s="24174"/>
      <c r="FO474" s="24174"/>
      <c r="FP474" s="24083"/>
      <c r="FQ474" s="24083"/>
      <c r="FR474" s="24083"/>
      <c r="FS474" s="24175"/>
      <c r="FT474" s="24084"/>
      <c r="FU474" s="1184" t="s">
        <v>757</v>
      </c>
      <c r="FV474" s="1568"/>
      <c r="FW474" s="1550"/>
      <c r="FX474" s="1550" t="str">
        <f t="shared" si="7"/>
        <v>Наименование централизованной системы горячего водоснабжения</v>
      </c>
      <c r="FY474" s="1550"/>
      <c r="FZ474" s="1550"/>
      <c r="GA474" s="1561">
        <v>0</v>
      </c>
    </row>
    <row r="475" spans="1:183" s="1747" customFormat="1" ht="23.25" customHeight="1">
      <c r="A475" s="1289"/>
      <c r="B475" s="1289"/>
      <c r="C475" s="1289"/>
      <c r="D475" s="1289"/>
      <c r="E475" s="24089"/>
      <c r="F475" s="24089" t="s">
        <v>202</v>
      </c>
      <c r="G475" s="24089"/>
      <c r="H475" s="24089"/>
      <c r="I475" s="24090" t="str">
        <f>S474&amp;".1"</f>
        <v>1.24.1.1</v>
      </c>
      <c r="J475" s="1289"/>
      <c r="K475" s="1289"/>
      <c r="L475" s="1295"/>
      <c r="M475" s="1674"/>
      <c r="N475" s="1674"/>
      <c r="O475" s="1674"/>
      <c r="P475" s="24092">
        <v>1</v>
      </c>
      <c r="Q475" s="1978"/>
      <c r="R475" s="292"/>
      <c r="S475" s="1976" t="str">
        <f>$I475</f>
        <v>1.24.1.1</v>
      </c>
      <c r="T475" s="221" t="s">
        <v>709</v>
      </c>
      <c r="U475" s="236"/>
      <c r="V475" s="24156"/>
      <c r="W475" s="24157"/>
      <c r="X475" s="24157"/>
      <c r="Y475" s="24157"/>
      <c r="Z475" s="24157"/>
      <c r="AA475" s="24157"/>
      <c r="AB475" s="24157"/>
      <c r="AC475" s="24157"/>
      <c r="AD475" s="24157"/>
      <c r="AE475" s="24157"/>
      <c r="AF475" s="24158"/>
      <c r="AG475" s="24159"/>
      <c r="AH475" s="24160"/>
      <c r="AI475" s="24160"/>
      <c r="AJ475" s="24160"/>
      <c r="AK475" s="24160"/>
      <c r="AL475" s="24160"/>
      <c r="AM475" s="24160"/>
      <c r="AN475" s="24160"/>
      <c r="AO475" s="24160"/>
      <c r="AP475" s="24160"/>
      <c r="AQ475" s="24160"/>
      <c r="AR475" s="24176"/>
      <c r="AS475" s="24177"/>
      <c r="AT475" s="24177"/>
      <c r="AU475" s="24177"/>
      <c r="AV475" s="24177"/>
      <c r="AW475" s="24177"/>
      <c r="AX475" s="24177"/>
      <c r="AY475" s="24177"/>
      <c r="AZ475" s="24177"/>
      <c r="BA475" s="24177"/>
      <c r="BB475" s="24178"/>
      <c r="BC475" s="24176"/>
      <c r="BD475" s="24177"/>
      <c r="BE475" s="24177"/>
      <c r="BF475" s="24177"/>
      <c r="BG475" s="24177"/>
      <c r="BH475" s="24177"/>
      <c r="BI475" s="24177"/>
      <c r="BJ475" s="24177"/>
      <c r="BK475" s="24177"/>
      <c r="BL475" s="24177"/>
      <c r="BM475" s="24178"/>
      <c r="BN475" s="24156"/>
      <c r="BO475" s="24157"/>
      <c r="BP475" s="24177"/>
      <c r="BQ475" s="24177"/>
      <c r="BR475" s="24157"/>
      <c r="BS475" s="24177"/>
      <c r="BT475" s="24177"/>
      <c r="BU475" s="24177"/>
      <c r="BV475" s="24177"/>
      <c r="BW475" s="24177"/>
      <c r="BX475" s="24178"/>
      <c r="BY475" s="24176"/>
      <c r="BZ475" s="24177"/>
      <c r="CA475" s="24177"/>
      <c r="CB475" s="24177"/>
      <c r="CC475" s="24177"/>
      <c r="CD475" s="24177"/>
      <c r="CE475" s="24177"/>
      <c r="CF475" s="24177"/>
      <c r="CG475" s="24177"/>
      <c r="CH475" s="24177"/>
      <c r="CI475" s="24178"/>
      <c r="CJ475" s="24176"/>
      <c r="CK475" s="24177"/>
      <c r="CL475" s="24177"/>
      <c r="CM475" s="24177"/>
      <c r="CN475" s="24177"/>
      <c r="CO475" s="24177"/>
      <c r="CP475" s="24177"/>
      <c r="CQ475" s="24177"/>
      <c r="CR475" s="24177"/>
      <c r="CS475" s="24177"/>
      <c r="CT475" s="24178"/>
      <c r="CU475" s="24176"/>
      <c r="CV475" s="24177"/>
      <c r="CW475" s="24177"/>
      <c r="CX475" s="24177"/>
      <c r="CY475" s="24177"/>
      <c r="CZ475" s="24177"/>
      <c r="DA475" s="24177"/>
      <c r="DB475" s="24177"/>
      <c r="DC475" s="24177"/>
      <c r="DD475" s="24177"/>
      <c r="DE475" s="24178"/>
      <c r="DF475" s="24176"/>
      <c r="DG475" s="24177"/>
      <c r="DH475" s="24177"/>
      <c r="DI475" s="24177"/>
      <c r="DJ475" s="24177"/>
      <c r="DK475" s="24177"/>
      <c r="DL475" s="24177"/>
      <c r="DM475" s="24177"/>
      <c r="DN475" s="24177"/>
      <c r="DO475" s="24177"/>
      <c r="DP475" s="24178"/>
      <c r="DQ475" s="24176"/>
      <c r="DR475" s="24177"/>
      <c r="DS475" s="24177"/>
      <c r="DT475" s="24177"/>
      <c r="DU475" s="24177"/>
      <c r="DV475" s="24177"/>
      <c r="DW475" s="24177"/>
      <c r="DX475" s="24177"/>
      <c r="DY475" s="24177"/>
      <c r="DZ475" s="24177"/>
      <c r="EA475" s="24178"/>
      <c r="EB475" s="24176"/>
      <c r="EC475" s="24177"/>
      <c r="ED475" s="24177"/>
      <c r="EE475" s="24177"/>
      <c r="EF475" s="24177"/>
      <c r="EG475" s="24177"/>
      <c r="EH475" s="24177"/>
      <c r="EI475" s="24177"/>
      <c r="EJ475" s="24177"/>
      <c r="EK475" s="24177"/>
      <c r="EL475" s="24178"/>
      <c r="EM475" s="24176"/>
      <c r="EN475" s="24177"/>
      <c r="EO475" s="24177"/>
      <c r="EP475" s="24177"/>
      <c r="EQ475" s="24177"/>
      <c r="ER475" s="24177"/>
      <c r="ES475" s="24177"/>
      <c r="ET475" s="24177"/>
      <c r="EU475" s="24177"/>
      <c r="EV475" s="24177"/>
      <c r="EW475" s="24178"/>
      <c r="EX475" s="24156"/>
      <c r="EY475" s="24157"/>
      <c r="EZ475" s="24177"/>
      <c r="FA475" s="24177"/>
      <c r="FB475" s="24157"/>
      <c r="FC475" s="24177"/>
      <c r="FD475" s="24177"/>
      <c r="FE475" s="24177"/>
      <c r="FF475" s="24177"/>
      <c r="FG475" s="24177"/>
      <c r="FH475" s="24178"/>
      <c r="FI475" s="24156"/>
      <c r="FJ475" s="24157"/>
      <c r="FK475" s="24177"/>
      <c r="FL475" s="24177"/>
      <c r="FM475" s="24157"/>
      <c r="FN475" s="24177"/>
      <c r="FO475" s="24177"/>
      <c r="FP475" s="24157"/>
      <c r="FQ475" s="24157"/>
      <c r="FR475" s="24157"/>
      <c r="FS475" s="24178"/>
      <c r="FT475" s="24161"/>
      <c r="FU475" s="1184" t="s">
        <v>710</v>
      </c>
      <c r="FV475" s="1568"/>
      <c r="FW475" s="1550"/>
      <c r="FX475" s="1550" t="str">
        <f t="shared" si="7"/>
        <v>Наименование признака дифференциации</v>
      </c>
      <c r="FY475" s="1550"/>
      <c r="FZ475" s="1550"/>
      <c r="GA475" s="1561">
        <v>0</v>
      </c>
    </row>
    <row r="476" spans="1:183" s="1747" customFormat="1" ht="23.25" customHeight="1">
      <c r="A476" s="1289"/>
      <c r="B476" s="1289"/>
      <c r="C476" s="1289"/>
      <c r="D476" s="1289"/>
      <c r="E476" s="24089"/>
      <c r="F476" s="24089" t="s">
        <v>202</v>
      </c>
      <c r="G476" s="24089"/>
      <c r="H476" s="24089"/>
      <c r="I476" s="24091"/>
      <c r="J476" s="24090" t="str">
        <f>I475&amp;".1"</f>
        <v>1.24.1.1.1</v>
      </c>
      <c r="K476" s="1289"/>
      <c r="L476" s="1295" t="s">
        <v>635</v>
      </c>
      <c r="M476" s="1674"/>
      <c r="N476" s="1674"/>
      <c r="O476" s="1674"/>
      <c r="P476" s="24092"/>
      <c r="Q476" s="24092">
        <v>1</v>
      </c>
      <c r="R476" s="293"/>
      <c r="S476" s="1976" t="str">
        <f>$J476</f>
        <v>1.24.1.1.1</v>
      </c>
      <c r="T476" s="222" t="s">
        <v>636</v>
      </c>
      <c r="U476" s="236"/>
      <c r="V476" s="24076"/>
      <c r="W476" s="24077"/>
      <c r="X476" s="24077"/>
      <c r="Y476" s="24077"/>
      <c r="Z476" s="24077"/>
      <c r="AA476" s="24077"/>
      <c r="AB476" s="24077"/>
      <c r="AC476" s="24077"/>
      <c r="AD476" s="24077"/>
      <c r="AE476" s="24077"/>
      <c r="AF476" s="24078"/>
      <c r="AG476" s="24076" t="s">
        <v>769</v>
      </c>
      <c r="AH476" s="24077"/>
      <c r="AI476" s="24077"/>
      <c r="AJ476" s="24077"/>
      <c r="AK476" s="24077"/>
      <c r="AL476" s="24077"/>
      <c r="AM476" s="24077"/>
      <c r="AN476" s="24077"/>
      <c r="AO476" s="24077"/>
      <c r="AP476" s="24077"/>
      <c r="AQ476" s="24077"/>
      <c r="AR476" s="24179"/>
      <c r="AS476" s="24180"/>
      <c r="AT476" s="24180"/>
      <c r="AU476" s="24180"/>
      <c r="AV476" s="24180"/>
      <c r="AW476" s="24180"/>
      <c r="AX476" s="24180"/>
      <c r="AY476" s="24180"/>
      <c r="AZ476" s="24180"/>
      <c r="BA476" s="24180"/>
      <c r="BB476" s="24181"/>
      <c r="BC476" s="24179"/>
      <c r="BD476" s="24180"/>
      <c r="BE476" s="24180"/>
      <c r="BF476" s="24180"/>
      <c r="BG476" s="24180"/>
      <c r="BH476" s="24180"/>
      <c r="BI476" s="24180"/>
      <c r="BJ476" s="24180"/>
      <c r="BK476" s="24180"/>
      <c r="BL476" s="24180"/>
      <c r="BM476" s="24181"/>
      <c r="BN476" s="24076"/>
      <c r="BO476" s="24077"/>
      <c r="BP476" s="24180"/>
      <c r="BQ476" s="24180"/>
      <c r="BR476" s="24077"/>
      <c r="BS476" s="24180"/>
      <c r="BT476" s="24180"/>
      <c r="BU476" s="24180"/>
      <c r="BV476" s="24180"/>
      <c r="BW476" s="24180"/>
      <c r="BX476" s="24181"/>
      <c r="BY476" s="24179"/>
      <c r="BZ476" s="24180"/>
      <c r="CA476" s="24180"/>
      <c r="CB476" s="24180"/>
      <c r="CC476" s="24180"/>
      <c r="CD476" s="24180"/>
      <c r="CE476" s="24180"/>
      <c r="CF476" s="24180"/>
      <c r="CG476" s="24180"/>
      <c r="CH476" s="24180"/>
      <c r="CI476" s="24181"/>
      <c r="CJ476" s="24179"/>
      <c r="CK476" s="24180"/>
      <c r="CL476" s="24180"/>
      <c r="CM476" s="24180"/>
      <c r="CN476" s="24180"/>
      <c r="CO476" s="24180"/>
      <c r="CP476" s="24180"/>
      <c r="CQ476" s="24180"/>
      <c r="CR476" s="24180"/>
      <c r="CS476" s="24180"/>
      <c r="CT476" s="24181"/>
      <c r="CU476" s="24179"/>
      <c r="CV476" s="24180"/>
      <c r="CW476" s="24180"/>
      <c r="CX476" s="24180"/>
      <c r="CY476" s="24180"/>
      <c r="CZ476" s="24180"/>
      <c r="DA476" s="24180"/>
      <c r="DB476" s="24180"/>
      <c r="DC476" s="24180"/>
      <c r="DD476" s="24180"/>
      <c r="DE476" s="24181"/>
      <c r="DF476" s="24179"/>
      <c r="DG476" s="24180"/>
      <c r="DH476" s="24180"/>
      <c r="DI476" s="24180"/>
      <c r="DJ476" s="24180"/>
      <c r="DK476" s="24180"/>
      <c r="DL476" s="24180"/>
      <c r="DM476" s="24180"/>
      <c r="DN476" s="24180"/>
      <c r="DO476" s="24180"/>
      <c r="DP476" s="24181"/>
      <c r="DQ476" s="24179"/>
      <c r="DR476" s="24180"/>
      <c r="DS476" s="24180"/>
      <c r="DT476" s="24180"/>
      <c r="DU476" s="24180"/>
      <c r="DV476" s="24180"/>
      <c r="DW476" s="24180"/>
      <c r="DX476" s="24180"/>
      <c r="DY476" s="24180"/>
      <c r="DZ476" s="24180"/>
      <c r="EA476" s="24181"/>
      <c r="EB476" s="24179"/>
      <c r="EC476" s="24180"/>
      <c r="ED476" s="24180"/>
      <c r="EE476" s="24180"/>
      <c r="EF476" s="24180"/>
      <c r="EG476" s="24180"/>
      <c r="EH476" s="24180"/>
      <c r="EI476" s="24180"/>
      <c r="EJ476" s="24180"/>
      <c r="EK476" s="24180"/>
      <c r="EL476" s="24181"/>
      <c r="EM476" s="24179"/>
      <c r="EN476" s="24180"/>
      <c r="EO476" s="24180"/>
      <c r="EP476" s="24180"/>
      <c r="EQ476" s="24180"/>
      <c r="ER476" s="24180"/>
      <c r="ES476" s="24180"/>
      <c r="ET476" s="24180"/>
      <c r="EU476" s="24180"/>
      <c r="EV476" s="24180"/>
      <c r="EW476" s="24181"/>
      <c r="EX476" s="24076"/>
      <c r="EY476" s="24077"/>
      <c r="EZ476" s="24180"/>
      <c r="FA476" s="24180"/>
      <c r="FB476" s="24077"/>
      <c r="FC476" s="24180"/>
      <c r="FD476" s="24180"/>
      <c r="FE476" s="24180"/>
      <c r="FF476" s="24180"/>
      <c r="FG476" s="24180"/>
      <c r="FH476" s="24181"/>
      <c r="FI476" s="24076"/>
      <c r="FJ476" s="24077"/>
      <c r="FK476" s="24180"/>
      <c r="FL476" s="24180"/>
      <c r="FM476" s="24077"/>
      <c r="FN476" s="24180"/>
      <c r="FO476" s="24180"/>
      <c r="FP476" s="24077"/>
      <c r="FQ476" s="24077"/>
      <c r="FR476" s="24077"/>
      <c r="FS476" s="24181"/>
      <c r="FT476" s="24078"/>
      <c r="FU476" s="1233" t="s">
        <v>711</v>
      </c>
      <c r="FV476" s="1568"/>
      <c r="FW476" s="1550"/>
      <c r="FX476" s="1550" t="str">
        <f t="shared" si="7"/>
        <v>Группа потребителей</v>
      </c>
      <c r="FY476" s="1550"/>
      <c r="FZ476" s="1550"/>
      <c r="GA476" s="1561">
        <v>0</v>
      </c>
    </row>
    <row r="477" spans="1:183" s="1747" customFormat="1" ht="23.25" customHeight="1">
      <c r="A477" s="1289"/>
      <c r="B477" s="1289"/>
      <c r="C477" s="1289"/>
      <c r="D477" s="1289"/>
      <c r="E477" s="24089"/>
      <c r="F477" s="24089" t="s">
        <v>202</v>
      </c>
      <c r="G477" s="24089"/>
      <c r="H477" s="24089"/>
      <c r="I477" s="24091"/>
      <c r="J477" s="24091"/>
      <c r="K477" s="24090" t="str">
        <f>J476&amp;".1"</f>
        <v>1.24.1.1.1.1</v>
      </c>
      <c r="L477" s="1295"/>
      <c r="M477" s="1674"/>
      <c r="N477" s="1674"/>
      <c r="O477" s="1674"/>
      <c r="P477" s="24092"/>
      <c r="Q477" s="24092"/>
      <c r="R477" s="293">
        <v>1</v>
      </c>
      <c r="S477" s="1976" t="str">
        <f>$K477</f>
        <v>1.24.1.1.1.1</v>
      </c>
      <c r="T477" s="1363"/>
      <c r="U477" s="236"/>
      <c r="V477" s="1286"/>
      <c r="W477" s="1286"/>
      <c r="X477" s="1286"/>
      <c r="Y477" s="1286"/>
      <c r="Z477" s="1286"/>
      <c r="AA477" s="1286"/>
      <c r="AB477" s="1286"/>
      <c r="AC477" s="24086"/>
      <c r="AD477" s="24085" t="s">
        <v>59</v>
      </c>
      <c r="AE477" s="24086"/>
      <c r="AF477" s="24085" t="s">
        <v>59</v>
      </c>
      <c r="AG477" s="687">
        <v>324.2</v>
      </c>
      <c r="AH477" s="687">
        <v>97.89</v>
      </c>
      <c r="AI477" s="687"/>
      <c r="AJ477" s="687"/>
      <c r="AK477" s="687">
        <v>3544.92</v>
      </c>
      <c r="AL477" s="687"/>
      <c r="AM477" s="687"/>
      <c r="AN477" s="24093">
        <v>45952.696446759262</v>
      </c>
      <c r="AO477" s="23957" t="s">
        <v>59</v>
      </c>
      <c r="AP477" s="24095">
        <v>46022.696342592593</v>
      </c>
      <c r="AQ477" s="23957" t="s">
        <v>59</v>
      </c>
      <c r="AR477" s="6310">
        <v>325.86</v>
      </c>
      <c r="AS477" s="6310">
        <v>99.55</v>
      </c>
      <c r="AT477" s="6310"/>
      <c r="AU477" s="6310"/>
      <c r="AV477" s="6310">
        <v>3544.92</v>
      </c>
      <c r="AW477" s="6310"/>
      <c r="AX477" s="6310"/>
      <c r="AY477" s="24185">
        <v>46023.604803240742</v>
      </c>
      <c r="AZ477" s="24205" t="s">
        <v>59</v>
      </c>
      <c r="BA477" s="24207">
        <v>46081.604849537034</v>
      </c>
      <c r="BB477" s="24205" t="s">
        <v>59</v>
      </c>
      <c r="BC477" s="6310">
        <v>492.67</v>
      </c>
      <c r="BD477" s="6310">
        <v>99.55</v>
      </c>
      <c r="BE477" s="6310"/>
      <c r="BF477" s="6310"/>
      <c r="BG477" s="687">
        <v>6157.93</v>
      </c>
      <c r="BH477" s="6310"/>
      <c r="BI477" s="6310"/>
      <c r="BJ477" s="24185">
        <v>46082.604895833334</v>
      </c>
      <c r="BK477" s="24205" t="s">
        <v>59</v>
      </c>
      <c r="BL477" s="24207">
        <v>46295.604953703703</v>
      </c>
      <c r="BM477" s="24205" t="s">
        <v>59</v>
      </c>
      <c r="BN477" s="687">
        <v>550.33000000000004</v>
      </c>
      <c r="BO477" s="687">
        <v>110.99</v>
      </c>
      <c r="BP477" s="6310"/>
      <c r="BQ477" s="6310"/>
      <c r="BR477" s="687">
        <v>6881.87</v>
      </c>
      <c r="BS477" s="6310"/>
      <c r="BT477" s="6310"/>
      <c r="BU477" s="24185">
        <v>46296.423148148147</v>
      </c>
      <c r="BV477" s="24205" t="s">
        <v>59</v>
      </c>
      <c r="BW477" s="24207">
        <v>46387.423217592594</v>
      </c>
      <c r="BX477" s="24205" t="s">
        <v>59</v>
      </c>
      <c r="BY477" s="6310">
        <v>544.91</v>
      </c>
      <c r="BZ477" s="6310">
        <v>110.45</v>
      </c>
      <c r="CA477" s="6310"/>
      <c r="CB477" s="6310"/>
      <c r="CC477" s="6310">
        <v>6805.51</v>
      </c>
      <c r="CD477" s="6310"/>
      <c r="CE477" s="6310"/>
      <c r="CF477" s="24185">
        <v>46388.423981481479</v>
      </c>
      <c r="CG477" s="24205" t="s">
        <v>59</v>
      </c>
      <c r="CH477" s="24207">
        <v>46568.424085648148</v>
      </c>
      <c r="CI477" s="24205" t="s">
        <v>59</v>
      </c>
      <c r="CJ477" s="6310">
        <f>BY477</f>
        <v>544.91</v>
      </c>
      <c r="CK477" s="6310">
        <f>BZ477</f>
        <v>110.45</v>
      </c>
      <c r="CL477" s="6310"/>
      <c r="CM477" s="6310"/>
      <c r="CN477" s="6310">
        <f>CC477</f>
        <v>6805.51</v>
      </c>
      <c r="CO477" s="6310"/>
      <c r="CP477" s="6310"/>
      <c r="CQ477" s="24185">
        <v>46569.424178240741</v>
      </c>
      <c r="CR477" s="24205" t="s">
        <v>59</v>
      </c>
      <c r="CS477" s="24207">
        <v>46752.424293981479</v>
      </c>
      <c r="CT477" s="24205" t="s">
        <v>59</v>
      </c>
      <c r="CU477" s="6310">
        <v>434.46</v>
      </c>
      <c r="CV477" s="6310"/>
      <c r="CW477" s="6310"/>
      <c r="CX477" s="6310"/>
      <c r="CY477" s="6310">
        <f>CN477</f>
        <v>6805.51</v>
      </c>
      <c r="CZ477" s="6310"/>
      <c r="DA477" s="6310"/>
      <c r="DB477" s="24185">
        <v>46753.424456018518</v>
      </c>
      <c r="DC477" s="24205" t="s">
        <v>59</v>
      </c>
      <c r="DD477" s="24207">
        <v>46934.424537037034</v>
      </c>
      <c r="DE477" s="24205" t="s">
        <v>59</v>
      </c>
      <c r="DF477" s="6310">
        <v>487.27</v>
      </c>
      <c r="DG477" s="6310"/>
      <c r="DH477" s="6310"/>
      <c r="DI477" s="6310"/>
      <c r="DJ477" s="6310">
        <v>7632.74</v>
      </c>
      <c r="DK477" s="6310"/>
      <c r="DL477" s="6310"/>
      <c r="DM477" s="24185">
        <v>46935.42465277778</v>
      </c>
      <c r="DN477" s="24205" t="s">
        <v>59</v>
      </c>
      <c r="DO477" s="24207">
        <v>47118.424756944441</v>
      </c>
      <c r="DP477" s="24205" t="s">
        <v>6</v>
      </c>
      <c r="DQ477" s="6354"/>
      <c r="DR477" s="6354"/>
      <c r="DS477" s="6354"/>
      <c r="DT477" s="6354"/>
      <c r="DU477" s="6354"/>
      <c r="DV477" s="6354"/>
      <c r="DW477" s="6354"/>
      <c r="DX477" s="24210"/>
      <c r="DY477" s="24208" t="s">
        <v>59</v>
      </c>
      <c r="DZ477" s="24210"/>
      <c r="EA477" s="24208" t="s">
        <v>59</v>
      </c>
      <c r="EB477" s="6354"/>
      <c r="EC477" s="6354"/>
      <c r="ED477" s="6354"/>
      <c r="EE477" s="6354"/>
      <c r="EF477" s="6354"/>
      <c r="EG477" s="6354"/>
      <c r="EH477" s="6354"/>
      <c r="EI477" s="24210"/>
      <c r="EJ477" s="24208" t="s">
        <v>59</v>
      </c>
      <c r="EK477" s="24210"/>
      <c r="EL477" s="24208" t="s">
        <v>59</v>
      </c>
      <c r="EM477" s="6354"/>
      <c r="EN477" s="6354"/>
      <c r="EO477" s="6354"/>
      <c r="EP477" s="6354"/>
      <c r="EQ477" s="6354"/>
      <c r="ER477" s="6354"/>
      <c r="ES477" s="6354"/>
      <c r="ET477" s="24210"/>
      <c r="EU477" s="24208" t="s">
        <v>59</v>
      </c>
      <c r="EV477" s="24210"/>
      <c r="EW477" s="24208" t="s">
        <v>59</v>
      </c>
      <c r="EX477" s="1286"/>
      <c r="EY477" s="1286"/>
      <c r="EZ477" s="6354"/>
      <c r="FA477" s="6354"/>
      <c r="FB477" s="1286"/>
      <c r="FC477" s="6354"/>
      <c r="FD477" s="6354"/>
      <c r="FE477" s="24210"/>
      <c r="FF477" s="24208" t="s">
        <v>59</v>
      </c>
      <c r="FG477" s="24210"/>
      <c r="FH477" s="24208" t="s">
        <v>59</v>
      </c>
      <c r="FI477" s="1286"/>
      <c r="FJ477" s="1286"/>
      <c r="FK477" s="1286"/>
      <c r="FL477" s="1286"/>
      <c r="FM477" s="1286"/>
      <c r="FN477" s="1286"/>
      <c r="FO477" s="1286"/>
      <c r="FP477" s="24086"/>
      <c r="FQ477" s="24085" t="s">
        <v>59</v>
      </c>
      <c r="FR477" s="24086"/>
      <c r="FS477" s="24085" t="s">
        <v>59</v>
      </c>
      <c r="FT477" s="1364"/>
      <c r="FU47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77" s="1568" t="e">
        <f ca="1">STRCHECKDATE(V478:FT478)</f>
        <v>#NAME?</v>
      </c>
      <c r="FW477" s="1550"/>
      <c r="FX477" s="1550" t="str">
        <f t="shared" si="7"/>
        <v/>
      </c>
      <c r="FY477" s="1550"/>
      <c r="FZ477" s="1550"/>
      <c r="GA477" s="1561">
        <v>0</v>
      </c>
    </row>
    <row r="478" spans="1:183" s="1747" customFormat="1" ht="14.25" customHeight="1">
      <c r="A478" s="1289"/>
      <c r="B478" s="1289"/>
      <c r="C478" s="1289"/>
      <c r="D478" s="1289"/>
      <c r="E478" s="24089"/>
      <c r="F478" s="24089" t="s">
        <v>202</v>
      </c>
      <c r="G478" s="24089"/>
      <c r="H478" s="24089"/>
      <c r="I478" s="24091"/>
      <c r="J478" s="24091"/>
      <c r="K478" s="24090"/>
      <c r="L478" s="1295"/>
      <c r="M478" s="1674"/>
      <c r="N478" s="1674"/>
      <c r="O478" s="1674"/>
      <c r="P478" s="24092"/>
      <c r="Q478" s="24092"/>
      <c r="R478" s="293"/>
      <c r="S478" s="1982"/>
      <c r="T478" s="236"/>
      <c r="U478" s="236"/>
      <c r="V478" s="1286"/>
      <c r="W478" s="1286"/>
      <c r="X478" s="1286"/>
      <c r="Y478" s="1286"/>
      <c r="Z478" s="1286"/>
      <c r="AA478" s="1286"/>
      <c r="AB478" s="1286"/>
      <c r="AC478" s="24085"/>
      <c r="AD478" s="24085"/>
      <c r="AE478" s="24085"/>
      <c r="AF478" s="24085"/>
      <c r="AG478" s="261"/>
      <c r="AH478" s="261"/>
      <c r="AI478" s="261"/>
      <c r="AJ478" s="261"/>
      <c r="AK478" s="261"/>
      <c r="AL478" s="261"/>
      <c r="AM478" s="261"/>
      <c r="AN478" s="24094"/>
      <c r="AO478" s="23957"/>
      <c r="AP478" s="24096"/>
      <c r="AQ478" s="23957"/>
      <c r="AR478" s="6311"/>
      <c r="AS478" s="6311"/>
      <c r="AT478" s="6311"/>
      <c r="AU478" s="6311"/>
      <c r="AV478" s="6311"/>
      <c r="AW478" s="6311"/>
      <c r="AX478" s="6311"/>
      <c r="AY478" s="24186"/>
      <c r="AZ478" s="24205"/>
      <c r="BA478" s="24209"/>
      <c r="BB478" s="24205"/>
      <c r="BC478" s="6311"/>
      <c r="BD478" s="6311"/>
      <c r="BE478" s="6311"/>
      <c r="BF478" s="6311"/>
      <c r="BG478" s="261"/>
      <c r="BH478" s="6311"/>
      <c r="BI478" s="6311"/>
      <c r="BJ478" s="24186"/>
      <c r="BK478" s="24205"/>
      <c r="BL478" s="24209"/>
      <c r="BM478" s="24205"/>
      <c r="BN478" s="261"/>
      <c r="BO478" s="261"/>
      <c r="BP478" s="6311"/>
      <c r="BQ478" s="6311"/>
      <c r="BR478" s="261"/>
      <c r="BS478" s="6311"/>
      <c r="BT478" s="6311"/>
      <c r="BU478" s="24186"/>
      <c r="BV478" s="24205"/>
      <c r="BW478" s="24209"/>
      <c r="BX478" s="24205"/>
      <c r="BY478" s="6311"/>
      <c r="BZ478" s="6311"/>
      <c r="CA478" s="6311"/>
      <c r="CB478" s="6311"/>
      <c r="CC478" s="6311"/>
      <c r="CD478" s="6311"/>
      <c r="CE478" s="6311"/>
      <c r="CF478" s="24186"/>
      <c r="CG478" s="24205"/>
      <c r="CH478" s="24209"/>
      <c r="CI478" s="24205"/>
      <c r="CJ478" s="6311"/>
      <c r="CK478" s="6311"/>
      <c r="CL478" s="6311"/>
      <c r="CM478" s="6311"/>
      <c r="CN478" s="6311"/>
      <c r="CO478" s="6311"/>
      <c r="CP478" s="6311"/>
      <c r="CQ478" s="24186"/>
      <c r="CR478" s="24205"/>
      <c r="CS478" s="24209"/>
      <c r="CT478" s="24205"/>
      <c r="CU478" s="6311"/>
      <c r="CV478" s="6311"/>
      <c r="CW478" s="6311"/>
      <c r="CX478" s="6311"/>
      <c r="CY478" s="6311"/>
      <c r="CZ478" s="6311"/>
      <c r="DA478" s="6311"/>
      <c r="DB478" s="24186"/>
      <c r="DC478" s="24205"/>
      <c r="DD478" s="24209"/>
      <c r="DE478" s="24205"/>
      <c r="DF478" s="6311"/>
      <c r="DG478" s="6311"/>
      <c r="DH478" s="6311"/>
      <c r="DI478" s="6311"/>
      <c r="DJ478" s="6311"/>
      <c r="DK478" s="6311"/>
      <c r="DL478" s="6311"/>
      <c r="DM478" s="24186"/>
      <c r="DN478" s="24205"/>
      <c r="DO478" s="24209"/>
      <c r="DP478" s="24205"/>
      <c r="DQ478" s="6354"/>
      <c r="DR478" s="6354"/>
      <c r="DS478" s="6354"/>
      <c r="DT478" s="6354"/>
      <c r="DU478" s="6354"/>
      <c r="DV478" s="6354"/>
      <c r="DW478" s="6354"/>
      <c r="DX478" s="24208"/>
      <c r="DY478" s="24208"/>
      <c r="DZ478" s="24208"/>
      <c r="EA478" s="24208"/>
      <c r="EB478" s="6354"/>
      <c r="EC478" s="6354"/>
      <c r="ED478" s="6354"/>
      <c r="EE478" s="6354"/>
      <c r="EF478" s="6354"/>
      <c r="EG478" s="6354"/>
      <c r="EH478" s="6354"/>
      <c r="EI478" s="24208"/>
      <c r="EJ478" s="24208"/>
      <c r="EK478" s="24208"/>
      <c r="EL478" s="24208"/>
      <c r="EM478" s="6354"/>
      <c r="EN478" s="6354"/>
      <c r="EO478" s="6354"/>
      <c r="EP478" s="6354"/>
      <c r="EQ478" s="6354"/>
      <c r="ER478" s="6354"/>
      <c r="ES478" s="6354"/>
      <c r="ET478" s="24208"/>
      <c r="EU478" s="24208"/>
      <c r="EV478" s="24208"/>
      <c r="EW478" s="24208"/>
      <c r="EX478" s="1286"/>
      <c r="EY478" s="1286"/>
      <c r="EZ478" s="6354"/>
      <c r="FA478" s="6354"/>
      <c r="FB478" s="1286"/>
      <c r="FC478" s="6354"/>
      <c r="FD478" s="6354"/>
      <c r="FE478" s="24208"/>
      <c r="FF478" s="24208"/>
      <c r="FG478" s="24208"/>
      <c r="FH478" s="24208"/>
      <c r="FI478" s="1286"/>
      <c r="FJ478" s="1286"/>
      <c r="FK478" s="1286"/>
      <c r="FL478" s="1286"/>
      <c r="FM478" s="1286"/>
      <c r="FN478" s="1286"/>
      <c r="FO478" s="1286"/>
      <c r="FP478" s="24085"/>
      <c r="FQ478" s="24085"/>
      <c r="FR478" s="24085"/>
      <c r="FS478" s="24085"/>
      <c r="FT478" s="1365"/>
      <c r="FU478" s="24162"/>
      <c r="FV478" s="1568"/>
      <c r="FW478" s="1550"/>
      <c r="FX478" s="1550" t="str">
        <f t="shared" si="7"/>
        <v/>
      </c>
      <c r="FY478" s="1550"/>
      <c r="FZ478" s="1550"/>
      <c r="GA478" s="1561">
        <v>0</v>
      </c>
    </row>
    <row r="479" spans="1:183" s="1747" customFormat="1" ht="21" customHeight="1">
      <c r="A479" s="1289"/>
      <c r="B479" s="1289"/>
      <c r="C479" s="1289"/>
      <c r="D479" s="1289"/>
      <c r="E479" s="24089"/>
      <c r="F479" s="24089" t="s">
        <v>202</v>
      </c>
      <c r="G479" s="24089"/>
      <c r="H479" s="24089"/>
      <c r="I479" s="24091"/>
      <c r="J479" s="24090"/>
      <c r="K479" s="1289"/>
      <c r="L479" s="1295"/>
      <c r="M479" s="1674"/>
      <c r="N479" s="1674"/>
      <c r="O479" s="1674"/>
      <c r="P479" s="24092"/>
      <c r="Q479" s="24092"/>
      <c r="R479" s="292"/>
      <c r="S479" s="6176"/>
      <c r="T479" s="6177" t="s">
        <v>712</v>
      </c>
      <c r="U479" s="6178"/>
      <c r="V479" s="6179"/>
      <c r="W479" s="6180"/>
      <c r="X479" s="6181"/>
      <c r="Y479" s="6182"/>
      <c r="Z479" s="6183"/>
      <c r="AA479" s="6184"/>
      <c r="AB479" s="6185"/>
      <c r="AC479" s="6186"/>
      <c r="AD479" s="6187"/>
      <c r="AE479" s="6188"/>
      <c r="AF479" s="6189"/>
      <c r="AG479" s="6190"/>
      <c r="AH479" s="6191"/>
      <c r="AI479" s="6192"/>
      <c r="AJ479" s="6193"/>
      <c r="AK479" s="6194"/>
      <c r="AL479" s="6195"/>
      <c r="AM479" s="6196"/>
      <c r="AN479" s="6197"/>
      <c r="AO479" s="6198"/>
      <c r="AP479" s="6199"/>
      <c r="AQ479" s="6200"/>
      <c r="AR479" s="8166"/>
      <c r="AS479" s="8167"/>
      <c r="AT479" s="8168"/>
      <c r="AU479" s="8169"/>
      <c r="AV479" s="8170"/>
      <c r="AW479" s="8171"/>
      <c r="AX479" s="8172"/>
      <c r="AY479" s="8173"/>
      <c r="AZ479" s="8174"/>
      <c r="BA479" s="8175"/>
      <c r="BB479" s="8176"/>
      <c r="BC479" s="8177"/>
      <c r="BD479" s="8178"/>
      <c r="BE479" s="21022"/>
      <c r="BF479" s="21023"/>
      <c r="BG479" s="21950"/>
      <c r="BH479" s="21024"/>
      <c r="BI479" s="21025"/>
      <c r="BJ479" s="21026"/>
      <c r="BK479" s="21027"/>
      <c r="BL479" s="21028"/>
      <c r="BM479" s="21029"/>
      <c r="BN479" s="6201"/>
      <c r="BO479" s="6202"/>
      <c r="BP479" s="21030"/>
      <c r="BQ479" s="21031"/>
      <c r="BR479" s="6203"/>
      <c r="BS479" s="21032"/>
      <c r="BT479" s="21033"/>
      <c r="BU479" s="21034"/>
      <c r="BV479" s="21035"/>
      <c r="BW479" s="21036"/>
      <c r="BX479" s="21037"/>
      <c r="BY479" s="21038"/>
      <c r="BZ479" s="21039"/>
      <c r="CA479" s="21040"/>
      <c r="CB479" s="21041"/>
      <c r="CC479" s="21042"/>
      <c r="CD479" s="21043"/>
      <c r="CE479" s="21044"/>
      <c r="CF479" s="21045"/>
      <c r="CG479" s="21046"/>
      <c r="CH479" s="21047"/>
      <c r="CI479" s="21048"/>
      <c r="CJ479" s="21049"/>
      <c r="CK479" s="21050"/>
      <c r="CL479" s="21051"/>
      <c r="CM479" s="21052"/>
      <c r="CN479" s="21053"/>
      <c r="CO479" s="21054"/>
      <c r="CP479" s="21055"/>
      <c r="CQ479" s="21056"/>
      <c r="CR479" s="21057"/>
      <c r="CS479" s="21058"/>
      <c r="CT479" s="21059"/>
      <c r="CU479" s="21060"/>
      <c r="CV479" s="21061"/>
      <c r="CW479" s="21062"/>
      <c r="CX479" s="21063"/>
      <c r="CY479" s="21064"/>
      <c r="CZ479" s="21065"/>
      <c r="DA479" s="21066"/>
      <c r="DB479" s="21067"/>
      <c r="DC479" s="21068"/>
      <c r="DD479" s="21069"/>
      <c r="DE479" s="21070"/>
      <c r="DF479" s="21071"/>
      <c r="DG479" s="21072"/>
      <c r="DH479" s="21073"/>
      <c r="DI479" s="21074"/>
      <c r="DJ479" s="21075"/>
      <c r="DK479" s="21076"/>
      <c r="DL479" s="21077"/>
      <c r="DM479" s="21078"/>
      <c r="DN479" s="21079"/>
      <c r="DO479" s="21080"/>
      <c r="DP479" s="21081"/>
      <c r="DQ479" s="21082"/>
      <c r="DR479" s="21083"/>
      <c r="DS479" s="21084"/>
      <c r="DT479" s="21085"/>
      <c r="DU479" s="21086"/>
      <c r="DV479" s="21087"/>
      <c r="DW479" s="21088"/>
      <c r="DX479" s="21089"/>
      <c r="DY479" s="21090"/>
      <c r="DZ479" s="21091"/>
      <c r="EA479" s="21092"/>
      <c r="EB479" s="21093"/>
      <c r="EC479" s="21094"/>
      <c r="ED479" s="21095"/>
      <c r="EE479" s="21096"/>
      <c r="EF479" s="21097"/>
      <c r="EG479" s="21098"/>
      <c r="EH479" s="21099"/>
      <c r="EI479" s="21100"/>
      <c r="EJ479" s="21101"/>
      <c r="EK479" s="21102"/>
      <c r="EL479" s="21103"/>
      <c r="EM479" s="21806"/>
      <c r="EN479" s="21807"/>
      <c r="EO479" s="21104"/>
      <c r="EP479" s="21105"/>
      <c r="EQ479" s="21808"/>
      <c r="ER479" s="21106"/>
      <c r="ES479" s="21107"/>
      <c r="ET479" s="21108"/>
      <c r="EU479" s="21109"/>
      <c r="EV479" s="21110"/>
      <c r="EW479" s="21111"/>
      <c r="EX479" s="6204"/>
      <c r="EY479" s="6205"/>
      <c r="EZ479" s="21112"/>
      <c r="FA479" s="21113"/>
      <c r="FB479" s="6206"/>
      <c r="FC479" s="21114"/>
      <c r="FD479" s="21115"/>
      <c r="FE479" s="21116"/>
      <c r="FF479" s="21117"/>
      <c r="FG479" s="21118"/>
      <c r="FH479" s="6207"/>
      <c r="FI479" s="23190"/>
      <c r="FJ479" s="23191"/>
      <c r="FK479" s="23892"/>
      <c r="FL479" s="23893"/>
      <c r="FM479" s="23192"/>
      <c r="FN479" s="23894"/>
      <c r="FO479" s="23895"/>
      <c r="FP479" s="23193"/>
      <c r="FQ479" s="23194"/>
      <c r="FR479" s="23195"/>
      <c r="FS479" s="23896"/>
      <c r="FT479" s="6208"/>
      <c r="FU479" s="1184" t="s">
        <v>713</v>
      </c>
      <c r="FV479" s="1568"/>
      <c r="FW479" s="1550"/>
      <c r="FX479" s="1550" t="str">
        <f t="shared" si="7"/>
        <v>Добавить значение признака дифференциации</v>
      </c>
      <c r="FY479" s="1550"/>
      <c r="FZ479" s="1550"/>
      <c r="GA479" s="1561">
        <v>0</v>
      </c>
    </row>
    <row r="480" spans="1:183" s="1747" customFormat="1" ht="23.25" customHeight="1">
      <c r="A480" s="1289"/>
      <c r="B480" s="1289"/>
      <c r="C480" s="1289"/>
      <c r="D480" s="1289"/>
      <c r="E480" s="24089"/>
      <c r="F480" s="24089"/>
      <c r="G480" s="24089"/>
      <c r="H480" s="24089"/>
      <c r="I480" s="24091"/>
      <c r="J480" s="24090" t="str">
        <f>I475&amp;".2"</f>
        <v>1.24.1.1.2</v>
      </c>
      <c r="K480" s="1289"/>
      <c r="L480" s="1295" t="s">
        <v>635</v>
      </c>
      <c r="M480" s="1674"/>
      <c r="N480" s="1674"/>
      <c r="O480" s="1674"/>
      <c r="P480" s="24092"/>
      <c r="Q480" s="24206" t="s">
        <v>96</v>
      </c>
      <c r="R480" s="293"/>
      <c r="S480" s="1976" t="str">
        <f>$J480</f>
        <v>1.24.1.1.2</v>
      </c>
      <c r="T480" s="222" t="s">
        <v>636</v>
      </c>
      <c r="U480" s="236"/>
      <c r="V480" s="24076"/>
      <c r="W480" s="24077"/>
      <c r="X480" s="24077"/>
      <c r="Y480" s="24077"/>
      <c r="Z480" s="24077"/>
      <c r="AA480" s="24077"/>
      <c r="AB480" s="24077"/>
      <c r="AC480" s="24077"/>
      <c r="AD480" s="24077"/>
      <c r="AE480" s="24077"/>
      <c r="AF480" s="24078"/>
      <c r="AG480" s="24076" t="s">
        <v>771</v>
      </c>
      <c r="AH480" s="24077"/>
      <c r="AI480" s="24077"/>
      <c r="AJ480" s="24077"/>
      <c r="AK480" s="24077"/>
      <c r="AL480" s="24077"/>
      <c r="AM480" s="24077"/>
      <c r="AN480" s="24077"/>
      <c r="AO480" s="24077"/>
      <c r="AP480" s="24077"/>
      <c r="AQ480" s="24077"/>
      <c r="AR480" s="24179"/>
      <c r="AS480" s="24180"/>
      <c r="AT480" s="24180"/>
      <c r="AU480" s="24180"/>
      <c r="AV480" s="24180"/>
      <c r="AW480" s="24180"/>
      <c r="AX480" s="24180"/>
      <c r="AY480" s="24180"/>
      <c r="AZ480" s="24180"/>
      <c r="BA480" s="24180"/>
      <c r="BB480" s="24181"/>
      <c r="BC480" s="24179"/>
      <c r="BD480" s="24180"/>
      <c r="BE480" s="24180"/>
      <c r="BF480" s="24180"/>
      <c r="BG480" s="24180"/>
      <c r="BH480" s="24180"/>
      <c r="BI480" s="24180"/>
      <c r="BJ480" s="24180"/>
      <c r="BK480" s="24180"/>
      <c r="BL480" s="24180"/>
      <c r="BM480" s="24181"/>
      <c r="BN480" s="24076"/>
      <c r="BO480" s="24077"/>
      <c r="BP480" s="24180"/>
      <c r="BQ480" s="24180"/>
      <c r="BR480" s="24077"/>
      <c r="BS480" s="24180"/>
      <c r="BT480" s="24180"/>
      <c r="BU480" s="24180"/>
      <c r="BV480" s="24180"/>
      <c r="BW480" s="24180"/>
      <c r="BX480" s="24181"/>
      <c r="BY480" s="24179"/>
      <c r="BZ480" s="24180"/>
      <c r="CA480" s="24180"/>
      <c r="CB480" s="24180"/>
      <c r="CC480" s="24180"/>
      <c r="CD480" s="24180"/>
      <c r="CE480" s="24180"/>
      <c r="CF480" s="24180"/>
      <c r="CG480" s="24180"/>
      <c r="CH480" s="24180"/>
      <c r="CI480" s="24181"/>
      <c r="CJ480" s="24179"/>
      <c r="CK480" s="24180"/>
      <c r="CL480" s="24180"/>
      <c r="CM480" s="24180"/>
      <c r="CN480" s="24180"/>
      <c r="CO480" s="24180"/>
      <c r="CP480" s="24180"/>
      <c r="CQ480" s="24180"/>
      <c r="CR480" s="24180"/>
      <c r="CS480" s="24180"/>
      <c r="CT480" s="24181"/>
      <c r="CU480" s="24179"/>
      <c r="CV480" s="24180"/>
      <c r="CW480" s="24180"/>
      <c r="CX480" s="24180"/>
      <c r="CY480" s="24180"/>
      <c r="CZ480" s="24180"/>
      <c r="DA480" s="24180"/>
      <c r="DB480" s="24180"/>
      <c r="DC480" s="24180"/>
      <c r="DD480" s="24180"/>
      <c r="DE480" s="24181"/>
      <c r="DF480" s="24179"/>
      <c r="DG480" s="24180"/>
      <c r="DH480" s="24180"/>
      <c r="DI480" s="24180"/>
      <c r="DJ480" s="24180"/>
      <c r="DK480" s="24180"/>
      <c r="DL480" s="24180"/>
      <c r="DM480" s="24180"/>
      <c r="DN480" s="24180"/>
      <c r="DO480" s="24180"/>
      <c r="DP480" s="24181"/>
      <c r="DQ480" s="24179"/>
      <c r="DR480" s="24180"/>
      <c r="DS480" s="24180"/>
      <c r="DT480" s="24180"/>
      <c r="DU480" s="24180"/>
      <c r="DV480" s="24180"/>
      <c r="DW480" s="24180"/>
      <c r="DX480" s="24180"/>
      <c r="DY480" s="24180"/>
      <c r="DZ480" s="24180"/>
      <c r="EA480" s="24181"/>
      <c r="EB480" s="24179"/>
      <c r="EC480" s="24180"/>
      <c r="ED480" s="24180"/>
      <c r="EE480" s="24180"/>
      <c r="EF480" s="24180"/>
      <c r="EG480" s="24180"/>
      <c r="EH480" s="24180"/>
      <c r="EI480" s="24180"/>
      <c r="EJ480" s="24180"/>
      <c r="EK480" s="24180"/>
      <c r="EL480" s="24181"/>
      <c r="EM480" s="24179"/>
      <c r="EN480" s="24180"/>
      <c r="EO480" s="24180"/>
      <c r="EP480" s="24180"/>
      <c r="EQ480" s="24180"/>
      <c r="ER480" s="24180"/>
      <c r="ES480" s="24180"/>
      <c r="ET480" s="24180"/>
      <c r="EU480" s="24180"/>
      <c r="EV480" s="24180"/>
      <c r="EW480" s="24181"/>
      <c r="EX480" s="24076"/>
      <c r="EY480" s="24077"/>
      <c r="EZ480" s="24180"/>
      <c r="FA480" s="24180"/>
      <c r="FB480" s="24077"/>
      <c r="FC480" s="24180"/>
      <c r="FD480" s="24180"/>
      <c r="FE480" s="24180"/>
      <c r="FF480" s="24180"/>
      <c r="FG480" s="24180"/>
      <c r="FH480" s="24181"/>
      <c r="FI480" s="24076"/>
      <c r="FJ480" s="24077"/>
      <c r="FK480" s="24180"/>
      <c r="FL480" s="24180"/>
      <c r="FM480" s="24077"/>
      <c r="FN480" s="24180"/>
      <c r="FO480" s="24180"/>
      <c r="FP480" s="24077"/>
      <c r="FQ480" s="24077"/>
      <c r="FR480" s="24077"/>
      <c r="FS480" s="24181"/>
      <c r="FT480" s="24078"/>
      <c r="FU480" s="1233" t="s">
        <v>711</v>
      </c>
      <c r="FV480" s="1568"/>
      <c r="FW480" s="1550"/>
      <c r="FX480" s="1550" t="str">
        <f t="shared" si="7"/>
        <v>Группа потребителей</v>
      </c>
      <c r="FY480" s="1550"/>
      <c r="FZ480" s="1550"/>
      <c r="GA480" s="1561">
        <v>0</v>
      </c>
    </row>
    <row r="481" spans="1:183" s="1747" customFormat="1" ht="23.25" customHeight="1">
      <c r="A481" s="1289"/>
      <c r="B481" s="1289"/>
      <c r="C481" s="1289"/>
      <c r="D481" s="1289"/>
      <c r="E481" s="24089"/>
      <c r="F481" s="24089"/>
      <c r="G481" s="24089"/>
      <c r="H481" s="24089"/>
      <c r="I481" s="24091"/>
      <c r="J481" s="24091" t="str">
        <f>I475&amp;".1"</f>
        <v>1.24.1.1.1</v>
      </c>
      <c r="K481" s="24090" t="str">
        <f>J480&amp;".1"</f>
        <v>1.24.1.1.2.1</v>
      </c>
      <c r="L481" s="1295"/>
      <c r="M481" s="1674"/>
      <c r="N481" s="1674"/>
      <c r="O481" s="1674"/>
      <c r="P481" s="24092"/>
      <c r="Q481" s="24092"/>
      <c r="R481" s="293">
        <v>1</v>
      </c>
      <c r="S481" s="1976" t="str">
        <f>$K481</f>
        <v>1.24.1.1.2.1</v>
      </c>
      <c r="T481" s="1363"/>
      <c r="U481" s="236"/>
      <c r="V481" s="1286"/>
      <c r="W481" s="1286"/>
      <c r="X481" s="1286"/>
      <c r="Y481" s="1286"/>
      <c r="Z481" s="1286"/>
      <c r="AA481" s="1286"/>
      <c r="AB481" s="1286"/>
      <c r="AC481" s="24086"/>
      <c r="AD481" s="24085" t="s">
        <v>59</v>
      </c>
      <c r="AE481" s="24086"/>
      <c r="AF481" s="24085" t="s">
        <v>59</v>
      </c>
      <c r="AG481" s="687">
        <v>219.87</v>
      </c>
      <c r="AH481" s="687">
        <v>44.08</v>
      </c>
      <c r="AI481" s="687"/>
      <c r="AJ481" s="687"/>
      <c r="AK481" s="687">
        <v>2655.07</v>
      </c>
      <c r="AL481" s="687"/>
      <c r="AM481" s="687"/>
      <c r="AN481" s="24093">
        <v>45952.696527777778</v>
      </c>
      <c r="AO481" s="23957" t="s">
        <v>59</v>
      </c>
      <c r="AP481" s="24095">
        <v>46022.696388888886</v>
      </c>
      <c r="AQ481" s="23957" t="s">
        <v>59</v>
      </c>
      <c r="AR481" s="6310">
        <v>223.61</v>
      </c>
      <c r="AS481" s="6310">
        <v>44.82</v>
      </c>
      <c r="AT481" s="6310"/>
      <c r="AU481" s="6310"/>
      <c r="AV481" s="6310">
        <v>2686.9</v>
      </c>
      <c r="AW481" s="6310"/>
      <c r="AX481" s="6310"/>
      <c r="AY481" s="24185">
        <v>46023.606226851851</v>
      </c>
      <c r="AZ481" s="24205" t="s">
        <v>59</v>
      </c>
      <c r="BA481" s="24207">
        <v>46295.606261574074</v>
      </c>
      <c r="BB481" s="24205" t="s">
        <v>59</v>
      </c>
      <c r="BC481" s="6310">
        <v>250.44</v>
      </c>
      <c r="BD481" s="6310">
        <v>50.2</v>
      </c>
      <c r="BE481" s="6310"/>
      <c r="BF481" s="6310"/>
      <c r="BG481" s="687">
        <v>3009.3</v>
      </c>
      <c r="BH481" s="6310"/>
      <c r="BI481" s="6310"/>
      <c r="BJ481" s="24185">
        <v>46296.60633101852</v>
      </c>
      <c r="BK481" s="24205" t="s">
        <v>59</v>
      </c>
      <c r="BL481" s="24207">
        <v>46387.606400462966</v>
      </c>
      <c r="BM481" s="24205" t="s">
        <v>59</v>
      </c>
      <c r="BN481" s="687">
        <f>BC481</f>
        <v>250.44</v>
      </c>
      <c r="BO481" s="687">
        <f>BD481</f>
        <v>50.2</v>
      </c>
      <c r="BP481" s="6310"/>
      <c r="BQ481" s="6310"/>
      <c r="BR481" s="687">
        <f>BG481</f>
        <v>3009.3</v>
      </c>
      <c r="BS481" s="6310"/>
      <c r="BT481" s="6310"/>
      <c r="BU481" s="24185">
        <v>46388.42696759259</v>
      </c>
      <c r="BV481" s="24205" t="s">
        <v>59</v>
      </c>
      <c r="BW481" s="24207">
        <v>46568.42701388889</v>
      </c>
      <c r="BX481" s="24205" t="s">
        <v>59</v>
      </c>
      <c r="BY481" s="6310">
        <v>272.23</v>
      </c>
      <c r="BZ481" s="6310">
        <v>54.57</v>
      </c>
      <c r="CA481" s="6310"/>
      <c r="CB481" s="6310"/>
      <c r="CC481" s="6310">
        <v>3271.11</v>
      </c>
      <c r="CD481" s="6310"/>
      <c r="CE481" s="6310"/>
      <c r="CF481" s="24185">
        <v>46569.427071759259</v>
      </c>
      <c r="CG481" s="24205" t="s">
        <v>59</v>
      </c>
      <c r="CH481" s="24207">
        <v>46752.427141203705</v>
      </c>
      <c r="CI481" s="24205" t="s">
        <v>59</v>
      </c>
      <c r="CJ481" s="6310">
        <v>208.83</v>
      </c>
      <c r="CK481" s="6310"/>
      <c r="CL481" s="6310"/>
      <c r="CM481" s="6310"/>
      <c r="CN481" s="6310">
        <f>CC481</f>
        <v>3271.11</v>
      </c>
      <c r="CO481" s="6310"/>
      <c r="CP481" s="6310"/>
      <c r="CQ481" s="24185">
        <v>46753.427210648151</v>
      </c>
      <c r="CR481" s="24205" t="s">
        <v>59</v>
      </c>
      <c r="CS481" s="24207">
        <v>46934.427268518521</v>
      </c>
      <c r="CT481" s="24205" t="s">
        <v>59</v>
      </c>
      <c r="CU481" s="6310">
        <v>223.65</v>
      </c>
      <c r="CV481" s="6310"/>
      <c r="CW481" s="6310"/>
      <c r="CX481" s="6310"/>
      <c r="CY481" s="6310">
        <v>3503.36</v>
      </c>
      <c r="CZ481" s="6310"/>
      <c r="DA481" s="6310"/>
      <c r="DB481" s="24185">
        <v>46935.427361111113</v>
      </c>
      <c r="DC481" s="24205" t="s">
        <v>59</v>
      </c>
      <c r="DD481" s="24207">
        <v>47118.427499999998</v>
      </c>
      <c r="DE481" s="24205" t="s">
        <v>6</v>
      </c>
      <c r="DF481" s="6354"/>
      <c r="DG481" s="6354"/>
      <c r="DH481" s="6354"/>
      <c r="DI481" s="6354"/>
      <c r="DJ481" s="6354"/>
      <c r="DK481" s="6354"/>
      <c r="DL481" s="6354"/>
      <c r="DM481" s="24210"/>
      <c r="DN481" s="24208" t="s">
        <v>59</v>
      </c>
      <c r="DO481" s="24210"/>
      <c r="DP481" s="24208" t="s">
        <v>59</v>
      </c>
      <c r="DQ481" s="6354"/>
      <c r="DR481" s="6354"/>
      <c r="DS481" s="6354"/>
      <c r="DT481" s="6354"/>
      <c r="DU481" s="6354"/>
      <c r="DV481" s="6354"/>
      <c r="DW481" s="6354"/>
      <c r="DX481" s="24210"/>
      <c r="DY481" s="24208" t="s">
        <v>59</v>
      </c>
      <c r="DZ481" s="24210"/>
      <c r="EA481" s="24208" t="s">
        <v>59</v>
      </c>
      <c r="EB481" s="6354"/>
      <c r="EC481" s="6354"/>
      <c r="ED481" s="6354"/>
      <c r="EE481" s="6354"/>
      <c r="EF481" s="6354"/>
      <c r="EG481" s="6354"/>
      <c r="EH481" s="6354"/>
      <c r="EI481" s="24210"/>
      <c r="EJ481" s="24208" t="s">
        <v>59</v>
      </c>
      <c r="EK481" s="24210"/>
      <c r="EL481" s="24208" t="s">
        <v>59</v>
      </c>
      <c r="EM481" s="6354"/>
      <c r="EN481" s="6354"/>
      <c r="EO481" s="6354"/>
      <c r="EP481" s="6354"/>
      <c r="EQ481" s="6354"/>
      <c r="ER481" s="6354"/>
      <c r="ES481" s="6354"/>
      <c r="ET481" s="24210"/>
      <c r="EU481" s="24208" t="s">
        <v>59</v>
      </c>
      <c r="EV481" s="24210"/>
      <c r="EW481" s="24208" t="s">
        <v>59</v>
      </c>
      <c r="EX481" s="1286"/>
      <c r="EY481" s="1286"/>
      <c r="EZ481" s="6354"/>
      <c r="FA481" s="6354"/>
      <c r="FB481" s="1286"/>
      <c r="FC481" s="6354"/>
      <c r="FD481" s="6354"/>
      <c r="FE481" s="24210"/>
      <c r="FF481" s="24208" t="s">
        <v>59</v>
      </c>
      <c r="FG481" s="24210"/>
      <c r="FH481" s="24208" t="s">
        <v>59</v>
      </c>
      <c r="FI481" s="1286"/>
      <c r="FJ481" s="1286"/>
      <c r="FK481" s="1286"/>
      <c r="FL481" s="1286"/>
      <c r="FM481" s="1286"/>
      <c r="FN481" s="1286"/>
      <c r="FO481" s="1286"/>
      <c r="FP481" s="24086"/>
      <c r="FQ481" s="24085" t="s">
        <v>59</v>
      </c>
      <c r="FR481" s="24086"/>
      <c r="FS481" s="24085" t="s">
        <v>59</v>
      </c>
      <c r="FT481" s="1364"/>
      <c r="FU481"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81" s="1568" t="e">
        <f ca="1">STRCHECKDATE(V482:FT482)</f>
        <v>#NAME?</v>
      </c>
      <c r="FW481" s="1550"/>
      <c r="FX481" s="1550" t="str">
        <f t="shared" si="7"/>
        <v/>
      </c>
      <c r="FY481" s="1550"/>
      <c r="FZ481" s="1550"/>
      <c r="GA481" s="1561">
        <v>0</v>
      </c>
    </row>
    <row r="482" spans="1:183" s="1747" customFormat="1" ht="14.25" customHeight="1">
      <c r="A482" s="1289"/>
      <c r="B482" s="1289"/>
      <c r="C482" s="1289"/>
      <c r="D482" s="1289"/>
      <c r="E482" s="24089"/>
      <c r="F482" s="24089"/>
      <c r="G482" s="24089"/>
      <c r="H482" s="24089"/>
      <c r="I482" s="24091"/>
      <c r="J482" s="24091" t="str">
        <f>I475&amp;".1"</f>
        <v>1.24.1.1.1</v>
      </c>
      <c r="K482" s="24090"/>
      <c r="L482" s="1295"/>
      <c r="M482" s="1674"/>
      <c r="N482" s="1674"/>
      <c r="O482" s="1674"/>
      <c r="P482" s="24092"/>
      <c r="Q482" s="24092"/>
      <c r="R482" s="293"/>
      <c r="S482" s="1982"/>
      <c r="T482" s="236"/>
      <c r="U482" s="236"/>
      <c r="V482" s="1286"/>
      <c r="W482" s="1286"/>
      <c r="X482" s="1286"/>
      <c r="Y482" s="1286"/>
      <c r="Z482" s="1286"/>
      <c r="AA482" s="1286"/>
      <c r="AB482" s="1286"/>
      <c r="AC482" s="24085"/>
      <c r="AD482" s="24085"/>
      <c r="AE482" s="24085"/>
      <c r="AF482" s="24085"/>
      <c r="AG482" s="261"/>
      <c r="AH482" s="261"/>
      <c r="AI482" s="261"/>
      <c r="AJ482" s="261"/>
      <c r="AK482" s="261"/>
      <c r="AL482" s="261"/>
      <c r="AM482" s="261"/>
      <c r="AN482" s="24094"/>
      <c r="AO482" s="23957"/>
      <c r="AP482" s="24096"/>
      <c r="AQ482" s="23957"/>
      <c r="AR482" s="6311"/>
      <c r="AS482" s="6311"/>
      <c r="AT482" s="6311"/>
      <c r="AU482" s="6311"/>
      <c r="AV482" s="6311"/>
      <c r="AW482" s="6311"/>
      <c r="AX482" s="6311"/>
      <c r="AY482" s="24186"/>
      <c r="AZ482" s="24205"/>
      <c r="BA482" s="24209"/>
      <c r="BB482" s="24205"/>
      <c r="BC482" s="6311"/>
      <c r="BD482" s="6311"/>
      <c r="BE482" s="6311"/>
      <c r="BF482" s="6311"/>
      <c r="BG482" s="261"/>
      <c r="BH482" s="6311"/>
      <c r="BI482" s="6311"/>
      <c r="BJ482" s="24186"/>
      <c r="BK482" s="24205"/>
      <c r="BL482" s="24209"/>
      <c r="BM482" s="24205"/>
      <c r="BN482" s="261"/>
      <c r="BO482" s="261"/>
      <c r="BP482" s="6311"/>
      <c r="BQ482" s="6311"/>
      <c r="BR482" s="261"/>
      <c r="BS482" s="6311"/>
      <c r="BT482" s="6311"/>
      <c r="BU482" s="24186"/>
      <c r="BV482" s="24205"/>
      <c r="BW482" s="24209"/>
      <c r="BX482" s="24205"/>
      <c r="BY482" s="6311"/>
      <c r="BZ482" s="6311"/>
      <c r="CA482" s="6311"/>
      <c r="CB482" s="6311"/>
      <c r="CC482" s="6311"/>
      <c r="CD482" s="6311"/>
      <c r="CE482" s="6311"/>
      <c r="CF482" s="24186"/>
      <c r="CG482" s="24205"/>
      <c r="CH482" s="24209"/>
      <c r="CI482" s="24205"/>
      <c r="CJ482" s="6311"/>
      <c r="CK482" s="6311"/>
      <c r="CL482" s="6311"/>
      <c r="CM482" s="6311"/>
      <c r="CN482" s="6311"/>
      <c r="CO482" s="6311"/>
      <c r="CP482" s="6311"/>
      <c r="CQ482" s="24186"/>
      <c r="CR482" s="24205"/>
      <c r="CS482" s="24209"/>
      <c r="CT482" s="24205"/>
      <c r="CU482" s="6311"/>
      <c r="CV482" s="6311"/>
      <c r="CW482" s="6311"/>
      <c r="CX482" s="6311"/>
      <c r="CY482" s="6311"/>
      <c r="CZ482" s="6311"/>
      <c r="DA482" s="6311"/>
      <c r="DB482" s="24186"/>
      <c r="DC482" s="24205"/>
      <c r="DD482" s="24209"/>
      <c r="DE482" s="24205"/>
      <c r="DF482" s="6354"/>
      <c r="DG482" s="6354"/>
      <c r="DH482" s="6354"/>
      <c r="DI482" s="6354"/>
      <c r="DJ482" s="6354"/>
      <c r="DK482" s="6354"/>
      <c r="DL482" s="6354"/>
      <c r="DM482" s="24208"/>
      <c r="DN482" s="24208"/>
      <c r="DO482" s="24208"/>
      <c r="DP482" s="24208"/>
      <c r="DQ482" s="6354"/>
      <c r="DR482" s="6354"/>
      <c r="DS482" s="6354"/>
      <c r="DT482" s="6354"/>
      <c r="DU482" s="6354"/>
      <c r="DV482" s="6354"/>
      <c r="DW482" s="6354"/>
      <c r="DX482" s="24208"/>
      <c r="DY482" s="24208"/>
      <c r="DZ482" s="24208"/>
      <c r="EA482" s="24208"/>
      <c r="EB482" s="6354"/>
      <c r="EC482" s="6354"/>
      <c r="ED482" s="6354"/>
      <c r="EE482" s="6354"/>
      <c r="EF482" s="6354"/>
      <c r="EG482" s="6354"/>
      <c r="EH482" s="6354"/>
      <c r="EI482" s="24208"/>
      <c r="EJ482" s="24208"/>
      <c r="EK482" s="24208"/>
      <c r="EL482" s="24208"/>
      <c r="EM482" s="6354"/>
      <c r="EN482" s="6354"/>
      <c r="EO482" s="6354"/>
      <c r="EP482" s="6354"/>
      <c r="EQ482" s="6354"/>
      <c r="ER482" s="6354"/>
      <c r="ES482" s="6354"/>
      <c r="ET482" s="24208"/>
      <c r="EU482" s="24208"/>
      <c r="EV482" s="24208"/>
      <c r="EW482" s="24208"/>
      <c r="EX482" s="1286"/>
      <c r="EY482" s="1286"/>
      <c r="EZ482" s="6354"/>
      <c r="FA482" s="6354"/>
      <c r="FB482" s="1286"/>
      <c r="FC482" s="6354"/>
      <c r="FD482" s="6354"/>
      <c r="FE482" s="24208"/>
      <c r="FF482" s="24208"/>
      <c r="FG482" s="24208"/>
      <c r="FH482" s="24208"/>
      <c r="FI482" s="1286"/>
      <c r="FJ482" s="1286"/>
      <c r="FK482" s="1286"/>
      <c r="FL482" s="1286"/>
      <c r="FM482" s="1286"/>
      <c r="FN482" s="1286"/>
      <c r="FO482" s="1286"/>
      <c r="FP482" s="24085"/>
      <c r="FQ482" s="24085"/>
      <c r="FR482" s="24085"/>
      <c r="FS482" s="24085"/>
      <c r="FT482" s="1365"/>
      <c r="FU482" s="24162"/>
      <c r="FV482" s="1568"/>
      <c r="FW482" s="1550"/>
      <c r="FX482" s="1550" t="str">
        <f t="shared" si="7"/>
        <v/>
      </c>
      <c r="FY482" s="1550"/>
      <c r="FZ482" s="1550"/>
      <c r="GA482" s="1561">
        <v>0</v>
      </c>
    </row>
    <row r="483" spans="1:183" s="1747" customFormat="1" ht="21" customHeight="1">
      <c r="A483" s="1289"/>
      <c r="B483" s="1289"/>
      <c r="C483" s="1289"/>
      <c r="D483" s="1289"/>
      <c r="E483" s="24089"/>
      <c r="F483" s="24089"/>
      <c r="G483" s="24089"/>
      <c r="H483" s="24089"/>
      <c r="I483" s="24091"/>
      <c r="J483" s="24090" t="str">
        <f>I475&amp;".1"</f>
        <v>1.24.1.1.1</v>
      </c>
      <c r="K483" s="1289"/>
      <c r="L483" s="1295"/>
      <c r="M483" s="1674"/>
      <c r="N483" s="1674"/>
      <c r="O483" s="1674"/>
      <c r="P483" s="24092"/>
      <c r="Q483" s="24092"/>
      <c r="R483" s="292"/>
      <c r="S483" s="6209"/>
      <c r="T483" s="6210" t="s">
        <v>712</v>
      </c>
      <c r="U483" s="6211"/>
      <c r="V483" s="6212"/>
      <c r="W483" s="6213"/>
      <c r="X483" s="6214"/>
      <c r="Y483" s="6215"/>
      <c r="Z483" s="6216"/>
      <c r="AA483" s="6217"/>
      <c r="AB483" s="6218"/>
      <c r="AC483" s="6219"/>
      <c r="AD483" s="6220"/>
      <c r="AE483" s="6221"/>
      <c r="AF483" s="6222"/>
      <c r="AG483" s="6223"/>
      <c r="AH483" s="6224"/>
      <c r="AI483" s="6225"/>
      <c r="AJ483" s="6226"/>
      <c r="AK483" s="6227"/>
      <c r="AL483" s="6228"/>
      <c r="AM483" s="6229"/>
      <c r="AN483" s="6230"/>
      <c r="AO483" s="6231"/>
      <c r="AP483" s="6232"/>
      <c r="AQ483" s="6233"/>
      <c r="AR483" s="8179"/>
      <c r="AS483" s="8180"/>
      <c r="AT483" s="8181"/>
      <c r="AU483" s="8182"/>
      <c r="AV483" s="8183"/>
      <c r="AW483" s="8184"/>
      <c r="AX483" s="8185"/>
      <c r="AY483" s="8186"/>
      <c r="AZ483" s="8187"/>
      <c r="BA483" s="8188"/>
      <c r="BB483" s="8189"/>
      <c r="BC483" s="8190"/>
      <c r="BD483" s="8191"/>
      <c r="BE483" s="21119"/>
      <c r="BF483" s="21120"/>
      <c r="BG483" s="21951"/>
      <c r="BH483" s="21121"/>
      <c r="BI483" s="21122"/>
      <c r="BJ483" s="21123"/>
      <c r="BK483" s="21124"/>
      <c r="BL483" s="21125"/>
      <c r="BM483" s="21126"/>
      <c r="BN483" s="6234"/>
      <c r="BO483" s="6235"/>
      <c r="BP483" s="21127"/>
      <c r="BQ483" s="21128"/>
      <c r="BR483" s="6236"/>
      <c r="BS483" s="21129"/>
      <c r="BT483" s="21130"/>
      <c r="BU483" s="21131"/>
      <c r="BV483" s="21132"/>
      <c r="BW483" s="21133"/>
      <c r="BX483" s="21134"/>
      <c r="BY483" s="21135"/>
      <c r="BZ483" s="21136"/>
      <c r="CA483" s="21137"/>
      <c r="CB483" s="21138"/>
      <c r="CC483" s="21139"/>
      <c r="CD483" s="21140"/>
      <c r="CE483" s="21141"/>
      <c r="CF483" s="21142"/>
      <c r="CG483" s="21143"/>
      <c r="CH483" s="21144"/>
      <c r="CI483" s="21145"/>
      <c r="CJ483" s="21146"/>
      <c r="CK483" s="21147"/>
      <c r="CL483" s="21148"/>
      <c r="CM483" s="21149"/>
      <c r="CN483" s="21150"/>
      <c r="CO483" s="21151"/>
      <c r="CP483" s="21152"/>
      <c r="CQ483" s="21153"/>
      <c r="CR483" s="21154"/>
      <c r="CS483" s="21155"/>
      <c r="CT483" s="21156"/>
      <c r="CU483" s="21157"/>
      <c r="CV483" s="21158"/>
      <c r="CW483" s="21159"/>
      <c r="CX483" s="21160"/>
      <c r="CY483" s="21161"/>
      <c r="CZ483" s="21162"/>
      <c r="DA483" s="21163"/>
      <c r="DB483" s="21164"/>
      <c r="DC483" s="21165"/>
      <c r="DD483" s="21166"/>
      <c r="DE483" s="21167"/>
      <c r="DF483" s="21168"/>
      <c r="DG483" s="21169"/>
      <c r="DH483" s="21170"/>
      <c r="DI483" s="21171"/>
      <c r="DJ483" s="21172"/>
      <c r="DK483" s="21173"/>
      <c r="DL483" s="21174"/>
      <c r="DM483" s="21175"/>
      <c r="DN483" s="21176"/>
      <c r="DO483" s="21177"/>
      <c r="DP483" s="21178"/>
      <c r="DQ483" s="21179"/>
      <c r="DR483" s="21180"/>
      <c r="DS483" s="21181"/>
      <c r="DT483" s="21182"/>
      <c r="DU483" s="21183"/>
      <c r="DV483" s="21184"/>
      <c r="DW483" s="21185"/>
      <c r="DX483" s="21186"/>
      <c r="DY483" s="21187"/>
      <c r="DZ483" s="21188"/>
      <c r="EA483" s="21189"/>
      <c r="EB483" s="21190"/>
      <c r="EC483" s="21191"/>
      <c r="ED483" s="21192"/>
      <c r="EE483" s="21193"/>
      <c r="EF483" s="21194"/>
      <c r="EG483" s="21195"/>
      <c r="EH483" s="21196"/>
      <c r="EI483" s="21197"/>
      <c r="EJ483" s="21198"/>
      <c r="EK483" s="21199"/>
      <c r="EL483" s="21200"/>
      <c r="EM483" s="21809"/>
      <c r="EN483" s="21810"/>
      <c r="EO483" s="21201"/>
      <c r="EP483" s="21202"/>
      <c r="EQ483" s="21811"/>
      <c r="ER483" s="21203"/>
      <c r="ES483" s="21204"/>
      <c r="ET483" s="21205"/>
      <c r="EU483" s="21206"/>
      <c r="EV483" s="21207"/>
      <c r="EW483" s="21208"/>
      <c r="EX483" s="6237"/>
      <c r="EY483" s="6238"/>
      <c r="EZ483" s="21209"/>
      <c r="FA483" s="21210"/>
      <c r="FB483" s="6239"/>
      <c r="FC483" s="21211"/>
      <c r="FD483" s="21212"/>
      <c r="FE483" s="21213"/>
      <c r="FF483" s="21214"/>
      <c r="FG483" s="21215"/>
      <c r="FH483" s="6240"/>
      <c r="FI483" s="23196"/>
      <c r="FJ483" s="23197"/>
      <c r="FK483" s="23897"/>
      <c r="FL483" s="23898"/>
      <c r="FM483" s="23198"/>
      <c r="FN483" s="23899"/>
      <c r="FO483" s="23900"/>
      <c r="FP483" s="23199"/>
      <c r="FQ483" s="23200"/>
      <c r="FR483" s="23201"/>
      <c r="FS483" s="23901"/>
      <c r="FT483" s="6241"/>
      <c r="FU483" s="1184" t="s">
        <v>713</v>
      </c>
      <c r="FV483" s="1568"/>
      <c r="FW483" s="1550"/>
      <c r="FX483" s="1550" t="str">
        <f t="shared" si="7"/>
        <v>Добавить значение признака дифференциации</v>
      </c>
      <c r="FY483" s="1550"/>
      <c r="FZ483" s="1550"/>
      <c r="GA483" s="1561">
        <v>0</v>
      </c>
    </row>
    <row r="484" spans="1:183" s="1747" customFormat="1" ht="21" customHeight="1">
      <c r="A484" s="1289"/>
      <c r="B484" s="1289"/>
      <c r="C484" s="1289"/>
      <c r="D484" s="1289"/>
      <c r="E484" s="24089"/>
      <c r="F484" s="24089" t="s">
        <v>202</v>
      </c>
      <c r="G484" s="24089"/>
      <c r="H484" s="24089"/>
      <c r="I484" s="24090"/>
      <c r="J484" s="1289"/>
      <c r="K484" s="1289"/>
      <c r="L484" s="1295"/>
      <c r="M484" s="1674"/>
      <c r="N484" s="1674"/>
      <c r="O484" s="1674"/>
      <c r="P484" s="24092"/>
      <c r="Q484" s="1978"/>
      <c r="R484" s="292"/>
      <c r="S484" s="6242"/>
      <c r="T484" s="6243" t="s">
        <v>641</v>
      </c>
      <c r="U484" s="6244"/>
      <c r="V484" s="6245"/>
      <c r="W484" s="6246"/>
      <c r="X484" s="6247"/>
      <c r="Y484" s="6248"/>
      <c r="Z484" s="6249"/>
      <c r="AA484" s="6250"/>
      <c r="AB484" s="6251"/>
      <c r="AC484" s="6252"/>
      <c r="AD484" s="6253"/>
      <c r="AE484" s="6254"/>
      <c r="AF484" s="6255"/>
      <c r="AG484" s="6256"/>
      <c r="AH484" s="6257"/>
      <c r="AI484" s="6258"/>
      <c r="AJ484" s="6259"/>
      <c r="AK484" s="6260"/>
      <c r="AL484" s="6261"/>
      <c r="AM484" s="6262"/>
      <c r="AN484" s="6263"/>
      <c r="AO484" s="6264"/>
      <c r="AP484" s="6265"/>
      <c r="AQ484" s="6266"/>
      <c r="AR484" s="8192"/>
      <c r="AS484" s="8193"/>
      <c r="AT484" s="8194"/>
      <c r="AU484" s="8195"/>
      <c r="AV484" s="8196"/>
      <c r="AW484" s="8197"/>
      <c r="AX484" s="8198"/>
      <c r="AY484" s="8199"/>
      <c r="AZ484" s="8200"/>
      <c r="BA484" s="8201"/>
      <c r="BB484" s="8202"/>
      <c r="BC484" s="8203"/>
      <c r="BD484" s="8204"/>
      <c r="BE484" s="21216"/>
      <c r="BF484" s="21217"/>
      <c r="BG484" s="21952"/>
      <c r="BH484" s="21218"/>
      <c r="BI484" s="21219"/>
      <c r="BJ484" s="21220"/>
      <c r="BK484" s="21221"/>
      <c r="BL484" s="21222"/>
      <c r="BM484" s="21223"/>
      <c r="BN484" s="6267"/>
      <c r="BO484" s="6268"/>
      <c r="BP484" s="21224"/>
      <c r="BQ484" s="21225"/>
      <c r="BR484" s="6269"/>
      <c r="BS484" s="21226"/>
      <c r="BT484" s="21227"/>
      <c r="BU484" s="21228"/>
      <c r="BV484" s="21229"/>
      <c r="BW484" s="21230"/>
      <c r="BX484" s="21231"/>
      <c r="BY484" s="21232"/>
      <c r="BZ484" s="21233"/>
      <c r="CA484" s="21234"/>
      <c r="CB484" s="21235"/>
      <c r="CC484" s="21236"/>
      <c r="CD484" s="21237"/>
      <c r="CE484" s="21238"/>
      <c r="CF484" s="21239"/>
      <c r="CG484" s="21240"/>
      <c r="CH484" s="21241"/>
      <c r="CI484" s="21242"/>
      <c r="CJ484" s="21243"/>
      <c r="CK484" s="21244"/>
      <c r="CL484" s="21245"/>
      <c r="CM484" s="21246"/>
      <c r="CN484" s="21247"/>
      <c r="CO484" s="21248"/>
      <c r="CP484" s="21249"/>
      <c r="CQ484" s="21250"/>
      <c r="CR484" s="21251"/>
      <c r="CS484" s="21252"/>
      <c r="CT484" s="21253"/>
      <c r="CU484" s="21254"/>
      <c r="CV484" s="21255"/>
      <c r="CW484" s="21256"/>
      <c r="CX484" s="21257"/>
      <c r="CY484" s="21258"/>
      <c r="CZ484" s="21259"/>
      <c r="DA484" s="21260"/>
      <c r="DB484" s="21261"/>
      <c r="DC484" s="21262"/>
      <c r="DD484" s="21263"/>
      <c r="DE484" s="21264"/>
      <c r="DF484" s="21265"/>
      <c r="DG484" s="21266"/>
      <c r="DH484" s="21267"/>
      <c r="DI484" s="21268"/>
      <c r="DJ484" s="21269"/>
      <c r="DK484" s="21270"/>
      <c r="DL484" s="21271"/>
      <c r="DM484" s="21272"/>
      <c r="DN484" s="21273"/>
      <c r="DO484" s="21274"/>
      <c r="DP484" s="21275"/>
      <c r="DQ484" s="21276"/>
      <c r="DR484" s="21277"/>
      <c r="DS484" s="21278"/>
      <c r="DT484" s="21279"/>
      <c r="DU484" s="21280"/>
      <c r="DV484" s="21281"/>
      <c r="DW484" s="21282"/>
      <c r="DX484" s="21283"/>
      <c r="DY484" s="21284"/>
      <c r="DZ484" s="21285"/>
      <c r="EA484" s="21286"/>
      <c r="EB484" s="21287"/>
      <c r="EC484" s="21288"/>
      <c r="ED484" s="21289"/>
      <c r="EE484" s="21290"/>
      <c r="EF484" s="21291"/>
      <c r="EG484" s="21292"/>
      <c r="EH484" s="21293"/>
      <c r="EI484" s="21294"/>
      <c r="EJ484" s="21295"/>
      <c r="EK484" s="21296"/>
      <c r="EL484" s="21297"/>
      <c r="EM484" s="21812"/>
      <c r="EN484" s="21813"/>
      <c r="EO484" s="21298"/>
      <c r="EP484" s="21299"/>
      <c r="EQ484" s="21814"/>
      <c r="ER484" s="21300"/>
      <c r="ES484" s="21301"/>
      <c r="ET484" s="21302"/>
      <c r="EU484" s="21303"/>
      <c r="EV484" s="21304"/>
      <c r="EW484" s="21305"/>
      <c r="EX484" s="6270"/>
      <c r="EY484" s="6271"/>
      <c r="EZ484" s="21306"/>
      <c r="FA484" s="21307"/>
      <c r="FB484" s="6272"/>
      <c r="FC484" s="21308"/>
      <c r="FD484" s="21309"/>
      <c r="FE484" s="21310"/>
      <c r="FF484" s="21311"/>
      <c r="FG484" s="21312"/>
      <c r="FH484" s="6273"/>
      <c r="FI484" s="23202"/>
      <c r="FJ484" s="23203"/>
      <c r="FK484" s="23902"/>
      <c r="FL484" s="23903"/>
      <c r="FM484" s="23204"/>
      <c r="FN484" s="23904"/>
      <c r="FO484" s="23905"/>
      <c r="FP484" s="23205"/>
      <c r="FQ484" s="23206"/>
      <c r="FR484" s="23207"/>
      <c r="FS484" s="23906"/>
      <c r="FT484" s="6274"/>
      <c r="FU484" s="6275"/>
      <c r="FV484" s="1568"/>
      <c r="FW484" s="1550"/>
      <c r="FX484" s="1550" t="str">
        <f t="shared" si="7"/>
        <v>Добавить группу потребителей</v>
      </c>
      <c r="FY484" s="1550"/>
      <c r="FZ484" s="1550"/>
      <c r="GA484" s="1561">
        <v>0</v>
      </c>
    </row>
    <row r="485" spans="1:183" s="1747" customFormat="1" ht="21" customHeight="1">
      <c r="A485" s="1289"/>
      <c r="B485" s="1289"/>
      <c r="C485" s="1289"/>
      <c r="D485" s="1289"/>
      <c r="E485" s="24089"/>
      <c r="F485" s="24089" t="s">
        <v>202</v>
      </c>
      <c r="G485" s="24089"/>
      <c r="H485" s="24088"/>
      <c r="I485" s="1289"/>
      <c r="J485" s="1289"/>
      <c r="K485" s="1289"/>
      <c r="L485" s="1295"/>
      <c r="M485" s="1291"/>
      <c r="N485" s="1291"/>
      <c r="O485" s="1292"/>
      <c r="P485" s="1720"/>
      <c r="Q485" s="311"/>
      <c r="R485" s="291"/>
      <c r="S485" s="6276"/>
      <c r="T485" s="6277" t="s">
        <v>714</v>
      </c>
      <c r="U485" s="6278"/>
      <c r="V485" s="6279"/>
      <c r="W485" s="6280"/>
      <c r="X485" s="6281"/>
      <c r="Y485" s="6282"/>
      <c r="Z485" s="6283"/>
      <c r="AA485" s="6284"/>
      <c r="AB485" s="6285"/>
      <c r="AC485" s="6286"/>
      <c r="AD485" s="6287"/>
      <c r="AE485" s="6288"/>
      <c r="AF485" s="6289"/>
      <c r="AG485" s="6290"/>
      <c r="AH485" s="6291"/>
      <c r="AI485" s="6292"/>
      <c r="AJ485" s="6293"/>
      <c r="AK485" s="6294"/>
      <c r="AL485" s="6295"/>
      <c r="AM485" s="6296"/>
      <c r="AN485" s="6297"/>
      <c r="AO485" s="6298"/>
      <c r="AP485" s="6299"/>
      <c r="AQ485" s="6300"/>
      <c r="AR485" s="8205"/>
      <c r="AS485" s="8206"/>
      <c r="AT485" s="8207"/>
      <c r="AU485" s="8208"/>
      <c r="AV485" s="8209"/>
      <c r="AW485" s="8210"/>
      <c r="AX485" s="8211"/>
      <c r="AY485" s="8212"/>
      <c r="AZ485" s="8213"/>
      <c r="BA485" s="8214"/>
      <c r="BB485" s="8215"/>
      <c r="BC485" s="8216"/>
      <c r="BD485" s="8217"/>
      <c r="BE485" s="21313"/>
      <c r="BF485" s="21314"/>
      <c r="BG485" s="21953"/>
      <c r="BH485" s="21315"/>
      <c r="BI485" s="21316"/>
      <c r="BJ485" s="21317"/>
      <c r="BK485" s="21318"/>
      <c r="BL485" s="21319"/>
      <c r="BM485" s="21320"/>
      <c r="BN485" s="6301"/>
      <c r="BO485" s="6302"/>
      <c r="BP485" s="21321"/>
      <c r="BQ485" s="21322"/>
      <c r="BR485" s="6303"/>
      <c r="BS485" s="21323"/>
      <c r="BT485" s="21324"/>
      <c r="BU485" s="21325"/>
      <c r="BV485" s="21326"/>
      <c r="BW485" s="21327"/>
      <c r="BX485" s="21328"/>
      <c r="BY485" s="21329"/>
      <c r="BZ485" s="21330"/>
      <c r="CA485" s="21331"/>
      <c r="CB485" s="21332"/>
      <c r="CC485" s="21333"/>
      <c r="CD485" s="21334"/>
      <c r="CE485" s="21335"/>
      <c r="CF485" s="21336"/>
      <c r="CG485" s="21337"/>
      <c r="CH485" s="21338"/>
      <c r="CI485" s="21339"/>
      <c r="CJ485" s="21340"/>
      <c r="CK485" s="21341"/>
      <c r="CL485" s="21342"/>
      <c r="CM485" s="21343"/>
      <c r="CN485" s="21344"/>
      <c r="CO485" s="21345"/>
      <c r="CP485" s="21346"/>
      <c r="CQ485" s="21347"/>
      <c r="CR485" s="21348"/>
      <c r="CS485" s="21349"/>
      <c r="CT485" s="21350"/>
      <c r="CU485" s="21351"/>
      <c r="CV485" s="21352"/>
      <c r="CW485" s="21353"/>
      <c r="CX485" s="21354"/>
      <c r="CY485" s="21355"/>
      <c r="CZ485" s="21356"/>
      <c r="DA485" s="21357"/>
      <c r="DB485" s="21358"/>
      <c r="DC485" s="21359"/>
      <c r="DD485" s="21360"/>
      <c r="DE485" s="21361"/>
      <c r="DF485" s="21362"/>
      <c r="DG485" s="21363"/>
      <c r="DH485" s="21364"/>
      <c r="DI485" s="21365"/>
      <c r="DJ485" s="21366"/>
      <c r="DK485" s="21367"/>
      <c r="DL485" s="21368"/>
      <c r="DM485" s="21369"/>
      <c r="DN485" s="21370"/>
      <c r="DO485" s="21371"/>
      <c r="DP485" s="21372"/>
      <c r="DQ485" s="21373"/>
      <c r="DR485" s="21374"/>
      <c r="DS485" s="21375"/>
      <c r="DT485" s="21376"/>
      <c r="DU485" s="21377"/>
      <c r="DV485" s="21378"/>
      <c r="DW485" s="21379"/>
      <c r="DX485" s="21380"/>
      <c r="DY485" s="21381"/>
      <c r="DZ485" s="21382"/>
      <c r="EA485" s="21383"/>
      <c r="EB485" s="21384"/>
      <c r="EC485" s="21385"/>
      <c r="ED485" s="21386"/>
      <c r="EE485" s="21387"/>
      <c r="EF485" s="21388"/>
      <c r="EG485" s="21389"/>
      <c r="EH485" s="21390"/>
      <c r="EI485" s="21391"/>
      <c r="EJ485" s="21392"/>
      <c r="EK485" s="21393"/>
      <c r="EL485" s="21394"/>
      <c r="EM485" s="21815"/>
      <c r="EN485" s="21816"/>
      <c r="EO485" s="21395"/>
      <c r="EP485" s="21396"/>
      <c r="EQ485" s="21817"/>
      <c r="ER485" s="21397"/>
      <c r="ES485" s="21398"/>
      <c r="ET485" s="21399"/>
      <c r="EU485" s="21400"/>
      <c r="EV485" s="21401"/>
      <c r="EW485" s="21402"/>
      <c r="EX485" s="6304"/>
      <c r="EY485" s="6305"/>
      <c r="EZ485" s="21403"/>
      <c r="FA485" s="21404"/>
      <c r="FB485" s="6306"/>
      <c r="FC485" s="21405"/>
      <c r="FD485" s="21406"/>
      <c r="FE485" s="21407"/>
      <c r="FF485" s="21408"/>
      <c r="FG485" s="21409"/>
      <c r="FH485" s="6307"/>
      <c r="FI485" s="23208"/>
      <c r="FJ485" s="23209"/>
      <c r="FK485" s="23907"/>
      <c r="FL485" s="23908"/>
      <c r="FM485" s="23210"/>
      <c r="FN485" s="23909"/>
      <c r="FO485" s="23910"/>
      <c r="FP485" s="23211"/>
      <c r="FQ485" s="23212"/>
      <c r="FR485" s="23213"/>
      <c r="FS485" s="23911"/>
      <c r="FT485" s="6308"/>
      <c r="FU485" s="6309"/>
      <c r="FV485" s="1568"/>
      <c r="FW485" s="1550"/>
      <c r="FX485" s="1550" t="str">
        <f t="shared" si="7"/>
        <v>Добавить наименование признака дифференциации</v>
      </c>
      <c r="FY485" s="1550"/>
      <c r="FZ485" s="1550"/>
      <c r="GA485" s="1561">
        <v>0</v>
      </c>
    </row>
    <row r="486" spans="1:183" s="1747" customFormat="1" ht="23.25" customHeight="1">
      <c r="A486" s="1289"/>
      <c r="B486" s="1289"/>
      <c r="C486" s="1289" t="s">
        <v>479</v>
      </c>
      <c r="D486" s="1289"/>
      <c r="E486" s="24089"/>
      <c r="F486" s="24089"/>
      <c r="G486" s="24088" t="s">
        <v>95</v>
      </c>
      <c r="H486" s="1289"/>
      <c r="I486" s="1289"/>
      <c r="J486" s="1289"/>
      <c r="K486" s="1289"/>
      <c r="L486" s="1295"/>
      <c r="M486" s="1291"/>
      <c r="N486" s="1291"/>
      <c r="O486" s="1291"/>
      <c r="P486" s="290"/>
      <c r="Q486" s="288"/>
      <c r="R486" s="289"/>
      <c r="S486" s="1976" t="str">
        <f>INDEX(PT_DIFFERENTIATION_NUM_CS,MATCH(C486,PT_DIFFERENTIATION_CS_ID,0))</f>
        <v>1.24.2</v>
      </c>
      <c r="T486" s="245" t="s">
        <v>756</v>
      </c>
      <c r="U486" s="236"/>
      <c r="V486" s="24082"/>
      <c r="W486" s="24083"/>
      <c r="X486" s="24083"/>
      <c r="Y486" s="24083"/>
      <c r="Z486" s="24083"/>
      <c r="AA486" s="24083"/>
      <c r="AB486" s="24083"/>
      <c r="AC486" s="24083"/>
      <c r="AD486" s="24083"/>
      <c r="AE486" s="24083"/>
      <c r="AF486" s="24084"/>
      <c r="AG486" s="24082" t="str">
        <f>INDEX(PT_DIFFERENTIATION_CS,MATCH(C486,PT_DIFFERENTIATION_CS_ID,0))</f>
        <v>для котельной №3, расположенной по адресу: пгт Шумячи, ул. Санаторная, д. 1</v>
      </c>
      <c r="AH486" s="24083"/>
      <c r="AI486" s="24083"/>
      <c r="AJ486" s="24083"/>
      <c r="AK486" s="24083"/>
      <c r="AL486" s="24083"/>
      <c r="AM486" s="24083"/>
      <c r="AN486" s="24083"/>
      <c r="AO486" s="24083"/>
      <c r="AP486" s="24083"/>
      <c r="AQ486" s="24083"/>
      <c r="AR486" s="24173"/>
      <c r="AS486" s="24174"/>
      <c r="AT486" s="24174"/>
      <c r="AU486" s="24174"/>
      <c r="AV486" s="24174"/>
      <c r="AW486" s="24174"/>
      <c r="AX486" s="24174"/>
      <c r="AY486" s="24174"/>
      <c r="AZ486" s="24174"/>
      <c r="BA486" s="24174"/>
      <c r="BB486" s="24175"/>
      <c r="BC486" s="24173"/>
      <c r="BD486" s="24174"/>
      <c r="BE486" s="24174"/>
      <c r="BF486" s="24174"/>
      <c r="BG486" s="24174"/>
      <c r="BH486" s="24174"/>
      <c r="BI486" s="24174"/>
      <c r="BJ486" s="24174"/>
      <c r="BK486" s="24174"/>
      <c r="BL486" s="24174"/>
      <c r="BM486" s="24175"/>
      <c r="BN486" s="24082"/>
      <c r="BO486" s="24083"/>
      <c r="BP486" s="24174"/>
      <c r="BQ486" s="24174"/>
      <c r="BR486" s="24083"/>
      <c r="BS486" s="24174"/>
      <c r="BT486" s="24174"/>
      <c r="BU486" s="24174"/>
      <c r="BV486" s="24174"/>
      <c r="BW486" s="24174"/>
      <c r="BX486" s="24175"/>
      <c r="BY486" s="24173"/>
      <c r="BZ486" s="24174"/>
      <c r="CA486" s="24174"/>
      <c r="CB486" s="24174"/>
      <c r="CC486" s="24174"/>
      <c r="CD486" s="24174"/>
      <c r="CE486" s="24174"/>
      <c r="CF486" s="24174"/>
      <c r="CG486" s="24174"/>
      <c r="CH486" s="24174"/>
      <c r="CI486" s="24175"/>
      <c r="CJ486" s="24173"/>
      <c r="CK486" s="24174"/>
      <c r="CL486" s="24174"/>
      <c r="CM486" s="24174"/>
      <c r="CN486" s="24174"/>
      <c r="CO486" s="24174"/>
      <c r="CP486" s="24174"/>
      <c r="CQ486" s="24174"/>
      <c r="CR486" s="24174"/>
      <c r="CS486" s="24174"/>
      <c r="CT486" s="24175"/>
      <c r="CU486" s="24173"/>
      <c r="CV486" s="24174"/>
      <c r="CW486" s="24174"/>
      <c r="CX486" s="24174"/>
      <c r="CY486" s="24174"/>
      <c r="CZ486" s="24174"/>
      <c r="DA486" s="24174"/>
      <c r="DB486" s="24174"/>
      <c r="DC486" s="24174"/>
      <c r="DD486" s="24174"/>
      <c r="DE486" s="24175"/>
      <c r="DF486" s="24173"/>
      <c r="DG486" s="24174"/>
      <c r="DH486" s="24174"/>
      <c r="DI486" s="24174"/>
      <c r="DJ486" s="24174"/>
      <c r="DK486" s="24174"/>
      <c r="DL486" s="24174"/>
      <c r="DM486" s="24174"/>
      <c r="DN486" s="24174"/>
      <c r="DO486" s="24174"/>
      <c r="DP486" s="24175"/>
      <c r="DQ486" s="24173"/>
      <c r="DR486" s="24174"/>
      <c r="DS486" s="24174"/>
      <c r="DT486" s="24174"/>
      <c r="DU486" s="24174"/>
      <c r="DV486" s="24174"/>
      <c r="DW486" s="24174"/>
      <c r="DX486" s="24174"/>
      <c r="DY486" s="24174"/>
      <c r="DZ486" s="24174"/>
      <c r="EA486" s="24175"/>
      <c r="EB486" s="24173"/>
      <c r="EC486" s="24174"/>
      <c r="ED486" s="24174"/>
      <c r="EE486" s="24174"/>
      <c r="EF486" s="24174"/>
      <c r="EG486" s="24174"/>
      <c r="EH486" s="24174"/>
      <c r="EI486" s="24174"/>
      <c r="EJ486" s="24174"/>
      <c r="EK486" s="24174"/>
      <c r="EL486" s="24175"/>
      <c r="EM486" s="24173"/>
      <c r="EN486" s="24174"/>
      <c r="EO486" s="24174"/>
      <c r="EP486" s="24174"/>
      <c r="EQ486" s="24174"/>
      <c r="ER486" s="24174"/>
      <c r="ES486" s="24174"/>
      <c r="ET486" s="24174"/>
      <c r="EU486" s="24174"/>
      <c r="EV486" s="24174"/>
      <c r="EW486" s="24175"/>
      <c r="EX486" s="24082"/>
      <c r="EY486" s="24083"/>
      <c r="EZ486" s="24174"/>
      <c r="FA486" s="24174"/>
      <c r="FB486" s="24083"/>
      <c r="FC486" s="24174"/>
      <c r="FD486" s="24174"/>
      <c r="FE486" s="24174"/>
      <c r="FF486" s="24174"/>
      <c r="FG486" s="24174"/>
      <c r="FH486" s="24175"/>
      <c r="FI486" s="24082"/>
      <c r="FJ486" s="24083"/>
      <c r="FK486" s="24174"/>
      <c r="FL486" s="24174"/>
      <c r="FM486" s="24083"/>
      <c r="FN486" s="24174"/>
      <c r="FO486" s="24174"/>
      <c r="FP486" s="24083"/>
      <c r="FQ486" s="24083"/>
      <c r="FR486" s="24083"/>
      <c r="FS486" s="24175"/>
      <c r="FT486" s="24084"/>
      <c r="FU486" s="1184" t="s">
        <v>757</v>
      </c>
      <c r="FV486" s="1568"/>
      <c r="FW486" s="1550"/>
      <c r="FX486" s="1550" t="str">
        <f t="shared" si="7"/>
        <v>Наименование централизованной системы горячего водоснабжения</v>
      </c>
      <c r="FY486" s="1550"/>
      <c r="FZ486" s="1550"/>
      <c r="GA486" s="1561">
        <v>0</v>
      </c>
    </row>
    <row r="487" spans="1:183" s="1747" customFormat="1" ht="23.25" customHeight="1">
      <c r="A487" s="1289"/>
      <c r="B487" s="1289"/>
      <c r="C487" s="1289"/>
      <c r="D487" s="1289"/>
      <c r="E487" s="24089"/>
      <c r="F487" s="24089"/>
      <c r="G487" s="24089">
        <v>1</v>
      </c>
      <c r="H487" s="24089"/>
      <c r="I487" s="24090" t="str">
        <f>S486&amp;".1"</f>
        <v>1.24.2.1</v>
      </c>
      <c r="J487" s="1289"/>
      <c r="K487" s="1289"/>
      <c r="L487" s="1295"/>
      <c r="M487" s="1674"/>
      <c r="N487" s="1674"/>
      <c r="O487" s="1674"/>
      <c r="P487" s="24092">
        <v>1</v>
      </c>
      <c r="Q487" s="1978"/>
      <c r="R487" s="292"/>
      <c r="S487" s="1976" t="str">
        <f>$I487</f>
        <v>1.24.2.1</v>
      </c>
      <c r="T487" s="221" t="s">
        <v>709</v>
      </c>
      <c r="U487" s="236"/>
      <c r="V487" s="24156"/>
      <c r="W487" s="24157"/>
      <c r="X487" s="24157"/>
      <c r="Y487" s="24157"/>
      <c r="Z487" s="24157"/>
      <c r="AA487" s="24157"/>
      <c r="AB487" s="24157"/>
      <c r="AC487" s="24157"/>
      <c r="AD487" s="24157"/>
      <c r="AE487" s="24157"/>
      <c r="AF487" s="24158"/>
      <c r="AG487" s="24159"/>
      <c r="AH487" s="24160"/>
      <c r="AI487" s="24160"/>
      <c r="AJ487" s="24160"/>
      <c r="AK487" s="24160"/>
      <c r="AL487" s="24160"/>
      <c r="AM487" s="24160"/>
      <c r="AN487" s="24160"/>
      <c r="AO487" s="24160"/>
      <c r="AP487" s="24160"/>
      <c r="AQ487" s="24160"/>
      <c r="AR487" s="24176"/>
      <c r="AS487" s="24177"/>
      <c r="AT487" s="24177"/>
      <c r="AU487" s="24177"/>
      <c r="AV487" s="24177"/>
      <c r="AW487" s="24177"/>
      <c r="AX487" s="24177"/>
      <c r="AY487" s="24177"/>
      <c r="AZ487" s="24177"/>
      <c r="BA487" s="24177"/>
      <c r="BB487" s="24178"/>
      <c r="BC487" s="24176"/>
      <c r="BD487" s="24177"/>
      <c r="BE487" s="24177"/>
      <c r="BF487" s="24177"/>
      <c r="BG487" s="24177"/>
      <c r="BH487" s="24177"/>
      <c r="BI487" s="24177"/>
      <c r="BJ487" s="24177"/>
      <c r="BK487" s="24177"/>
      <c r="BL487" s="24177"/>
      <c r="BM487" s="24178"/>
      <c r="BN487" s="24156"/>
      <c r="BO487" s="24157"/>
      <c r="BP487" s="24177"/>
      <c r="BQ487" s="24177"/>
      <c r="BR487" s="24157"/>
      <c r="BS487" s="24177"/>
      <c r="BT487" s="24177"/>
      <c r="BU487" s="24177"/>
      <c r="BV487" s="24177"/>
      <c r="BW487" s="24177"/>
      <c r="BX487" s="24178"/>
      <c r="BY487" s="24176"/>
      <c r="BZ487" s="24177"/>
      <c r="CA487" s="24177"/>
      <c r="CB487" s="24177"/>
      <c r="CC487" s="24177"/>
      <c r="CD487" s="24177"/>
      <c r="CE487" s="24177"/>
      <c r="CF487" s="24177"/>
      <c r="CG487" s="24177"/>
      <c r="CH487" s="24177"/>
      <c r="CI487" s="24178"/>
      <c r="CJ487" s="24176"/>
      <c r="CK487" s="24177"/>
      <c r="CL487" s="24177"/>
      <c r="CM487" s="24177"/>
      <c r="CN487" s="24177"/>
      <c r="CO487" s="24177"/>
      <c r="CP487" s="24177"/>
      <c r="CQ487" s="24177"/>
      <c r="CR487" s="24177"/>
      <c r="CS487" s="24177"/>
      <c r="CT487" s="24178"/>
      <c r="CU487" s="24176"/>
      <c r="CV487" s="24177"/>
      <c r="CW487" s="24177"/>
      <c r="CX487" s="24177"/>
      <c r="CY487" s="24177"/>
      <c r="CZ487" s="24177"/>
      <c r="DA487" s="24177"/>
      <c r="DB487" s="24177"/>
      <c r="DC487" s="24177"/>
      <c r="DD487" s="24177"/>
      <c r="DE487" s="24178"/>
      <c r="DF487" s="24176"/>
      <c r="DG487" s="24177"/>
      <c r="DH487" s="24177"/>
      <c r="DI487" s="24177"/>
      <c r="DJ487" s="24177"/>
      <c r="DK487" s="24177"/>
      <c r="DL487" s="24177"/>
      <c r="DM487" s="24177"/>
      <c r="DN487" s="24177"/>
      <c r="DO487" s="24177"/>
      <c r="DP487" s="24178"/>
      <c r="DQ487" s="24176"/>
      <c r="DR487" s="24177"/>
      <c r="DS487" s="24177"/>
      <c r="DT487" s="24177"/>
      <c r="DU487" s="24177"/>
      <c r="DV487" s="24177"/>
      <c r="DW487" s="24177"/>
      <c r="DX487" s="24177"/>
      <c r="DY487" s="24177"/>
      <c r="DZ487" s="24177"/>
      <c r="EA487" s="24178"/>
      <c r="EB487" s="24176"/>
      <c r="EC487" s="24177"/>
      <c r="ED487" s="24177"/>
      <c r="EE487" s="24177"/>
      <c r="EF487" s="24177"/>
      <c r="EG487" s="24177"/>
      <c r="EH487" s="24177"/>
      <c r="EI487" s="24177"/>
      <c r="EJ487" s="24177"/>
      <c r="EK487" s="24177"/>
      <c r="EL487" s="24178"/>
      <c r="EM487" s="24176"/>
      <c r="EN487" s="24177"/>
      <c r="EO487" s="24177"/>
      <c r="EP487" s="24177"/>
      <c r="EQ487" s="24177"/>
      <c r="ER487" s="24177"/>
      <c r="ES487" s="24177"/>
      <c r="ET487" s="24177"/>
      <c r="EU487" s="24177"/>
      <c r="EV487" s="24177"/>
      <c r="EW487" s="24178"/>
      <c r="EX487" s="24156"/>
      <c r="EY487" s="24157"/>
      <c r="EZ487" s="24177"/>
      <c r="FA487" s="24177"/>
      <c r="FB487" s="24157"/>
      <c r="FC487" s="24177"/>
      <c r="FD487" s="24177"/>
      <c r="FE487" s="24177"/>
      <c r="FF487" s="24177"/>
      <c r="FG487" s="24177"/>
      <c r="FH487" s="24178"/>
      <c r="FI487" s="24156"/>
      <c r="FJ487" s="24157"/>
      <c r="FK487" s="24177"/>
      <c r="FL487" s="24177"/>
      <c r="FM487" s="24157"/>
      <c r="FN487" s="24177"/>
      <c r="FO487" s="24177"/>
      <c r="FP487" s="24157"/>
      <c r="FQ487" s="24157"/>
      <c r="FR487" s="24157"/>
      <c r="FS487" s="24178"/>
      <c r="FT487" s="24161"/>
      <c r="FU487" s="1184" t="s">
        <v>710</v>
      </c>
      <c r="FV487" s="1568"/>
      <c r="FW487" s="1550"/>
      <c r="FX487" s="1550" t="str">
        <f t="shared" si="7"/>
        <v>Наименование признака дифференциации</v>
      </c>
      <c r="FY487" s="1550"/>
      <c r="FZ487" s="1550"/>
      <c r="GA487" s="1561">
        <v>0</v>
      </c>
    </row>
    <row r="488" spans="1:183" s="1747" customFormat="1" ht="23.25" customHeight="1">
      <c r="A488" s="1289"/>
      <c r="B488" s="1289"/>
      <c r="C488" s="1289"/>
      <c r="D488" s="1289"/>
      <c r="E488" s="24089"/>
      <c r="F488" s="24089"/>
      <c r="G488" s="24089">
        <v>1</v>
      </c>
      <c r="H488" s="24089"/>
      <c r="I488" s="24091"/>
      <c r="J488" s="24090" t="str">
        <f>I487&amp;".1"</f>
        <v>1.24.2.1.1</v>
      </c>
      <c r="K488" s="1289"/>
      <c r="L488" s="1295" t="s">
        <v>635</v>
      </c>
      <c r="M488" s="1674"/>
      <c r="N488" s="1674"/>
      <c r="O488" s="1674"/>
      <c r="P488" s="24092"/>
      <c r="Q488" s="24092">
        <v>1</v>
      </c>
      <c r="R488" s="293"/>
      <c r="S488" s="1976" t="str">
        <f>$J488</f>
        <v>1.24.2.1.1</v>
      </c>
      <c r="T488" s="222" t="s">
        <v>636</v>
      </c>
      <c r="U488" s="236"/>
      <c r="V488" s="24076"/>
      <c r="W488" s="24077"/>
      <c r="X488" s="24077"/>
      <c r="Y488" s="24077"/>
      <c r="Z488" s="24077"/>
      <c r="AA488" s="24077"/>
      <c r="AB488" s="24077"/>
      <c r="AC488" s="24077"/>
      <c r="AD488" s="24077"/>
      <c r="AE488" s="24077"/>
      <c r="AF488" s="24078"/>
      <c r="AG488" s="24076" t="s">
        <v>769</v>
      </c>
      <c r="AH488" s="24077"/>
      <c r="AI488" s="24077"/>
      <c r="AJ488" s="24077"/>
      <c r="AK488" s="24077"/>
      <c r="AL488" s="24077"/>
      <c r="AM488" s="24077"/>
      <c r="AN488" s="24077"/>
      <c r="AO488" s="24077"/>
      <c r="AP488" s="24077"/>
      <c r="AQ488" s="24077"/>
      <c r="AR488" s="24179"/>
      <c r="AS488" s="24180"/>
      <c r="AT488" s="24180"/>
      <c r="AU488" s="24180"/>
      <c r="AV488" s="24180"/>
      <c r="AW488" s="24180"/>
      <c r="AX488" s="24180"/>
      <c r="AY488" s="24180"/>
      <c r="AZ488" s="24180"/>
      <c r="BA488" s="24180"/>
      <c r="BB488" s="24181"/>
      <c r="BC488" s="24179"/>
      <c r="BD488" s="24180"/>
      <c r="BE488" s="24180"/>
      <c r="BF488" s="24180"/>
      <c r="BG488" s="24180"/>
      <c r="BH488" s="24180"/>
      <c r="BI488" s="24180"/>
      <c r="BJ488" s="24180"/>
      <c r="BK488" s="24180"/>
      <c r="BL488" s="24180"/>
      <c r="BM488" s="24181"/>
      <c r="BN488" s="24076"/>
      <c r="BO488" s="24077"/>
      <c r="BP488" s="24180"/>
      <c r="BQ488" s="24180"/>
      <c r="BR488" s="24077"/>
      <c r="BS488" s="24180"/>
      <c r="BT488" s="24180"/>
      <c r="BU488" s="24180"/>
      <c r="BV488" s="24180"/>
      <c r="BW488" s="24180"/>
      <c r="BX488" s="24181"/>
      <c r="BY488" s="24179"/>
      <c r="BZ488" s="24180"/>
      <c r="CA488" s="24180"/>
      <c r="CB488" s="24180"/>
      <c r="CC488" s="24180"/>
      <c r="CD488" s="24180"/>
      <c r="CE488" s="24180"/>
      <c r="CF488" s="24180"/>
      <c r="CG488" s="24180"/>
      <c r="CH488" s="24180"/>
      <c r="CI488" s="24181"/>
      <c r="CJ488" s="24179"/>
      <c r="CK488" s="24180"/>
      <c r="CL488" s="24180"/>
      <c r="CM488" s="24180"/>
      <c r="CN488" s="24180"/>
      <c r="CO488" s="24180"/>
      <c r="CP488" s="24180"/>
      <c r="CQ488" s="24180"/>
      <c r="CR488" s="24180"/>
      <c r="CS488" s="24180"/>
      <c r="CT488" s="24181"/>
      <c r="CU488" s="24179"/>
      <c r="CV488" s="24180"/>
      <c r="CW488" s="24180"/>
      <c r="CX488" s="24180"/>
      <c r="CY488" s="24180"/>
      <c r="CZ488" s="24180"/>
      <c r="DA488" s="24180"/>
      <c r="DB488" s="24180"/>
      <c r="DC488" s="24180"/>
      <c r="DD488" s="24180"/>
      <c r="DE488" s="24181"/>
      <c r="DF488" s="24179"/>
      <c r="DG488" s="24180"/>
      <c r="DH488" s="24180"/>
      <c r="DI488" s="24180"/>
      <c r="DJ488" s="24180"/>
      <c r="DK488" s="24180"/>
      <c r="DL488" s="24180"/>
      <c r="DM488" s="24180"/>
      <c r="DN488" s="24180"/>
      <c r="DO488" s="24180"/>
      <c r="DP488" s="24181"/>
      <c r="DQ488" s="24179"/>
      <c r="DR488" s="24180"/>
      <c r="DS488" s="24180"/>
      <c r="DT488" s="24180"/>
      <c r="DU488" s="24180"/>
      <c r="DV488" s="24180"/>
      <c r="DW488" s="24180"/>
      <c r="DX488" s="24180"/>
      <c r="DY488" s="24180"/>
      <c r="DZ488" s="24180"/>
      <c r="EA488" s="24181"/>
      <c r="EB488" s="24179"/>
      <c r="EC488" s="24180"/>
      <c r="ED488" s="24180"/>
      <c r="EE488" s="24180"/>
      <c r="EF488" s="24180"/>
      <c r="EG488" s="24180"/>
      <c r="EH488" s="24180"/>
      <c r="EI488" s="24180"/>
      <c r="EJ488" s="24180"/>
      <c r="EK488" s="24180"/>
      <c r="EL488" s="24181"/>
      <c r="EM488" s="24179"/>
      <c r="EN488" s="24180"/>
      <c r="EO488" s="24180"/>
      <c r="EP488" s="24180"/>
      <c r="EQ488" s="24180"/>
      <c r="ER488" s="24180"/>
      <c r="ES488" s="24180"/>
      <c r="ET488" s="24180"/>
      <c r="EU488" s="24180"/>
      <c r="EV488" s="24180"/>
      <c r="EW488" s="24181"/>
      <c r="EX488" s="24076"/>
      <c r="EY488" s="24077"/>
      <c r="EZ488" s="24180"/>
      <c r="FA488" s="24180"/>
      <c r="FB488" s="24077"/>
      <c r="FC488" s="24180"/>
      <c r="FD488" s="24180"/>
      <c r="FE488" s="24180"/>
      <c r="FF488" s="24180"/>
      <c r="FG488" s="24180"/>
      <c r="FH488" s="24181"/>
      <c r="FI488" s="24076"/>
      <c r="FJ488" s="24077"/>
      <c r="FK488" s="24180"/>
      <c r="FL488" s="24180"/>
      <c r="FM488" s="24077"/>
      <c r="FN488" s="24180"/>
      <c r="FO488" s="24180"/>
      <c r="FP488" s="24077"/>
      <c r="FQ488" s="24077"/>
      <c r="FR488" s="24077"/>
      <c r="FS488" s="24181"/>
      <c r="FT488" s="24078"/>
      <c r="FU488" s="1233" t="s">
        <v>711</v>
      </c>
      <c r="FV488" s="1568"/>
      <c r="FW488" s="1550"/>
      <c r="FX488" s="1550" t="str">
        <f t="shared" si="7"/>
        <v>Группа потребителей</v>
      </c>
      <c r="FY488" s="1550"/>
      <c r="FZ488" s="1550"/>
      <c r="GA488" s="1561">
        <v>0</v>
      </c>
    </row>
    <row r="489" spans="1:183" s="1747" customFormat="1" ht="23.25" customHeight="1">
      <c r="A489" s="1289"/>
      <c r="B489" s="1289"/>
      <c r="C489" s="1289"/>
      <c r="D489" s="1289"/>
      <c r="E489" s="24089"/>
      <c r="F489" s="24089"/>
      <c r="G489" s="24089">
        <v>1</v>
      </c>
      <c r="H489" s="24089"/>
      <c r="I489" s="24091"/>
      <c r="J489" s="24091"/>
      <c r="K489" s="24090" t="str">
        <f>J488&amp;".1"</f>
        <v>1.24.2.1.1.1</v>
      </c>
      <c r="L489" s="1295"/>
      <c r="M489" s="1674"/>
      <c r="N489" s="1674"/>
      <c r="O489" s="1674"/>
      <c r="P489" s="24092"/>
      <c r="Q489" s="24092"/>
      <c r="R489" s="293">
        <v>1</v>
      </c>
      <c r="S489" s="1976" t="str">
        <f>$K489</f>
        <v>1.24.2.1.1.1</v>
      </c>
      <c r="T489" s="1363"/>
      <c r="U489" s="236"/>
      <c r="V489" s="1286"/>
      <c r="W489" s="1286"/>
      <c r="X489" s="1286"/>
      <c r="Y489" s="1286"/>
      <c r="Z489" s="1286"/>
      <c r="AA489" s="1286"/>
      <c r="AB489" s="1286"/>
      <c r="AC489" s="24086"/>
      <c r="AD489" s="24085" t="s">
        <v>59</v>
      </c>
      <c r="AE489" s="24086"/>
      <c r="AF489" s="24085" t="s">
        <v>59</v>
      </c>
      <c r="AG489" s="687">
        <v>353.18</v>
      </c>
      <c r="AH489" s="687">
        <v>99.55</v>
      </c>
      <c r="AI489" s="687"/>
      <c r="AJ489" s="687"/>
      <c r="AK489" s="687">
        <v>4078.94</v>
      </c>
      <c r="AL489" s="687"/>
      <c r="AM489" s="687"/>
      <c r="AN489" s="24093">
        <v>46082.415208333332</v>
      </c>
      <c r="AO489" s="23957" t="s">
        <v>59</v>
      </c>
      <c r="AP489" s="24095">
        <v>46295.415324074071</v>
      </c>
      <c r="AQ489" s="23957" t="s">
        <v>59</v>
      </c>
      <c r="AR489" s="6310">
        <v>389.9</v>
      </c>
      <c r="AS489" s="6310">
        <v>110.99</v>
      </c>
      <c r="AT489" s="6310"/>
      <c r="AU489" s="6310"/>
      <c r="AV489" s="6310">
        <v>4485.6000000000004</v>
      </c>
      <c r="AW489" s="6310"/>
      <c r="AX489" s="6310"/>
      <c r="AY489" s="24185">
        <v>46296.415405092594</v>
      </c>
      <c r="AZ489" s="24205" t="s">
        <v>59</v>
      </c>
      <c r="BA489" s="24185">
        <v>46387.415462962963</v>
      </c>
      <c r="BB489" s="24205" t="s">
        <v>59</v>
      </c>
      <c r="BC489" s="6310">
        <v>389.36</v>
      </c>
      <c r="BD489" s="6310">
        <v>110.45</v>
      </c>
      <c r="BE489" s="6310"/>
      <c r="BF489" s="6310"/>
      <c r="BG489" s="6310">
        <v>4485.6000000000004</v>
      </c>
      <c r="BH489" s="6310"/>
      <c r="BI489" s="6310"/>
      <c r="BJ489" s="24185">
        <v>46388.41574074074</v>
      </c>
      <c r="BK489" s="24205" t="s">
        <v>59</v>
      </c>
      <c r="BL489" s="24185">
        <v>46568.415914351855</v>
      </c>
      <c r="BM489" s="24205" t="s">
        <v>59</v>
      </c>
      <c r="BN489" s="687">
        <v>413.63</v>
      </c>
      <c r="BO489" s="687">
        <v>110.45</v>
      </c>
      <c r="BP489" s="6310"/>
      <c r="BQ489" s="6310"/>
      <c r="BR489" s="687">
        <v>4875.8500000000004</v>
      </c>
      <c r="BS489" s="6310"/>
      <c r="BT489" s="6310"/>
      <c r="BU489" s="24185">
        <v>46569.415995370371</v>
      </c>
      <c r="BV489" s="24205" t="s">
        <v>59</v>
      </c>
      <c r="BW489" s="24185">
        <v>46752.416087962964</v>
      </c>
      <c r="BX489" s="24205" t="s">
        <v>59</v>
      </c>
      <c r="BY489" s="6310">
        <v>303.18</v>
      </c>
      <c r="BZ489" s="6310"/>
      <c r="CA489" s="6310"/>
      <c r="CB489" s="6310"/>
      <c r="CC489" s="6310">
        <v>4875.8500000000004</v>
      </c>
      <c r="CD489" s="6310"/>
      <c r="CE489" s="6310"/>
      <c r="CF489" s="24185">
        <v>46753.416168981479</v>
      </c>
      <c r="CG489" s="24205" t="s">
        <v>59</v>
      </c>
      <c r="CH489" s="24185">
        <v>46934.416273148148</v>
      </c>
      <c r="CI489" s="24205" t="s">
        <v>59</v>
      </c>
      <c r="CJ489" s="6310">
        <v>323.91000000000003</v>
      </c>
      <c r="CK489" s="6310"/>
      <c r="CL489" s="6310"/>
      <c r="CM489" s="6310"/>
      <c r="CN489" s="6310">
        <v>5209.29</v>
      </c>
      <c r="CO489" s="6310"/>
      <c r="CP489" s="6310"/>
      <c r="CQ489" s="24185">
        <v>46935.416342592594</v>
      </c>
      <c r="CR489" s="24205" t="s">
        <v>59</v>
      </c>
      <c r="CS489" s="24185">
        <v>47118.416481481479</v>
      </c>
      <c r="CT489" s="24205" t="s">
        <v>6</v>
      </c>
      <c r="CU489" s="6354"/>
      <c r="CV489" s="6354"/>
      <c r="CW489" s="6354"/>
      <c r="CX489" s="6354"/>
      <c r="CY489" s="6354"/>
      <c r="CZ489" s="6354"/>
      <c r="DA489" s="6354"/>
      <c r="DB489" s="24210"/>
      <c r="DC489" s="24208" t="s">
        <v>59</v>
      </c>
      <c r="DD489" s="24210"/>
      <c r="DE489" s="24208" t="s">
        <v>59</v>
      </c>
      <c r="DF489" s="6354"/>
      <c r="DG489" s="6354"/>
      <c r="DH489" s="6354"/>
      <c r="DI489" s="6354"/>
      <c r="DJ489" s="6354"/>
      <c r="DK489" s="6354"/>
      <c r="DL489" s="6354"/>
      <c r="DM489" s="24210"/>
      <c r="DN489" s="24208" t="s">
        <v>59</v>
      </c>
      <c r="DO489" s="24210"/>
      <c r="DP489" s="24208" t="s">
        <v>59</v>
      </c>
      <c r="DQ489" s="6354"/>
      <c r="DR489" s="6354"/>
      <c r="DS489" s="6354"/>
      <c r="DT489" s="6354"/>
      <c r="DU489" s="6354"/>
      <c r="DV489" s="6354"/>
      <c r="DW489" s="6354"/>
      <c r="DX489" s="24210"/>
      <c r="DY489" s="24208" t="s">
        <v>59</v>
      </c>
      <c r="DZ489" s="24210"/>
      <c r="EA489" s="24208" t="s">
        <v>59</v>
      </c>
      <c r="EB489" s="6354"/>
      <c r="EC489" s="6354"/>
      <c r="ED489" s="6354"/>
      <c r="EE489" s="6354"/>
      <c r="EF489" s="6354"/>
      <c r="EG489" s="6354"/>
      <c r="EH489" s="6354"/>
      <c r="EI489" s="24210"/>
      <c r="EJ489" s="24208" t="s">
        <v>59</v>
      </c>
      <c r="EK489" s="24210"/>
      <c r="EL489" s="24208" t="s">
        <v>59</v>
      </c>
      <c r="EM489" s="6354"/>
      <c r="EN489" s="6354"/>
      <c r="EO489" s="6354"/>
      <c r="EP489" s="6354"/>
      <c r="EQ489" s="6354"/>
      <c r="ER489" s="6354"/>
      <c r="ES489" s="6354"/>
      <c r="ET489" s="24210"/>
      <c r="EU489" s="24208" t="s">
        <v>59</v>
      </c>
      <c r="EV489" s="24210"/>
      <c r="EW489" s="24208" t="s">
        <v>59</v>
      </c>
      <c r="EX489" s="1286"/>
      <c r="EY489" s="1286"/>
      <c r="EZ489" s="6354"/>
      <c r="FA489" s="6354"/>
      <c r="FB489" s="1286"/>
      <c r="FC489" s="6354"/>
      <c r="FD489" s="6354"/>
      <c r="FE489" s="24210"/>
      <c r="FF489" s="24208" t="s">
        <v>59</v>
      </c>
      <c r="FG489" s="24210"/>
      <c r="FH489" s="24208" t="s">
        <v>59</v>
      </c>
      <c r="FI489" s="1286"/>
      <c r="FJ489" s="1286"/>
      <c r="FK489" s="1286"/>
      <c r="FL489" s="1286"/>
      <c r="FM489" s="1286"/>
      <c r="FN489" s="1286"/>
      <c r="FO489" s="1286"/>
      <c r="FP489" s="24086"/>
      <c r="FQ489" s="24085" t="s">
        <v>59</v>
      </c>
      <c r="FR489" s="24086"/>
      <c r="FS489" s="24085" t="s">
        <v>59</v>
      </c>
      <c r="FT489" s="1364"/>
      <c r="FU489"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FV489" s="1568" t="e">
        <f ca="1">STRCHECKDATE(V490:FT490)</f>
        <v>#NAME?</v>
      </c>
      <c r="FW489" s="1550"/>
      <c r="FX489" s="1550" t="str">
        <f t="shared" si="7"/>
        <v/>
      </c>
      <c r="FY489" s="1550"/>
      <c r="FZ489" s="1550"/>
      <c r="GA489" s="1561">
        <v>0</v>
      </c>
    </row>
    <row r="490" spans="1:183" s="1747" customFormat="1" ht="14.25" customHeight="1">
      <c r="A490" s="1289"/>
      <c r="B490" s="1289"/>
      <c r="C490" s="1289"/>
      <c r="D490" s="1289"/>
      <c r="E490" s="24089"/>
      <c r="F490" s="24089"/>
      <c r="G490" s="24089">
        <v>1</v>
      </c>
      <c r="H490" s="24089"/>
      <c r="I490" s="24091"/>
      <c r="J490" s="24091"/>
      <c r="K490" s="24090"/>
      <c r="L490" s="1295"/>
      <c r="M490" s="1674"/>
      <c r="N490" s="1674"/>
      <c r="O490" s="1674"/>
      <c r="P490" s="24092"/>
      <c r="Q490" s="24092"/>
      <c r="R490" s="293"/>
      <c r="S490" s="1982"/>
      <c r="T490" s="236"/>
      <c r="U490" s="236"/>
      <c r="V490" s="1286"/>
      <c r="W490" s="1286"/>
      <c r="X490" s="1286"/>
      <c r="Y490" s="1286"/>
      <c r="Z490" s="1286"/>
      <c r="AA490" s="1286"/>
      <c r="AB490" s="1286"/>
      <c r="AC490" s="24085"/>
      <c r="AD490" s="24085"/>
      <c r="AE490" s="24085"/>
      <c r="AF490" s="24085"/>
      <c r="AG490" s="261"/>
      <c r="AH490" s="261"/>
      <c r="AI490" s="261"/>
      <c r="AJ490" s="261"/>
      <c r="AK490" s="261"/>
      <c r="AL490" s="261"/>
      <c r="AM490" s="261"/>
      <c r="AN490" s="24094"/>
      <c r="AO490" s="23957"/>
      <c r="AP490" s="24096"/>
      <c r="AQ490" s="23957"/>
      <c r="AR490" s="6311"/>
      <c r="AS490" s="6311"/>
      <c r="AT490" s="6311"/>
      <c r="AU490" s="6311"/>
      <c r="AV490" s="6311"/>
      <c r="AW490" s="6311"/>
      <c r="AX490" s="6311"/>
      <c r="AY490" s="24186"/>
      <c r="AZ490" s="24205"/>
      <c r="BA490" s="24186"/>
      <c r="BB490" s="24205"/>
      <c r="BC490" s="6311"/>
      <c r="BD490" s="6311"/>
      <c r="BE490" s="6311"/>
      <c r="BF490" s="6311"/>
      <c r="BG490" s="6311"/>
      <c r="BH490" s="6311"/>
      <c r="BI490" s="6311"/>
      <c r="BJ490" s="24186"/>
      <c r="BK490" s="24205"/>
      <c r="BL490" s="24186"/>
      <c r="BM490" s="24205"/>
      <c r="BN490" s="261"/>
      <c r="BO490" s="261"/>
      <c r="BP490" s="6311"/>
      <c r="BQ490" s="6311"/>
      <c r="BR490" s="261"/>
      <c r="BS490" s="6311"/>
      <c r="BT490" s="6311"/>
      <c r="BU490" s="24186"/>
      <c r="BV490" s="24205"/>
      <c r="BW490" s="24186"/>
      <c r="BX490" s="24205"/>
      <c r="BY490" s="6311"/>
      <c r="BZ490" s="6311"/>
      <c r="CA490" s="6311"/>
      <c r="CB490" s="6311"/>
      <c r="CC490" s="6311"/>
      <c r="CD490" s="6311"/>
      <c r="CE490" s="6311"/>
      <c r="CF490" s="24186"/>
      <c r="CG490" s="24205"/>
      <c r="CH490" s="24186"/>
      <c r="CI490" s="24205"/>
      <c r="CJ490" s="6311"/>
      <c r="CK490" s="6311"/>
      <c r="CL490" s="6311"/>
      <c r="CM490" s="6311"/>
      <c r="CN490" s="6311"/>
      <c r="CO490" s="6311"/>
      <c r="CP490" s="6311"/>
      <c r="CQ490" s="24186"/>
      <c r="CR490" s="24205"/>
      <c r="CS490" s="24186"/>
      <c r="CT490" s="24205"/>
      <c r="CU490" s="6354"/>
      <c r="CV490" s="6354"/>
      <c r="CW490" s="6354"/>
      <c r="CX490" s="6354"/>
      <c r="CY490" s="6354"/>
      <c r="CZ490" s="6354"/>
      <c r="DA490" s="6354"/>
      <c r="DB490" s="24208"/>
      <c r="DC490" s="24208"/>
      <c r="DD490" s="24208"/>
      <c r="DE490" s="24208"/>
      <c r="DF490" s="6354"/>
      <c r="DG490" s="6354"/>
      <c r="DH490" s="6354"/>
      <c r="DI490" s="6354"/>
      <c r="DJ490" s="6354"/>
      <c r="DK490" s="6354"/>
      <c r="DL490" s="6354"/>
      <c r="DM490" s="24208"/>
      <c r="DN490" s="24208"/>
      <c r="DO490" s="24208"/>
      <c r="DP490" s="24208"/>
      <c r="DQ490" s="6354"/>
      <c r="DR490" s="6354"/>
      <c r="DS490" s="6354"/>
      <c r="DT490" s="6354"/>
      <c r="DU490" s="6354"/>
      <c r="DV490" s="6354"/>
      <c r="DW490" s="6354"/>
      <c r="DX490" s="24208"/>
      <c r="DY490" s="24208"/>
      <c r="DZ490" s="24208"/>
      <c r="EA490" s="24208"/>
      <c r="EB490" s="6354"/>
      <c r="EC490" s="6354"/>
      <c r="ED490" s="6354"/>
      <c r="EE490" s="6354"/>
      <c r="EF490" s="6354"/>
      <c r="EG490" s="6354"/>
      <c r="EH490" s="6354"/>
      <c r="EI490" s="24208"/>
      <c r="EJ490" s="24208"/>
      <c r="EK490" s="24208"/>
      <c r="EL490" s="24208"/>
      <c r="EM490" s="6354"/>
      <c r="EN490" s="6354"/>
      <c r="EO490" s="6354"/>
      <c r="EP490" s="6354"/>
      <c r="EQ490" s="6354"/>
      <c r="ER490" s="6354"/>
      <c r="ES490" s="6354"/>
      <c r="ET490" s="24208"/>
      <c r="EU490" s="24208"/>
      <c r="EV490" s="24208"/>
      <c r="EW490" s="24208"/>
      <c r="EX490" s="1286"/>
      <c r="EY490" s="1286"/>
      <c r="EZ490" s="6354"/>
      <c r="FA490" s="6354"/>
      <c r="FB490" s="1286"/>
      <c r="FC490" s="6354"/>
      <c r="FD490" s="6354"/>
      <c r="FE490" s="24208"/>
      <c r="FF490" s="24208"/>
      <c r="FG490" s="24208"/>
      <c r="FH490" s="24208"/>
      <c r="FI490" s="1286"/>
      <c r="FJ490" s="1286"/>
      <c r="FK490" s="1286"/>
      <c r="FL490" s="1286"/>
      <c r="FM490" s="1286"/>
      <c r="FN490" s="1286"/>
      <c r="FO490" s="1286"/>
      <c r="FP490" s="24085"/>
      <c r="FQ490" s="24085"/>
      <c r="FR490" s="24085"/>
      <c r="FS490" s="24085"/>
      <c r="FT490" s="1365"/>
      <c r="FU490" s="24162"/>
      <c r="FV490" s="1568"/>
      <c r="FW490" s="1550"/>
      <c r="FX490" s="1550" t="str">
        <f t="shared" ref="FX490:FX496" si="8">IF(T490="","",T490)</f>
        <v/>
      </c>
      <c r="FY490" s="1550"/>
      <c r="FZ490" s="1550"/>
      <c r="GA490" s="1561">
        <v>0</v>
      </c>
    </row>
    <row r="491" spans="1:183" s="1747" customFormat="1" ht="21" customHeight="1">
      <c r="A491" s="1289"/>
      <c r="B491" s="1289"/>
      <c r="C491" s="1289"/>
      <c r="D491" s="1289"/>
      <c r="E491" s="24089"/>
      <c r="F491" s="24089"/>
      <c r="G491" s="24089">
        <v>1</v>
      </c>
      <c r="H491" s="24089"/>
      <c r="I491" s="24091"/>
      <c r="J491" s="24090"/>
      <c r="K491" s="1289"/>
      <c r="L491" s="1295"/>
      <c r="M491" s="1674"/>
      <c r="N491" s="1674"/>
      <c r="O491" s="1674"/>
      <c r="P491" s="24092"/>
      <c r="Q491" s="24092"/>
      <c r="R491" s="292"/>
      <c r="S491" s="21954"/>
      <c r="T491" s="21955" t="s">
        <v>712</v>
      </c>
      <c r="U491" s="21956"/>
      <c r="V491" s="21957"/>
      <c r="W491" s="21958"/>
      <c r="X491" s="21959"/>
      <c r="Y491" s="21960"/>
      <c r="Z491" s="21961"/>
      <c r="AA491" s="21962"/>
      <c r="AB491" s="21963"/>
      <c r="AC491" s="21964"/>
      <c r="AD491" s="21965"/>
      <c r="AE491" s="21966"/>
      <c r="AF491" s="21967"/>
      <c r="AG491" s="21968"/>
      <c r="AH491" s="21969"/>
      <c r="AI491" s="21970"/>
      <c r="AJ491" s="21971"/>
      <c r="AK491" s="21972"/>
      <c r="AL491" s="21973"/>
      <c r="AM491" s="21974"/>
      <c r="AN491" s="21975"/>
      <c r="AO491" s="21976"/>
      <c r="AP491" s="21977"/>
      <c r="AQ491" s="21978"/>
      <c r="AR491" s="21979"/>
      <c r="AS491" s="21980"/>
      <c r="AT491" s="21981"/>
      <c r="AU491" s="21982"/>
      <c r="AV491" s="21983"/>
      <c r="AW491" s="21984"/>
      <c r="AX491" s="21985"/>
      <c r="AY491" s="21986"/>
      <c r="AZ491" s="21987"/>
      <c r="BA491" s="21988"/>
      <c r="BB491" s="21989"/>
      <c r="BC491" s="21990"/>
      <c r="BD491" s="21991"/>
      <c r="BE491" s="21992"/>
      <c r="BF491" s="21993"/>
      <c r="BG491" s="21994"/>
      <c r="BH491" s="21995"/>
      <c r="BI491" s="21996"/>
      <c r="BJ491" s="21997"/>
      <c r="BK491" s="21998"/>
      <c r="BL491" s="21999"/>
      <c r="BM491" s="22000"/>
      <c r="BN491" s="22001"/>
      <c r="BO491" s="22002"/>
      <c r="BP491" s="22003"/>
      <c r="BQ491" s="22004"/>
      <c r="BR491" s="22005"/>
      <c r="BS491" s="22006"/>
      <c r="BT491" s="22007"/>
      <c r="BU491" s="22008"/>
      <c r="BV491" s="22009"/>
      <c r="BW491" s="22010"/>
      <c r="BX491" s="22011"/>
      <c r="BY491" s="22012"/>
      <c r="BZ491" s="22013"/>
      <c r="CA491" s="22014"/>
      <c r="CB491" s="22015"/>
      <c r="CC491" s="22016"/>
      <c r="CD491" s="22017"/>
      <c r="CE491" s="22018"/>
      <c r="CF491" s="22019"/>
      <c r="CG491" s="22020"/>
      <c r="CH491" s="22021"/>
      <c r="CI491" s="22022"/>
      <c r="CJ491" s="22023"/>
      <c r="CK491" s="22024"/>
      <c r="CL491" s="22025"/>
      <c r="CM491" s="22026"/>
      <c r="CN491" s="22027"/>
      <c r="CO491" s="22028"/>
      <c r="CP491" s="22029"/>
      <c r="CQ491" s="22030"/>
      <c r="CR491" s="22031"/>
      <c r="CS491" s="22032"/>
      <c r="CT491" s="22033"/>
      <c r="CU491" s="22034"/>
      <c r="CV491" s="22035"/>
      <c r="CW491" s="22036"/>
      <c r="CX491" s="22037"/>
      <c r="CY491" s="22038"/>
      <c r="CZ491" s="22039"/>
      <c r="DA491" s="22040"/>
      <c r="DB491" s="22041"/>
      <c r="DC491" s="22042"/>
      <c r="DD491" s="22043"/>
      <c r="DE491" s="22044"/>
      <c r="DF491" s="22045"/>
      <c r="DG491" s="22046"/>
      <c r="DH491" s="22047"/>
      <c r="DI491" s="22048"/>
      <c r="DJ491" s="22049"/>
      <c r="DK491" s="22050"/>
      <c r="DL491" s="22051"/>
      <c r="DM491" s="22052"/>
      <c r="DN491" s="22053"/>
      <c r="DO491" s="22054"/>
      <c r="DP491" s="22055"/>
      <c r="DQ491" s="22056"/>
      <c r="DR491" s="22057"/>
      <c r="DS491" s="22058"/>
      <c r="DT491" s="22059"/>
      <c r="DU491" s="22060"/>
      <c r="DV491" s="22061"/>
      <c r="DW491" s="22062"/>
      <c r="DX491" s="22063"/>
      <c r="DY491" s="22064"/>
      <c r="DZ491" s="22065"/>
      <c r="EA491" s="22066"/>
      <c r="EB491" s="22067"/>
      <c r="EC491" s="22068"/>
      <c r="ED491" s="22069"/>
      <c r="EE491" s="22070"/>
      <c r="EF491" s="22071"/>
      <c r="EG491" s="22072"/>
      <c r="EH491" s="22073"/>
      <c r="EI491" s="22074"/>
      <c r="EJ491" s="22075"/>
      <c r="EK491" s="22076"/>
      <c r="EL491" s="22077"/>
      <c r="EM491" s="22078"/>
      <c r="EN491" s="22079"/>
      <c r="EO491" s="22080"/>
      <c r="EP491" s="22081"/>
      <c r="EQ491" s="22082"/>
      <c r="ER491" s="22083"/>
      <c r="ES491" s="22084"/>
      <c r="ET491" s="22085"/>
      <c r="EU491" s="22086"/>
      <c r="EV491" s="22087"/>
      <c r="EW491" s="22088"/>
      <c r="EX491" s="22089"/>
      <c r="EY491" s="22090"/>
      <c r="EZ491" s="22091"/>
      <c r="FA491" s="22092"/>
      <c r="FB491" s="22093"/>
      <c r="FC491" s="22094"/>
      <c r="FD491" s="22095"/>
      <c r="FE491" s="22096"/>
      <c r="FF491" s="22097"/>
      <c r="FG491" s="22098"/>
      <c r="FH491" s="22099"/>
      <c r="FI491" s="23214"/>
      <c r="FJ491" s="23215"/>
      <c r="FK491" s="23912"/>
      <c r="FL491" s="23913"/>
      <c r="FM491" s="23216"/>
      <c r="FN491" s="23914"/>
      <c r="FO491" s="23915"/>
      <c r="FP491" s="23217"/>
      <c r="FQ491" s="23218"/>
      <c r="FR491" s="23219"/>
      <c r="FS491" s="23916"/>
      <c r="FT491" s="22100"/>
      <c r="FU491" s="1184" t="s">
        <v>713</v>
      </c>
      <c r="FV491" s="1568"/>
      <c r="FW491" s="1550"/>
      <c r="FX491" s="1550" t="str">
        <f t="shared" si="8"/>
        <v>Добавить значение признака дифференциации</v>
      </c>
      <c r="FY491" s="1550"/>
      <c r="FZ491" s="1550"/>
      <c r="GA491" s="1561">
        <v>0</v>
      </c>
    </row>
    <row r="492" spans="1:183" s="1747" customFormat="1" ht="21" customHeight="1">
      <c r="A492" s="1289"/>
      <c r="B492" s="1289"/>
      <c r="C492" s="1289"/>
      <c r="D492" s="1289"/>
      <c r="E492" s="24089"/>
      <c r="F492" s="24089"/>
      <c r="G492" s="24089">
        <v>1</v>
      </c>
      <c r="H492" s="24089"/>
      <c r="I492" s="24090"/>
      <c r="J492" s="1289"/>
      <c r="K492" s="1289"/>
      <c r="L492" s="1295"/>
      <c r="M492" s="1674"/>
      <c r="N492" s="1674"/>
      <c r="O492" s="1674"/>
      <c r="P492" s="24092"/>
      <c r="Q492" s="1978"/>
      <c r="R492" s="292"/>
      <c r="S492" s="22101"/>
      <c r="T492" s="22102" t="s">
        <v>641</v>
      </c>
      <c r="U492" s="22103"/>
      <c r="V492" s="22104"/>
      <c r="W492" s="22105"/>
      <c r="X492" s="22106"/>
      <c r="Y492" s="22107"/>
      <c r="Z492" s="22108"/>
      <c r="AA492" s="22109"/>
      <c r="AB492" s="22110"/>
      <c r="AC492" s="22111"/>
      <c r="AD492" s="22112"/>
      <c r="AE492" s="22113"/>
      <c r="AF492" s="22114"/>
      <c r="AG492" s="22115"/>
      <c r="AH492" s="22116"/>
      <c r="AI492" s="22117"/>
      <c r="AJ492" s="22118"/>
      <c r="AK492" s="22119"/>
      <c r="AL492" s="22120"/>
      <c r="AM492" s="22121"/>
      <c r="AN492" s="22122"/>
      <c r="AO492" s="22123"/>
      <c r="AP492" s="22124"/>
      <c r="AQ492" s="22125"/>
      <c r="AR492" s="22126"/>
      <c r="AS492" s="22127"/>
      <c r="AT492" s="22128"/>
      <c r="AU492" s="22129"/>
      <c r="AV492" s="22130"/>
      <c r="AW492" s="22131"/>
      <c r="AX492" s="22132"/>
      <c r="AY492" s="22133"/>
      <c r="AZ492" s="22134"/>
      <c r="BA492" s="22135"/>
      <c r="BB492" s="22136"/>
      <c r="BC492" s="22137"/>
      <c r="BD492" s="22138"/>
      <c r="BE492" s="22139"/>
      <c r="BF492" s="22140"/>
      <c r="BG492" s="22141"/>
      <c r="BH492" s="22142"/>
      <c r="BI492" s="22143"/>
      <c r="BJ492" s="22144"/>
      <c r="BK492" s="22145"/>
      <c r="BL492" s="22146"/>
      <c r="BM492" s="22147"/>
      <c r="BN492" s="22148"/>
      <c r="BO492" s="22149"/>
      <c r="BP492" s="22150"/>
      <c r="BQ492" s="22151"/>
      <c r="BR492" s="22152"/>
      <c r="BS492" s="22153"/>
      <c r="BT492" s="22154"/>
      <c r="BU492" s="22155"/>
      <c r="BV492" s="22156"/>
      <c r="BW492" s="22157"/>
      <c r="BX492" s="22158"/>
      <c r="BY492" s="22159"/>
      <c r="BZ492" s="22160"/>
      <c r="CA492" s="22161"/>
      <c r="CB492" s="22162"/>
      <c r="CC492" s="22163"/>
      <c r="CD492" s="22164"/>
      <c r="CE492" s="22165"/>
      <c r="CF492" s="22166"/>
      <c r="CG492" s="22167"/>
      <c r="CH492" s="22168"/>
      <c r="CI492" s="22169"/>
      <c r="CJ492" s="22170"/>
      <c r="CK492" s="22171"/>
      <c r="CL492" s="22172"/>
      <c r="CM492" s="22173"/>
      <c r="CN492" s="22174"/>
      <c r="CO492" s="22175"/>
      <c r="CP492" s="22176"/>
      <c r="CQ492" s="22177"/>
      <c r="CR492" s="22178"/>
      <c r="CS492" s="22179"/>
      <c r="CT492" s="22180"/>
      <c r="CU492" s="22181"/>
      <c r="CV492" s="22182"/>
      <c r="CW492" s="22183"/>
      <c r="CX492" s="22184"/>
      <c r="CY492" s="22185"/>
      <c r="CZ492" s="22186"/>
      <c r="DA492" s="22187"/>
      <c r="DB492" s="22188"/>
      <c r="DC492" s="22189"/>
      <c r="DD492" s="22190"/>
      <c r="DE492" s="22191"/>
      <c r="DF492" s="22192"/>
      <c r="DG492" s="22193"/>
      <c r="DH492" s="22194"/>
      <c r="DI492" s="22195"/>
      <c r="DJ492" s="22196"/>
      <c r="DK492" s="22197"/>
      <c r="DL492" s="22198"/>
      <c r="DM492" s="22199"/>
      <c r="DN492" s="22200"/>
      <c r="DO492" s="22201"/>
      <c r="DP492" s="22202"/>
      <c r="DQ492" s="22203"/>
      <c r="DR492" s="22204"/>
      <c r="DS492" s="22205"/>
      <c r="DT492" s="22206"/>
      <c r="DU492" s="22207"/>
      <c r="DV492" s="22208"/>
      <c r="DW492" s="22209"/>
      <c r="DX492" s="22210"/>
      <c r="DY492" s="22211"/>
      <c r="DZ492" s="22212"/>
      <c r="EA492" s="22213"/>
      <c r="EB492" s="22214"/>
      <c r="EC492" s="22215"/>
      <c r="ED492" s="22216"/>
      <c r="EE492" s="22217"/>
      <c r="EF492" s="22218"/>
      <c r="EG492" s="22219"/>
      <c r="EH492" s="22220"/>
      <c r="EI492" s="22221"/>
      <c r="EJ492" s="22222"/>
      <c r="EK492" s="22223"/>
      <c r="EL492" s="22224"/>
      <c r="EM492" s="22225"/>
      <c r="EN492" s="22226"/>
      <c r="EO492" s="22227"/>
      <c r="EP492" s="22228"/>
      <c r="EQ492" s="22229"/>
      <c r="ER492" s="22230"/>
      <c r="ES492" s="22231"/>
      <c r="ET492" s="22232"/>
      <c r="EU492" s="22233"/>
      <c r="EV492" s="22234"/>
      <c r="EW492" s="22235"/>
      <c r="EX492" s="22236"/>
      <c r="EY492" s="22237"/>
      <c r="EZ492" s="22238"/>
      <c r="FA492" s="22239"/>
      <c r="FB492" s="22240"/>
      <c r="FC492" s="22241"/>
      <c r="FD492" s="22242"/>
      <c r="FE492" s="22243"/>
      <c r="FF492" s="22244"/>
      <c r="FG492" s="22245"/>
      <c r="FH492" s="22246"/>
      <c r="FI492" s="23220"/>
      <c r="FJ492" s="23221"/>
      <c r="FK492" s="23917"/>
      <c r="FL492" s="23918"/>
      <c r="FM492" s="23222"/>
      <c r="FN492" s="23919"/>
      <c r="FO492" s="23920"/>
      <c r="FP492" s="23223"/>
      <c r="FQ492" s="23224"/>
      <c r="FR492" s="23225"/>
      <c r="FS492" s="23921"/>
      <c r="FT492" s="22247"/>
      <c r="FU492" s="22248"/>
      <c r="FV492" s="1568"/>
      <c r="FW492" s="1550"/>
      <c r="FX492" s="1550" t="str">
        <f t="shared" si="8"/>
        <v>Добавить группу потребителей</v>
      </c>
      <c r="FY492" s="1550"/>
      <c r="FZ492" s="1550"/>
      <c r="GA492" s="1561">
        <v>0</v>
      </c>
    </row>
    <row r="493" spans="1:183" s="1747" customFormat="1" ht="21" customHeight="1">
      <c r="A493" s="1289"/>
      <c r="B493" s="1289"/>
      <c r="C493" s="1289"/>
      <c r="D493" s="1289"/>
      <c r="E493" s="24089"/>
      <c r="F493" s="24089"/>
      <c r="G493" s="24089">
        <v>1</v>
      </c>
      <c r="H493" s="24088"/>
      <c r="I493" s="1289"/>
      <c r="J493" s="1289"/>
      <c r="K493" s="1289"/>
      <c r="L493" s="1295"/>
      <c r="M493" s="1291"/>
      <c r="N493" s="1291"/>
      <c r="O493" s="1292"/>
      <c r="P493" s="1720"/>
      <c r="Q493" s="311"/>
      <c r="R493" s="291"/>
      <c r="S493" s="22249"/>
      <c r="T493" s="22250" t="s">
        <v>714</v>
      </c>
      <c r="U493" s="22251"/>
      <c r="V493" s="22252"/>
      <c r="W493" s="22253"/>
      <c r="X493" s="22254"/>
      <c r="Y493" s="22255"/>
      <c r="Z493" s="22256"/>
      <c r="AA493" s="22257"/>
      <c r="AB493" s="22258"/>
      <c r="AC493" s="22259"/>
      <c r="AD493" s="22260"/>
      <c r="AE493" s="22261"/>
      <c r="AF493" s="22262"/>
      <c r="AG493" s="22263"/>
      <c r="AH493" s="22264"/>
      <c r="AI493" s="22265"/>
      <c r="AJ493" s="22266"/>
      <c r="AK493" s="22267"/>
      <c r="AL493" s="22268"/>
      <c r="AM493" s="22269"/>
      <c r="AN493" s="22270"/>
      <c r="AO493" s="22271"/>
      <c r="AP493" s="22272"/>
      <c r="AQ493" s="22273"/>
      <c r="AR493" s="22274"/>
      <c r="AS493" s="22275"/>
      <c r="AT493" s="22276"/>
      <c r="AU493" s="22277"/>
      <c r="AV493" s="22278"/>
      <c r="AW493" s="22279"/>
      <c r="AX493" s="22280"/>
      <c r="AY493" s="22281"/>
      <c r="AZ493" s="22282"/>
      <c r="BA493" s="22283"/>
      <c r="BB493" s="22284"/>
      <c r="BC493" s="22285"/>
      <c r="BD493" s="22286"/>
      <c r="BE493" s="22287"/>
      <c r="BF493" s="22288"/>
      <c r="BG493" s="22289"/>
      <c r="BH493" s="22290"/>
      <c r="BI493" s="22291"/>
      <c r="BJ493" s="22292"/>
      <c r="BK493" s="22293"/>
      <c r="BL493" s="22294"/>
      <c r="BM493" s="22295"/>
      <c r="BN493" s="22296"/>
      <c r="BO493" s="22297"/>
      <c r="BP493" s="22298"/>
      <c r="BQ493" s="22299"/>
      <c r="BR493" s="22300"/>
      <c r="BS493" s="22301"/>
      <c r="BT493" s="22302"/>
      <c r="BU493" s="22303"/>
      <c r="BV493" s="22304"/>
      <c r="BW493" s="22305"/>
      <c r="BX493" s="22306"/>
      <c r="BY493" s="22307"/>
      <c r="BZ493" s="22308"/>
      <c r="CA493" s="22309"/>
      <c r="CB493" s="22310"/>
      <c r="CC493" s="22311"/>
      <c r="CD493" s="22312"/>
      <c r="CE493" s="22313"/>
      <c r="CF493" s="22314"/>
      <c r="CG493" s="22315"/>
      <c r="CH493" s="22316"/>
      <c r="CI493" s="22317"/>
      <c r="CJ493" s="22318"/>
      <c r="CK493" s="22319"/>
      <c r="CL493" s="22320"/>
      <c r="CM493" s="22321"/>
      <c r="CN493" s="22322"/>
      <c r="CO493" s="22323"/>
      <c r="CP493" s="22324"/>
      <c r="CQ493" s="22325"/>
      <c r="CR493" s="22326"/>
      <c r="CS493" s="22327"/>
      <c r="CT493" s="22328"/>
      <c r="CU493" s="22329"/>
      <c r="CV493" s="22330"/>
      <c r="CW493" s="22331"/>
      <c r="CX493" s="22332"/>
      <c r="CY493" s="22333"/>
      <c r="CZ493" s="22334"/>
      <c r="DA493" s="22335"/>
      <c r="DB493" s="22336"/>
      <c r="DC493" s="22337"/>
      <c r="DD493" s="22338"/>
      <c r="DE493" s="22339"/>
      <c r="DF493" s="22340"/>
      <c r="DG493" s="22341"/>
      <c r="DH493" s="22342"/>
      <c r="DI493" s="22343"/>
      <c r="DJ493" s="22344"/>
      <c r="DK493" s="22345"/>
      <c r="DL493" s="22346"/>
      <c r="DM493" s="22347"/>
      <c r="DN493" s="22348"/>
      <c r="DO493" s="22349"/>
      <c r="DP493" s="22350"/>
      <c r="DQ493" s="22351"/>
      <c r="DR493" s="22352"/>
      <c r="DS493" s="22353"/>
      <c r="DT493" s="22354"/>
      <c r="DU493" s="22355"/>
      <c r="DV493" s="22356"/>
      <c r="DW493" s="22357"/>
      <c r="DX493" s="22358"/>
      <c r="DY493" s="22359"/>
      <c r="DZ493" s="22360"/>
      <c r="EA493" s="22361"/>
      <c r="EB493" s="22362"/>
      <c r="EC493" s="22363"/>
      <c r="ED493" s="22364"/>
      <c r="EE493" s="22365"/>
      <c r="EF493" s="22366"/>
      <c r="EG493" s="22367"/>
      <c r="EH493" s="22368"/>
      <c r="EI493" s="22369"/>
      <c r="EJ493" s="22370"/>
      <c r="EK493" s="22371"/>
      <c r="EL493" s="22372"/>
      <c r="EM493" s="22373"/>
      <c r="EN493" s="22374"/>
      <c r="EO493" s="22375"/>
      <c r="EP493" s="22376"/>
      <c r="EQ493" s="22377"/>
      <c r="ER493" s="22378"/>
      <c r="ES493" s="22379"/>
      <c r="ET493" s="22380"/>
      <c r="EU493" s="22381"/>
      <c r="EV493" s="22382"/>
      <c r="EW493" s="22383"/>
      <c r="EX493" s="22384"/>
      <c r="EY493" s="22385"/>
      <c r="EZ493" s="22386"/>
      <c r="FA493" s="22387"/>
      <c r="FB493" s="22388"/>
      <c r="FC493" s="22389"/>
      <c r="FD493" s="22390"/>
      <c r="FE493" s="22391"/>
      <c r="FF493" s="22392"/>
      <c r="FG493" s="22393"/>
      <c r="FH493" s="22394"/>
      <c r="FI493" s="23226"/>
      <c r="FJ493" s="23227"/>
      <c r="FK493" s="23922"/>
      <c r="FL493" s="23923"/>
      <c r="FM493" s="23228"/>
      <c r="FN493" s="23924"/>
      <c r="FO493" s="23925"/>
      <c r="FP493" s="23229"/>
      <c r="FQ493" s="23230"/>
      <c r="FR493" s="23231"/>
      <c r="FS493" s="23926"/>
      <c r="FT493" s="22395"/>
      <c r="FU493" s="22396"/>
      <c r="FV493" s="1568"/>
      <c r="FW493" s="1550"/>
      <c r="FX493" s="1550" t="str">
        <f t="shared" si="8"/>
        <v>Добавить наименование признака дифференциации</v>
      </c>
      <c r="FY493" s="1550"/>
      <c r="FZ493" s="1550"/>
      <c r="GA493" s="1561">
        <v>0</v>
      </c>
    </row>
    <row r="494" spans="1:183" s="558" customFormat="1" ht="14.25" customHeight="1">
      <c r="A494" s="1269"/>
      <c r="B494" s="1269"/>
      <c r="C494" s="1269"/>
      <c r="D494" s="1269"/>
      <c r="E494" s="24089"/>
      <c r="F494" s="24088" t="s">
        <v>202</v>
      </c>
      <c r="G494" s="1269"/>
      <c r="H494" s="1269"/>
      <c r="I494" s="1269"/>
      <c r="J494" s="1269"/>
      <c r="K494" s="1269"/>
      <c r="L494" s="1471"/>
      <c r="M494" s="1247"/>
      <c r="N494" s="1247"/>
      <c r="O494" s="1568"/>
      <c r="P494" s="1242"/>
      <c r="Q494" s="1270"/>
      <c r="R494" s="1242"/>
      <c r="S494" s="1248"/>
      <c r="T494" s="1251" t="s">
        <v>370</v>
      </c>
      <c r="U494" s="1250"/>
      <c r="V494" s="1250"/>
      <c r="W494" s="1250"/>
      <c r="X494" s="1250"/>
      <c r="Y494" s="1250"/>
      <c r="Z494" s="1250"/>
      <c r="AA494" s="1250"/>
      <c r="AB494" s="1250"/>
      <c r="AC494" s="1250"/>
      <c r="AD494" s="1250"/>
      <c r="AE494" s="1250"/>
      <c r="AF494" s="1250"/>
      <c r="AG494" s="1250"/>
      <c r="AH494" s="1250"/>
      <c r="AI494" s="1250"/>
      <c r="AJ494" s="1250"/>
      <c r="AK494" s="1250"/>
      <c r="AL494" s="1250"/>
      <c r="AM494" s="1250"/>
      <c r="AN494" s="1250"/>
      <c r="AO494" s="1250"/>
      <c r="AP494" s="1250"/>
      <c r="AQ494" s="1250"/>
      <c r="AR494" s="1250"/>
      <c r="AS494" s="1250"/>
      <c r="AT494" s="1250"/>
      <c r="AU494" s="1250"/>
      <c r="AV494" s="1250"/>
      <c r="AW494" s="1250"/>
      <c r="AX494" s="1250"/>
      <c r="AY494" s="1250"/>
      <c r="AZ494" s="1250"/>
      <c r="BA494" s="1250"/>
      <c r="BB494" s="1250"/>
      <c r="BC494" s="1250"/>
      <c r="BD494" s="1250"/>
      <c r="BE494" s="1250"/>
      <c r="BF494" s="1250"/>
      <c r="BG494" s="1250"/>
      <c r="BH494" s="1250"/>
      <c r="BI494" s="1250"/>
      <c r="BJ494" s="1250"/>
      <c r="BK494" s="1250"/>
      <c r="BL494" s="1250"/>
      <c r="BM494" s="1250"/>
      <c r="BN494" s="1250"/>
      <c r="BO494" s="1250"/>
      <c r="BP494" s="1250"/>
      <c r="BQ494" s="1250"/>
      <c r="BR494" s="1250"/>
      <c r="BS494" s="1250"/>
      <c r="BT494" s="1250"/>
      <c r="BU494" s="1250"/>
      <c r="BV494" s="1250"/>
      <c r="BW494" s="1250"/>
      <c r="BX494" s="1250"/>
      <c r="BY494" s="1250"/>
      <c r="BZ494" s="1250"/>
      <c r="CA494" s="1250"/>
      <c r="CB494" s="1250"/>
      <c r="CC494" s="1250"/>
      <c r="CD494" s="1250"/>
      <c r="CE494" s="1250"/>
      <c r="CF494" s="1250"/>
      <c r="CG494" s="1250"/>
      <c r="CH494" s="1250"/>
      <c r="CI494" s="1250"/>
      <c r="CJ494" s="1250"/>
      <c r="CK494" s="1250"/>
      <c r="CL494" s="1250"/>
      <c r="CM494" s="1250"/>
      <c r="CN494" s="1250"/>
      <c r="CO494" s="1250"/>
      <c r="CP494" s="1250"/>
      <c r="CQ494" s="1250"/>
      <c r="CR494" s="1250"/>
      <c r="CS494" s="1250"/>
      <c r="CT494" s="1250"/>
      <c r="CU494" s="1250"/>
      <c r="CV494" s="1250"/>
      <c r="CW494" s="1250"/>
      <c r="CX494" s="1250"/>
      <c r="CY494" s="1250"/>
      <c r="CZ494" s="1250"/>
      <c r="DA494" s="1250"/>
      <c r="DB494" s="1250"/>
      <c r="DC494" s="1250"/>
      <c r="DD494" s="1250"/>
      <c r="DE494" s="1250"/>
      <c r="DF494" s="1250"/>
      <c r="DG494" s="1250"/>
      <c r="DH494" s="1250"/>
      <c r="DI494" s="1250"/>
      <c r="DJ494" s="1250"/>
      <c r="DK494" s="1250"/>
      <c r="DL494" s="1250"/>
      <c r="DM494" s="1250"/>
      <c r="DN494" s="1250"/>
      <c r="DO494" s="1250"/>
      <c r="DP494" s="1250"/>
      <c r="DQ494" s="1250"/>
      <c r="DR494" s="1250"/>
      <c r="DS494" s="1250"/>
      <c r="DT494" s="1250"/>
      <c r="DU494" s="1250"/>
      <c r="DV494" s="1250"/>
      <c r="DW494" s="1250"/>
      <c r="DX494" s="1250"/>
      <c r="DY494" s="1250"/>
      <c r="DZ494" s="1250"/>
      <c r="EA494" s="1250"/>
      <c r="EB494" s="1250"/>
      <c r="EC494" s="1250"/>
      <c r="ED494" s="1250"/>
      <c r="EE494" s="1250"/>
      <c r="EF494" s="1250"/>
      <c r="EG494" s="1250"/>
      <c r="EH494" s="1250"/>
      <c r="EI494" s="1250"/>
      <c r="EJ494" s="1250"/>
      <c r="EK494" s="1250"/>
      <c r="EL494" s="1250"/>
      <c r="EM494" s="1250"/>
      <c r="EN494" s="1250"/>
      <c r="EO494" s="1250"/>
      <c r="EP494" s="1250"/>
      <c r="EQ494" s="1250"/>
      <c r="ER494" s="1250"/>
      <c r="ES494" s="1250"/>
      <c r="ET494" s="1250"/>
      <c r="EU494" s="1250"/>
      <c r="EV494" s="1250"/>
      <c r="EW494" s="1250"/>
      <c r="EX494" s="1250"/>
      <c r="EY494" s="1250"/>
      <c r="EZ494" s="1250"/>
      <c r="FA494" s="1250"/>
      <c r="FB494" s="1250"/>
      <c r="FC494" s="1250"/>
      <c r="FD494" s="1250"/>
      <c r="FE494" s="1250"/>
      <c r="FF494" s="1250"/>
      <c r="FG494" s="1250"/>
      <c r="FH494" s="5653"/>
      <c r="FI494" s="1250"/>
      <c r="FJ494" s="1250"/>
      <c r="FK494" s="1250"/>
      <c r="FL494" s="1250"/>
      <c r="FM494" s="1250"/>
      <c r="FN494" s="1250"/>
      <c r="FO494" s="1250"/>
      <c r="FP494" s="1250"/>
      <c r="FQ494" s="1250"/>
      <c r="FR494" s="1250"/>
      <c r="FS494" s="1250"/>
      <c r="FT494" s="1250"/>
      <c r="FU494" s="1250"/>
      <c r="FV494" s="1568"/>
      <c r="FW494" s="1550"/>
      <c r="FX494" s="1550" t="str">
        <f t="shared" si="8"/>
        <v>Добавить централизованную систему для дифференциации</v>
      </c>
      <c r="FY494" s="1550"/>
      <c r="FZ494" s="1550"/>
      <c r="GA494" s="1568">
        <v>0</v>
      </c>
    </row>
    <row r="495" spans="1:183" s="1568" customFormat="1" ht="0" hidden="1" customHeight="1">
      <c r="A495" s="1269" t="s">
        <v>352</v>
      </c>
      <c r="B495" s="1269"/>
      <c r="C495" s="1269"/>
      <c r="D495" s="1269"/>
      <c r="E495" s="24088"/>
      <c r="F495" s="1269"/>
      <c r="G495" s="1269"/>
      <c r="H495" s="1269"/>
      <c r="I495" s="1269"/>
      <c r="J495" s="1269"/>
      <c r="K495" s="1269"/>
      <c r="L495" s="1272"/>
      <c r="M495" s="1247"/>
      <c r="N495" s="1247"/>
      <c r="O495" s="454"/>
      <c r="P495" s="316"/>
      <c r="Q495" s="1270"/>
      <c r="R495" s="316"/>
      <c r="S495" s="1248"/>
      <c r="T495" s="1251" t="s">
        <v>481</v>
      </c>
      <c r="U495" s="1250"/>
      <c r="V495" s="1250"/>
      <c r="W495" s="1250"/>
      <c r="X495" s="1250"/>
      <c r="Y495" s="1250"/>
      <c r="Z495" s="1250"/>
      <c r="AA495" s="1250"/>
      <c r="AB495" s="1250"/>
      <c r="AC495" s="1250"/>
      <c r="AD495" s="1250"/>
      <c r="AE495" s="1250"/>
      <c r="AF495" s="1250"/>
      <c r="AG495" s="1250"/>
      <c r="AH495" s="1250"/>
      <c r="AI495" s="1250"/>
      <c r="AJ495" s="1250"/>
      <c r="AK495" s="1250"/>
      <c r="AL495" s="1250"/>
      <c r="AM495" s="1250"/>
      <c r="AN495" s="1250"/>
      <c r="AO495" s="1250"/>
      <c r="AP495" s="1250"/>
      <c r="AQ495" s="1250"/>
      <c r="AR495" s="1250"/>
      <c r="AS495" s="1250"/>
      <c r="AT495" s="1250"/>
      <c r="AU495" s="1250"/>
      <c r="AV495" s="1250"/>
      <c r="AW495" s="1250"/>
      <c r="AX495" s="1250"/>
      <c r="AY495" s="1250"/>
      <c r="AZ495" s="1250"/>
      <c r="BA495" s="1250"/>
      <c r="BB495" s="1250"/>
      <c r="BC495" s="1250"/>
      <c r="BD495" s="1250"/>
      <c r="BE495" s="1250"/>
      <c r="BF495" s="1250"/>
      <c r="BG495" s="1250"/>
      <c r="BH495" s="1250"/>
      <c r="BI495" s="1250"/>
      <c r="BJ495" s="1250"/>
      <c r="BK495" s="1250"/>
      <c r="BL495" s="1250"/>
      <c r="BM495" s="1250"/>
      <c r="BN495" s="1250"/>
      <c r="BO495" s="1250"/>
      <c r="BP495" s="1250"/>
      <c r="BQ495" s="1250"/>
      <c r="BR495" s="1250"/>
      <c r="BS495" s="1250"/>
      <c r="BT495" s="1250"/>
      <c r="BU495" s="1250"/>
      <c r="BV495" s="1250"/>
      <c r="BW495" s="1250"/>
      <c r="BX495" s="1250"/>
      <c r="BY495" s="1250"/>
      <c r="BZ495" s="1250"/>
      <c r="CA495" s="1250"/>
      <c r="CB495" s="1250"/>
      <c r="CC495" s="1250"/>
      <c r="CD495" s="1250"/>
      <c r="CE495" s="1250"/>
      <c r="CF495" s="1250"/>
      <c r="CG495" s="1250"/>
      <c r="CH495" s="1250"/>
      <c r="CI495" s="1250"/>
      <c r="CJ495" s="1250"/>
      <c r="CK495" s="1250"/>
      <c r="CL495" s="1250"/>
      <c r="CM495" s="1250"/>
      <c r="CN495" s="1250"/>
      <c r="CO495" s="1250"/>
      <c r="CP495" s="1250"/>
      <c r="CQ495" s="1250"/>
      <c r="CR495" s="1250"/>
      <c r="CS495" s="1250"/>
      <c r="CT495" s="1250"/>
      <c r="CU495" s="1250"/>
      <c r="CV495" s="1250"/>
      <c r="CW495" s="1250"/>
      <c r="CX495" s="1250"/>
      <c r="CY495" s="1250"/>
      <c r="CZ495" s="1250"/>
      <c r="DA495" s="1250"/>
      <c r="DB495" s="1250"/>
      <c r="DC495" s="1250"/>
      <c r="DD495" s="1250"/>
      <c r="DE495" s="1250"/>
      <c r="DF495" s="1250"/>
      <c r="DG495" s="1250"/>
      <c r="DH495" s="1250"/>
      <c r="DI495" s="1250"/>
      <c r="DJ495" s="1250"/>
      <c r="DK495" s="1250"/>
      <c r="DL495" s="1250"/>
      <c r="DM495" s="1250"/>
      <c r="DN495" s="1250"/>
      <c r="DO495" s="1250"/>
      <c r="DP495" s="1250"/>
      <c r="DQ495" s="1250"/>
      <c r="DR495" s="1250"/>
      <c r="DS495" s="1250"/>
      <c r="DT495" s="1250"/>
      <c r="DU495" s="1250"/>
      <c r="DV495" s="1250"/>
      <c r="DW495" s="1250"/>
      <c r="DX495" s="1250"/>
      <c r="DY495" s="1250"/>
      <c r="DZ495" s="1250"/>
      <c r="EA495" s="1250"/>
      <c r="EB495" s="1250"/>
      <c r="EC495" s="1250"/>
      <c r="ED495" s="1250"/>
      <c r="EE495" s="1250"/>
      <c r="EF495" s="1250"/>
      <c r="EG495" s="1250"/>
      <c r="EH495" s="1250"/>
      <c r="EI495" s="1250"/>
      <c r="EJ495" s="1250"/>
      <c r="EK495" s="1250"/>
      <c r="EL495" s="1250"/>
      <c r="EM495" s="1250"/>
      <c r="EN495" s="1250"/>
      <c r="EO495" s="1250"/>
      <c r="EP495" s="1250"/>
      <c r="EQ495" s="1250"/>
      <c r="ER495" s="1250"/>
      <c r="ES495" s="1250"/>
      <c r="ET495" s="1250"/>
      <c r="EU495" s="1250"/>
      <c r="EV495" s="1250"/>
      <c r="EW495" s="1250"/>
      <c r="EX495" s="1250"/>
      <c r="EY495" s="1250"/>
      <c r="EZ495" s="1250"/>
      <c r="FA495" s="1250"/>
      <c r="FB495" s="1250"/>
      <c r="FC495" s="1250"/>
      <c r="FD495" s="1250"/>
      <c r="FE495" s="1250"/>
      <c r="FF495" s="1250"/>
      <c r="FG495" s="1250"/>
      <c r="FH495" s="5653"/>
      <c r="FI495" s="1250"/>
      <c r="FJ495" s="1250"/>
      <c r="FK495" s="1250"/>
      <c r="FL495" s="1250"/>
      <c r="FM495" s="1250"/>
      <c r="FN495" s="1250"/>
      <c r="FO495" s="1250"/>
      <c r="FP495" s="1250"/>
      <c r="FQ495" s="1250"/>
      <c r="FR495" s="1250"/>
      <c r="FS495" s="1250"/>
      <c r="FT495" s="1250"/>
      <c r="FU495" s="1250"/>
      <c r="FW495" s="436"/>
      <c r="FX495" s="436" t="str">
        <f t="shared" si="8"/>
        <v>Добавить территорию для дифференциации</v>
      </c>
      <c r="FY495" s="436"/>
      <c r="FZ495" s="436"/>
      <c r="GA495" s="447">
        <v>0</v>
      </c>
    </row>
    <row r="496" spans="1:183" s="1568" customFormat="1" ht="0" hidden="1" customHeight="1">
      <c r="A496" s="1240"/>
      <c r="B496" s="1240"/>
      <c r="C496" s="1240"/>
      <c r="D496" s="1240"/>
      <c r="E496" s="1269"/>
      <c r="F496" s="1240"/>
      <c r="G496" s="1240"/>
      <c r="H496" s="1240"/>
      <c r="I496" s="1240"/>
      <c r="J496" s="1240"/>
      <c r="K496" s="1240"/>
      <c r="L496" s="1420"/>
      <c r="M496" s="1247"/>
      <c r="N496" s="1247"/>
      <c r="P496" s="1242"/>
      <c r="Q496" s="1243"/>
      <c r="R496" s="1242"/>
      <c r="S496" s="1248"/>
      <c r="T496" s="1251" t="s">
        <v>482</v>
      </c>
      <c r="U496" s="1250"/>
      <c r="V496" s="1250"/>
      <c r="W496" s="1250"/>
      <c r="X496" s="1250"/>
      <c r="Y496" s="1250"/>
      <c r="Z496" s="1250"/>
      <c r="AA496" s="1250"/>
      <c r="AB496" s="1250"/>
      <c r="AC496" s="1250"/>
      <c r="AD496" s="1250"/>
      <c r="AE496" s="1250"/>
      <c r="AF496" s="1250"/>
      <c r="AG496" s="1250"/>
      <c r="AH496" s="1250"/>
      <c r="AI496" s="1250"/>
      <c r="AJ496" s="1250"/>
      <c r="AK496" s="1250"/>
      <c r="AL496" s="1250"/>
      <c r="AM496" s="1250"/>
      <c r="AN496" s="1250"/>
      <c r="AO496" s="1250"/>
      <c r="AP496" s="1250"/>
      <c r="AQ496" s="1250"/>
      <c r="AR496" s="1250"/>
      <c r="AS496" s="1250"/>
      <c r="AT496" s="1250"/>
      <c r="AU496" s="1250"/>
      <c r="AV496" s="1250"/>
      <c r="AW496" s="1250"/>
      <c r="AX496" s="1250"/>
      <c r="AY496" s="1250"/>
      <c r="AZ496" s="1250"/>
      <c r="BA496" s="1250"/>
      <c r="BB496" s="1250"/>
      <c r="BC496" s="1250"/>
      <c r="BD496" s="1250"/>
      <c r="BE496" s="1250"/>
      <c r="BF496" s="1250"/>
      <c r="BG496" s="1250"/>
      <c r="BH496" s="1250"/>
      <c r="BI496" s="1250"/>
      <c r="BJ496" s="1250"/>
      <c r="BK496" s="1250"/>
      <c r="BL496" s="1250"/>
      <c r="BM496" s="1250"/>
      <c r="BN496" s="1250"/>
      <c r="BO496" s="1250"/>
      <c r="BP496" s="1250"/>
      <c r="BQ496" s="1250"/>
      <c r="BR496" s="1250"/>
      <c r="BS496" s="1250"/>
      <c r="BT496" s="1250"/>
      <c r="BU496" s="1250"/>
      <c r="BV496" s="1250"/>
      <c r="BW496" s="1250"/>
      <c r="BX496" s="1250"/>
      <c r="BY496" s="1250"/>
      <c r="BZ496" s="1250"/>
      <c r="CA496" s="1250"/>
      <c r="CB496" s="1250"/>
      <c r="CC496" s="1250"/>
      <c r="CD496" s="1250"/>
      <c r="CE496" s="1250"/>
      <c r="CF496" s="1250"/>
      <c r="CG496" s="1250"/>
      <c r="CH496" s="1250"/>
      <c r="CI496" s="1250"/>
      <c r="CJ496" s="1250"/>
      <c r="CK496" s="1250"/>
      <c r="CL496" s="1250"/>
      <c r="CM496" s="1250"/>
      <c r="CN496" s="1250"/>
      <c r="CO496" s="1250"/>
      <c r="CP496" s="1250"/>
      <c r="CQ496" s="1250"/>
      <c r="CR496" s="1250"/>
      <c r="CS496" s="1250"/>
      <c r="CT496" s="1250"/>
      <c r="CU496" s="1250"/>
      <c r="CV496" s="1250"/>
      <c r="CW496" s="1250"/>
      <c r="CX496" s="1250"/>
      <c r="CY496" s="1250"/>
      <c r="CZ496" s="1250"/>
      <c r="DA496" s="1250"/>
      <c r="DB496" s="1250"/>
      <c r="DC496" s="1250"/>
      <c r="DD496" s="1250"/>
      <c r="DE496" s="1250"/>
      <c r="DF496" s="1250"/>
      <c r="DG496" s="1250"/>
      <c r="DH496" s="1250"/>
      <c r="DI496" s="1250"/>
      <c r="DJ496" s="1250"/>
      <c r="DK496" s="1250"/>
      <c r="DL496" s="1250"/>
      <c r="DM496" s="1250"/>
      <c r="DN496" s="1250"/>
      <c r="DO496" s="1250"/>
      <c r="DP496" s="1250"/>
      <c r="DQ496" s="1250"/>
      <c r="DR496" s="1250"/>
      <c r="DS496" s="1250"/>
      <c r="DT496" s="1250"/>
      <c r="DU496" s="1250"/>
      <c r="DV496" s="1250"/>
      <c r="DW496" s="1250"/>
      <c r="DX496" s="1250"/>
      <c r="DY496" s="1250"/>
      <c r="DZ496" s="1250"/>
      <c r="EA496" s="1250"/>
      <c r="EB496" s="1250"/>
      <c r="EC496" s="1250"/>
      <c r="ED496" s="1250"/>
      <c r="EE496" s="1250"/>
      <c r="EF496" s="1250"/>
      <c r="EG496" s="1250"/>
      <c r="EH496" s="1250"/>
      <c r="EI496" s="1250"/>
      <c r="EJ496" s="1250"/>
      <c r="EK496" s="1250"/>
      <c r="EL496" s="1250"/>
      <c r="EM496" s="1250"/>
      <c r="EN496" s="1250"/>
      <c r="EO496" s="1250"/>
      <c r="EP496" s="1250"/>
      <c r="EQ496" s="1250"/>
      <c r="ER496" s="1250"/>
      <c r="ES496" s="1250"/>
      <c r="ET496" s="1250"/>
      <c r="EU496" s="1250"/>
      <c r="EV496" s="1250"/>
      <c r="EW496" s="1250"/>
      <c r="EX496" s="1250"/>
      <c r="EY496" s="1250"/>
      <c r="EZ496" s="1250"/>
      <c r="FA496" s="1250"/>
      <c r="FB496" s="1250"/>
      <c r="FC496" s="1250"/>
      <c r="FD496" s="1250"/>
      <c r="FE496" s="1250"/>
      <c r="FF496" s="1250"/>
      <c r="FG496" s="1250"/>
      <c r="FH496" s="5653"/>
      <c r="FI496" s="1250"/>
      <c r="FJ496" s="1250"/>
      <c r="FK496" s="1250"/>
      <c r="FL496" s="1250"/>
      <c r="FM496" s="1250"/>
      <c r="FN496" s="1250"/>
      <c r="FO496" s="1250"/>
      <c r="FP496" s="1250"/>
      <c r="FQ496" s="1250"/>
      <c r="FR496" s="1250"/>
      <c r="FS496" s="1250"/>
      <c r="FT496" s="1250"/>
      <c r="FU496" s="1250"/>
      <c r="FW496" s="719"/>
      <c r="FX496" s="719" t="str">
        <f t="shared" si="8"/>
        <v>Добавить наименование тарифа</v>
      </c>
      <c r="FY496" s="719"/>
      <c r="FZ496" s="719"/>
      <c r="GA496" s="454">
        <v>0</v>
      </c>
    </row>
    <row r="497" spans="1:183" ht="11.45" customHeight="1">
      <c r="M497" s="1086"/>
      <c r="N497" s="1086"/>
      <c r="O497" s="473"/>
      <c r="P497" s="1081"/>
      <c r="Q497" s="1081"/>
      <c r="R497" s="1081"/>
      <c r="S497" s="1081"/>
      <c r="AR497" s="5649"/>
      <c r="AS497" s="5649"/>
      <c r="AT497" s="5649"/>
      <c r="AU497" s="5649"/>
      <c r="AV497" s="5649"/>
      <c r="AW497" s="5649"/>
      <c r="AX497" s="5649"/>
      <c r="AY497" s="5649"/>
      <c r="AZ497" s="5649"/>
      <c r="BA497" s="5649"/>
      <c r="BB497" s="5649"/>
      <c r="BC497" s="5649"/>
      <c r="BD497" s="5649"/>
      <c r="BE497" s="5649"/>
      <c r="BF497" s="5649"/>
      <c r="BG497" s="5649"/>
      <c r="BH497" s="5649"/>
      <c r="BI497" s="5649"/>
      <c r="BJ497" s="5649"/>
      <c r="BK497" s="5649"/>
      <c r="BL497" s="5649"/>
      <c r="BM497" s="5649"/>
      <c r="BN497" s="1561"/>
      <c r="BO497" s="1561"/>
      <c r="BP497" s="5649"/>
      <c r="BQ497" s="5649"/>
      <c r="BR497" s="1561"/>
      <c r="BS497" s="5649"/>
      <c r="BT497" s="5649"/>
      <c r="BU497" s="5649"/>
      <c r="BV497" s="5649"/>
      <c r="BW497" s="5649"/>
      <c r="BX497" s="5649"/>
      <c r="BY497" s="5649"/>
      <c r="BZ497" s="5649"/>
      <c r="CA497" s="5649"/>
      <c r="CB497" s="5649"/>
      <c r="CC497" s="5649"/>
      <c r="CD497" s="5649"/>
      <c r="CE497" s="5649"/>
      <c r="CF497" s="5649"/>
      <c r="CG497" s="5649"/>
      <c r="CH497" s="5649"/>
      <c r="CI497" s="5649"/>
      <c r="CJ497" s="5649"/>
      <c r="CK497" s="5649"/>
      <c r="CL497" s="5649"/>
      <c r="CM497" s="5649"/>
      <c r="CN497" s="5649"/>
      <c r="CO497" s="5649"/>
      <c r="CP497" s="5649"/>
      <c r="CQ497" s="5649"/>
      <c r="CR497" s="5649"/>
      <c r="CS497" s="5649"/>
      <c r="CT497" s="5649"/>
      <c r="CU497" s="5649"/>
      <c r="CV497" s="5649"/>
      <c r="CW497" s="5649"/>
      <c r="CX497" s="5649"/>
      <c r="CY497" s="5649"/>
      <c r="CZ497" s="5649"/>
      <c r="DA497" s="5649"/>
      <c r="DB497" s="5649"/>
      <c r="DC497" s="5649"/>
      <c r="DD497" s="5649"/>
      <c r="DE497" s="5649"/>
      <c r="DF497" s="5649"/>
      <c r="DG497" s="5649"/>
      <c r="DH497" s="5649"/>
      <c r="DI497" s="5649"/>
      <c r="DJ497" s="5649"/>
      <c r="DK497" s="5649"/>
      <c r="DL497" s="5649"/>
      <c r="DM497" s="5649"/>
      <c r="DN497" s="5649"/>
      <c r="DO497" s="5649"/>
      <c r="DP497" s="5649"/>
      <c r="DQ497" s="5649"/>
      <c r="DR497" s="5649"/>
      <c r="DS497" s="5649"/>
      <c r="DT497" s="5649"/>
      <c r="DU497" s="5649"/>
      <c r="DV497" s="5649"/>
      <c r="DW497" s="5649"/>
      <c r="DX497" s="5649"/>
      <c r="DY497" s="5649"/>
      <c r="DZ497" s="5649"/>
      <c r="EA497" s="5649"/>
      <c r="EB497" s="5649"/>
      <c r="EC497" s="5649"/>
      <c r="ED497" s="5649"/>
      <c r="EE497" s="5649"/>
      <c r="EF497" s="5649"/>
      <c r="EG497" s="5649"/>
      <c r="EH497" s="5649"/>
      <c r="EI497" s="5649"/>
      <c r="EJ497" s="5649"/>
      <c r="EK497" s="5649"/>
      <c r="EL497" s="5649"/>
      <c r="EM497" s="5649"/>
      <c r="EN497" s="5649"/>
      <c r="EO497" s="5649"/>
      <c r="EP497" s="5649"/>
      <c r="EQ497" s="5649"/>
      <c r="ER497" s="5649"/>
      <c r="ES497" s="5649"/>
      <c r="ET497" s="5649"/>
      <c r="EU497" s="5649"/>
      <c r="EV497" s="5649"/>
      <c r="EW497" s="5649"/>
      <c r="EX497" s="1561"/>
      <c r="EY497" s="1561"/>
      <c r="EZ497" s="5649"/>
      <c r="FA497" s="5649"/>
      <c r="FB497" s="1561"/>
      <c r="FC497" s="5649"/>
      <c r="FD497" s="5649"/>
      <c r="FE497" s="5649"/>
      <c r="FF497" s="5649"/>
      <c r="FG497" s="5649"/>
      <c r="FH497" s="5649"/>
      <c r="FI497" s="1561"/>
      <c r="FJ497" s="1561"/>
      <c r="FK497" s="5649"/>
      <c r="FL497" s="5649"/>
      <c r="FM497" s="1561"/>
      <c r="FN497" s="5649"/>
      <c r="FO497" s="5649"/>
      <c r="FP497" s="1561"/>
      <c r="FQ497" s="1561"/>
      <c r="FR497" s="1561"/>
      <c r="FS497" s="5649"/>
      <c r="FV497" s="1081"/>
      <c r="FW497" s="1081"/>
      <c r="FX497" s="1081"/>
      <c r="FY497" s="1081"/>
      <c r="FZ497" s="1081"/>
      <c r="GA497" s="1081">
        <v>11</v>
      </c>
    </row>
    <row r="498" spans="1:183" ht="14.65" customHeight="1">
      <c r="O498" s="473"/>
      <c r="S498" s="1179"/>
      <c r="T498" s="24087"/>
      <c r="U498" s="24087"/>
      <c r="V498" s="24087"/>
      <c r="W498" s="24087"/>
      <c r="X498" s="24087"/>
      <c r="Y498" s="24087"/>
      <c r="Z498" s="24087"/>
      <c r="AA498" s="24087"/>
      <c r="AB498" s="24087"/>
      <c r="AC498" s="24087"/>
      <c r="AD498" s="24087"/>
      <c r="AE498" s="24087"/>
      <c r="AF498" s="24087"/>
      <c r="AG498" s="24087"/>
      <c r="AH498" s="24087"/>
      <c r="AI498" s="24087"/>
      <c r="AJ498" s="24087"/>
      <c r="AK498" s="24087"/>
      <c r="AL498" s="24087"/>
      <c r="AM498" s="24087"/>
      <c r="AN498" s="24087"/>
      <c r="AO498" s="24087"/>
      <c r="AP498" s="24087"/>
      <c r="AQ498" s="24087"/>
      <c r="AR498" s="24172"/>
      <c r="AS498" s="24172"/>
      <c r="AT498" s="24172"/>
      <c r="AU498" s="24172"/>
      <c r="AV498" s="24172"/>
      <c r="AW498" s="24172"/>
      <c r="AX498" s="24172"/>
      <c r="AY498" s="24172"/>
      <c r="AZ498" s="24172"/>
      <c r="BA498" s="24172"/>
      <c r="BB498" s="24172"/>
      <c r="BC498" s="24172"/>
      <c r="BD498" s="24172"/>
      <c r="BE498" s="24172"/>
      <c r="BF498" s="24172"/>
      <c r="BG498" s="24172"/>
      <c r="BH498" s="24172"/>
      <c r="BI498" s="24172"/>
      <c r="BJ498" s="24172"/>
      <c r="BK498" s="24172"/>
      <c r="BL498" s="24172"/>
      <c r="BM498" s="24172"/>
      <c r="BN498" s="24087"/>
      <c r="BO498" s="24087"/>
      <c r="BP498" s="24172"/>
      <c r="BQ498" s="24172"/>
      <c r="BR498" s="24087"/>
      <c r="BS498" s="24172"/>
      <c r="BT498" s="24172"/>
      <c r="BU498" s="24172"/>
      <c r="BV498" s="24172"/>
      <c r="BW498" s="24172"/>
      <c r="BX498" s="24172"/>
      <c r="BY498" s="24172"/>
      <c r="BZ498" s="24172"/>
      <c r="CA498" s="24172"/>
      <c r="CB498" s="24172"/>
      <c r="CC498" s="24172"/>
      <c r="CD498" s="24172"/>
      <c r="CE498" s="24172"/>
      <c r="CF498" s="24172"/>
      <c r="CG498" s="24172"/>
      <c r="CH498" s="24172"/>
      <c r="CI498" s="24172"/>
      <c r="CJ498" s="24172"/>
      <c r="CK498" s="24172"/>
      <c r="CL498" s="24172"/>
      <c r="CM498" s="24172"/>
      <c r="CN498" s="24172"/>
      <c r="CO498" s="24172"/>
      <c r="CP498" s="24172"/>
      <c r="CQ498" s="24172"/>
      <c r="CR498" s="24172"/>
      <c r="CS498" s="24172"/>
      <c r="CT498" s="24172"/>
      <c r="CU498" s="24172"/>
      <c r="CV498" s="24172"/>
      <c r="CW498" s="24172"/>
      <c r="CX498" s="24172"/>
      <c r="CY498" s="24172"/>
      <c r="CZ498" s="24172"/>
      <c r="DA498" s="24172"/>
      <c r="DB498" s="24172"/>
      <c r="DC498" s="24172"/>
      <c r="DD498" s="24172"/>
      <c r="DE498" s="24172"/>
      <c r="DF498" s="24172"/>
      <c r="DG498" s="24172"/>
      <c r="DH498" s="24172"/>
      <c r="DI498" s="24172"/>
      <c r="DJ498" s="24172"/>
      <c r="DK498" s="24172"/>
      <c r="DL498" s="24172"/>
      <c r="DM498" s="24172"/>
      <c r="DN498" s="24172"/>
      <c r="DO498" s="24172"/>
      <c r="DP498" s="24172"/>
      <c r="DQ498" s="24172"/>
      <c r="DR498" s="24172"/>
      <c r="DS498" s="24172"/>
      <c r="DT498" s="24172"/>
      <c r="DU498" s="24172"/>
      <c r="DV498" s="24172"/>
      <c r="DW498" s="24172"/>
      <c r="DX498" s="24172"/>
      <c r="DY498" s="24172"/>
      <c r="DZ498" s="24172"/>
      <c r="EA498" s="24172"/>
      <c r="EB498" s="24172"/>
      <c r="EC498" s="24172"/>
      <c r="ED498" s="24172"/>
      <c r="EE498" s="24172"/>
      <c r="EF498" s="24172"/>
      <c r="EG498" s="24172"/>
      <c r="EH498" s="24172"/>
      <c r="EI498" s="24172"/>
      <c r="EJ498" s="24172"/>
      <c r="EK498" s="24172"/>
      <c r="EL498" s="24172"/>
      <c r="EM498" s="24172"/>
      <c r="EN498" s="24172"/>
      <c r="EO498" s="24172"/>
      <c r="EP498" s="24172"/>
      <c r="EQ498" s="24172"/>
      <c r="ER498" s="24172"/>
      <c r="ES498" s="24172"/>
      <c r="ET498" s="24172"/>
      <c r="EU498" s="24172"/>
      <c r="EV498" s="24172"/>
      <c r="EW498" s="24172"/>
      <c r="EX498" s="24087"/>
      <c r="EY498" s="24087"/>
      <c r="EZ498" s="24172"/>
      <c r="FA498" s="24172"/>
      <c r="FB498" s="24087"/>
      <c r="FC498" s="24172"/>
      <c r="FD498" s="24172"/>
      <c r="FE498" s="24172"/>
      <c r="FF498" s="24172"/>
      <c r="FG498" s="24172"/>
      <c r="FH498" s="24172"/>
      <c r="FI498" s="24087"/>
      <c r="FJ498" s="24087"/>
      <c r="FK498" s="24172"/>
      <c r="FL498" s="24172"/>
      <c r="FM498" s="24087"/>
      <c r="FN498" s="24172"/>
      <c r="FO498" s="24172"/>
      <c r="FP498" s="24087"/>
      <c r="FQ498" s="24087"/>
      <c r="FR498" s="24087"/>
      <c r="FS498" s="24172"/>
      <c r="FT498" s="24087"/>
      <c r="FU498" s="24087"/>
      <c r="GA498" s="1081">
        <v>14</v>
      </c>
    </row>
    <row r="499" spans="1:183" ht="14.65" customHeight="1">
      <c r="O499" s="473"/>
      <c r="AR499" s="5649"/>
      <c r="AS499" s="5649"/>
      <c r="AT499" s="5649"/>
      <c r="AU499" s="5649"/>
      <c r="AV499" s="5649"/>
      <c r="AW499" s="5649"/>
      <c r="AX499" s="5649"/>
      <c r="AY499" s="5649"/>
      <c r="AZ499" s="5649"/>
      <c r="BA499" s="5649"/>
      <c r="BB499" s="5649"/>
      <c r="BC499" s="5649"/>
      <c r="BD499" s="5649"/>
      <c r="BE499" s="5649"/>
      <c r="BF499" s="5649"/>
      <c r="BG499" s="5649"/>
      <c r="BH499" s="5649"/>
      <c r="BI499" s="5649"/>
      <c r="BJ499" s="5649"/>
      <c r="BK499" s="5649"/>
      <c r="BL499" s="5649"/>
      <c r="BM499" s="5649"/>
      <c r="BN499" s="1561"/>
      <c r="BO499" s="1561"/>
      <c r="BP499" s="5649"/>
      <c r="BQ499" s="5649"/>
      <c r="BR499" s="1561"/>
      <c r="BS499" s="5649"/>
      <c r="BT499" s="5649"/>
      <c r="BU499" s="5649"/>
      <c r="BV499" s="5649"/>
      <c r="BW499" s="5649"/>
      <c r="BX499" s="5649"/>
      <c r="BY499" s="5649"/>
      <c r="BZ499" s="5649"/>
      <c r="CA499" s="5649"/>
      <c r="CB499" s="5649"/>
      <c r="CC499" s="5649"/>
      <c r="CD499" s="5649"/>
      <c r="CE499" s="5649"/>
      <c r="CF499" s="5649"/>
      <c r="CG499" s="5649"/>
      <c r="CH499" s="5649"/>
      <c r="CI499" s="5649"/>
      <c r="CJ499" s="5649"/>
      <c r="CK499" s="5649"/>
      <c r="CL499" s="5649"/>
      <c r="CM499" s="5649"/>
      <c r="CN499" s="5649"/>
      <c r="CO499" s="5649"/>
      <c r="CP499" s="5649"/>
      <c r="CQ499" s="5649"/>
      <c r="CR499" s="5649"/>
      <c r="CS499" s="5649"/>
      <c r="CT499" s="5649"/>
      <c r="CU499" s="5649"/>
      <c r="CV499" s="5649"/>
      <c r="CW499" s="5649"/>
      <c r="CX499" s="5649"/>
      <c r="CY499" s="5649"/>
      <c r="CZ499" s="5649"/>
      <c r="DA499" s="5649"/>
      <c r="DB499" s="5649"/>
      <c r="DC499" s="5649"/>
      <c r="DD499" s="5649"/>
      <c r="DE499" s="5649"/>
      <c r="DF499" s="5649"/>
      <c r="DG499" s="5649"/>
      <c r="DH499" s="5649"/>
      <c r="DI499" s="5649"/>
      <c r="DJ499" s="5649"/>
      <c r="DK499" s="5649"/>
      <c r="DL499" s="5649"/>
      <c r="DM499" s="5649"/>
      <c r="DN499" s="5649"/>
      <c r="DO499" s="5649"/>
      <c r="DP499" s="5649"/>
      <c r="DQ499" s="5649"/>
      <c r="DR499" s="5649"/>
      <c r="DS499" s="5649"/>
      <c r="DT499" s="5649"/>
      <c r="DU499" s="5649"/>
      <c r="DV499" s="5649"/>
      <c r="DW499" s="5649"/>
      <c r="DX499" s="5649"/>
      <c r="DY499" s="5649"/>
      <c r="DZ499" s="5649"/>
      <c r="EA499" s="5649"/>
      <c r="EB499" s="5649"/>
      <c r="EC499" s="5649"/>
      <c r="ED499" s="5649"/>
      <c r="EE499" s="5649"/>
      <c r="EF499" s="5649"/>
      <c r="EG499" s="5649"/>
      <c r="EH499" s="5649"/>
      <c r="EI499" s="5649"/>
      <c r="EJ499" s="5649"/>
      <c r="EK499" s="5649"/>
      <c r="EL499" s="5649"/>
      <c r="EM499" s="5649"/>
      <c r="EN499" s="5649"/>
      <c r="EO499" s="5649"/>
      <c r="EP499" s="5649"/>
      <c r="EQ499" s="5649"/>
      <c r="ER499" s="5649"/>
      <c r="ES499" s="5649"/>
      <c r="ET499" s="5649"/>
      <c r="EU499" s="5649"/>
      <c r="EV499" s="5649"/>
      <c r="EW499" s="5649"/>
      <c r="EX499" s="1561"/>
      <c r="EY499" s="1561"/>
      <c r="EZ499" s="5649"/>
      <c r="FA499" s="5649"/>
      <c r="FB499" s="1561"/>
      <c r="FC499" s="5649"/>
      <c r="FD499" s="5649"/>
      <c r="FE499" s="5649"/>
      <c r="FF499" s="5649"/>
      <c r="FG499" s="5649"/>
      <c r="FH499" s="5649"/>
      <c r="FI499" s="1561"/>
      <c r="FJ499" s="1561"/>
      <c r="FK499" s="5649"/>
      <c r="FL499" s="5649"/>
      <c r="FM499" s="1561"/>
      <c r="FN499" s="5649"/>
      <c r="FO499" s="5649"/>
      <c r="FP499" s="1561"/>
      <c r="FQ499" s="1561"/>
      <c r="FR499" s="1561"/>
      <c r="FS499" s="5649"/>
      <c r="GA499" s="1081">
        <v>14</v>
      </c>
    </row>
    <row r="500" spans="1:183" ht="14.65" customHeight="1">
      <c r="O500" s="473"/>
      <c r="S500" s="1179"/>
      <c r="T500" s="24087"/>
      <c r="U500" s="24087"/>
      <c r="V500" s="24087"/>
      <c r="W500" s="24087"/>
      <c r="X500" s="24087"/>
      <c r="Y500" s="24087"/>
      <c r="Z500" s="24087"/>
      <c r="AA500" s="24087"/>
      <c r="AB500" s="24087"/>
      <c r="AC500" s="24087"/>
      <c r="AD500" s="24087"/>
      <c r="AE500" s="24087"/>
      <c r="AF500" s="24087"/>
      <c r="AG500" s="24087"/>
      <c r="AH500" s="24087"/>
      <c r="AI500" s="24087"/>
      <c r="AJ500" s="24087"/>
      <c r="AK500" s="24087"/>
      <c r="AL500" s="24087"/>
      <c r="AM500" s="24087"/>
      <c r="AN500" s="24087"/>
      <c r="AO500" s="24087"/>
      <c r="AP500" s="24087"/>
      <c r="AQ500" s="24087"/>
      <c r="AR500" s="24172"/>
      <c r="AS500" s="24172"/>
      <c r="AT500" s="24172"/>
      <c r="AU500" s="24172"/>
      <c r="AV500" s="24172"/>
      <c r="AW500" s="24172"/>
      <c r="AX500" s="24172"/>
      <c r="AY500" s="24172"/>
      <c r="AZ500" s="24172"/>
      <c r="BA500" s="24172"/>
      <c r="BB500" s="24172"/>
      <c r="BC500" s="24172"/>
      <c r="BD500" s="24172"/>
      <c r="BE500" s="24172"/>
      <c r="BF500" s="24172"/>
      <c r="BG500" s="24172"/>
      <c r="BH500" s="24172"/>
      <c r="BI500" s="24172"/>
      <c r="BJ500" s="24172"/>
      <c r="BK500" s="24172"/>
      <c r="BL500" s="24172"/>
      <c r="BM500" s="24172"/>
      <c r="BN500" s="24087"/>
      <c r="BO500" s="24087"/>
      <c r="BP500" s="24172"/>
      <c r="BQ500" s="24172"/>
      <c r="BR500" s="24087"/>
      <c r="BS500" s="24172"/>
      <c r="BT500" s="24172"/>
      <c r="BU500" s="24172"/>
      <c r="BV500" s="24172"/>
      <c r="BW500" s="24172"/>
      <c r="BX500" s="24172"/>
      <c r="BY500" s="24172"/>
      <c r="BZ500" s="24172"/>
      <c r="CA500" s="24172"/>
      <c r="CB500" s="24172"/>
      <c r="CC500" s="24172"/>
      <c r="CD500" s="24172"/>
      <c r="CE500" s="24172"/>
      <c r="CF500" s="24172"/>
      <c r="CG500" s="24172"/>
      <c r="CH500" s="24172"/>
      <c r="CI500" s="24172"/>
      <c r="CJ500" s="24172"/>
      <c r="CK500" s="24172"/>
      <c r="CL500" s="24172"/>
      <c r="CM500" s="24172"/>
      <c r="CN500" s="24172"/>
      <c r="CO500" s="24172"/>
      <c r="CP500" s="24172"/>
      <c r="CQ500" s="24172"/>
      <c r="CR500" s="24172"/>
      <c r="CS500" s="24172"/>
      <c r="CT500" s="24172"/>
      <c r="CU500" s="24172"/>
      <c r="CV500" s="24172"/>
      <c r="CW500" s="24172"/>
      <c r="CX500" s="24172"/>
      <c r="CY500" s="24172"/>
      <c r="CZ500" s="24172"/>
      <c r="DA500" s="24172"/>
      <c r="DB500" s="24172"/>
      <c r="DC500" s="24172"/>
      <c r="DD500" s="24172"/>
      <c r="DE500" s="24172"/>
      <c r="DF500" s="24172"/>
      <c r="DG500" s="24172"/>
      <c r="DH500" s="24172"/>
      <c r="DI500" s="24172"/>
      <c r="DJ500" s="24172"/>
      <c r="DK500" s="24172"/>
      <c r="DL500" s="24172"/>
      <c r="DM500" s="24172"/>
      <c r="DN500" s="24172"/>
      <c r="DO500" s="24172"/>
      <c r="DP500" s="24172"/>
      <c r="DQ500" s="24172"/>
      <c r="DR500" s="24172"/>
      <c r="DS500" s="24172"/>
      <c r="DT500" s="24172"/>
      <c r="DU500" s="24172"/>
      <c r="DV500" s="24172"/>
      <c r="DW500" s="24172"/>
      <c r="DX500" s="24172"/>
      <c r="DY500" s="24172"/>
      <c r="DZ500" s="24172"/>
      <c r="EA500" s="24172"/>
      <c r="EB500" s="24172"/>
      <c r="EC500" s="24172"/>
      <c r="ED500" s="24172"/>
      <c r="EE500" s="24172"/>
      <c r="EF500" s="24172"/>
      <c r="EG500" s="24172"/>
      <c r="EH500" s="24172"/>
      <c r="EI500" s="24172"/>
      <c r="EJ500" s="24172"/>
      <c r="EK500" s="24172"/>
      <c r="EL500" s="24172"/>
      <c r="EM500" s="24172"/>
      <c r="EN500" s="24172"/>
      <c r="EO500" s="24172"/>
      <c r="EP500" s="24172"/>
      <c r="EQ500" s="24172"/>
      <c r="ER500" s="24172"/>
      <c r="ES500" s="24172"/>
      <c r="ET500" s="24172"/>
      <c r="EU500" s="24172"/>
      <c r="EV500" s="24172"/>
      <c r="EW500" s="24172"/>
      <c r="EX500" s="24087"/>
      <c r="EY500" s="24087"/>
      <c r="EZ500" s="24172"/>
      <c r="FA500" s="24172"/>
      <c r="FB500" s="24087"/>
      <c r="FC500" s="24172"/>
      <c r="FD500" s="24172"/>
      <c r="FE500" s="24172"/>
      <c r="FF500" s="24172"/>
      <c r="FG500" s="24172"/>
      <c r="FH500" s="24172"/>
      <c r="FI500" s="24087"/>
      <c r="FJ500" s="24087"/>
      <c r="FK500" s="24172"/>
      <c r="FL500" s="24172"/>
      <c r="FM500" s="24087"/>
      <c r="FN500" s="24172"/>
      <c r="FO500" s="24172"/>
      <c r="FP500" s="24087"/>
      <c r="FQ500" s="24087"/>
      <c r="FR500" s="24087"/>
      <c r="FS500" s="24172"/>
      <c r="FT500" s="24087"/>
      <c r="FU500" s="24087"/>
      <c r="GA500" s="1081">
        <v>14</v>
      </c>
    </row>
    <row r="501" spans="1:183" ht="22.5" hidden="1" customHeight="1">
      <c r="A501" s="1086" t="s">
        <v>73</v>
      </c>
      <c r="B501" s="1086">
        <v>0</v>
      </c>
      <c r="C501" s="1086">
        <v>0</v>
      </c>
      <c r="D501" s="1086">
        <v>0</v>
      </c>
      <c r="E501" s="1086">
        <v>0</v>
      </c>
      <c r="F501" s="1086">
        <v>0</v>
      </c>
      <c r="G501" s="1086">
        <v>0</v>
      </c>
      <c r="H501" s="1086">
        <v>0</v>
      </c>
      <c r="I501" s="1086">
        <v>0</v>
      </c>
      <c r="J501" s="1086">
        <v>0</v>
      </c>
      <c r="K501" s="1086">
        <v>0</v>
      </c>
      <c r="L501" s="1404">
        <v>0</v>
      </c>
      <c r="M501" s="1288">
        <v>0</v>
      </c>
      <c r="N501" s="1288">
        <v>0</v>
      </c>
      <c r="O501" s="1288">
        <v>0</v>
      </c>
      <c r="P501" s="1399">
        <v>3</v>
      </c>
      <c r="Q501" s="280">
        <v>3</v>
      </c>
      <c r="R501" s="280">
        <v>3</v>
      </c>
      <c r="S501" s="517">
        <v>12</v>
      </c>
      <c r="T501" s="1081">
        <v>35</v>
      </c>
      <c r="U501" s="1081">
        <v>0</v>
      </c>
      <c r="V501" s="1081">
        <v>0</v>
      </c>
      <c r="W501" s="1557">
        <v>0</v>
      </c>
      <c r="X501" s="1557">
        <v>0</v>
      </c>
      <c r="Y501" s="1557">
        <v>0</v>
      </c>
      <c r="Z501" s="1557">
        <v>0</v>
      </c>
      <c r="AA501" s="1557">
        <v>0</v>
      </c>
      <c r="AB501" s="1557">
        <v>0</v>
      </c>
      <c r="AC501" s="1081">
        <v>0</v>
      </c>
      <c r="AD501" s="1081">
        <v>0</v>
      </c>
      <c r="AE501" s="1081">
        <v>0</v>
      </c>
      <c r="AF501" s="1081">
        <v>0</v>
      </c>
      <c r="AG501" s="1081">
        <v>19</v>
      </c>
      <c r="AH501" s="1557">
        <v>19</v>
      </c>
      <c r="AI501" s="1557">
        <v>19</v>
      </c>
      <c r="AJ501" s="1557">
        <v>19</v>
      </c>
      <c r="AK501" s="1557">
        <v>19</v>
      </c>
      <c r="AL501" s="1557">
        <v>19</v>
      </c>
      <c r="AM501" s="1081">
        <v>19</v>
      </c>
      <c r="AN501" s="1081">
        <v>11</v>
      </c>
      <c r="AO501" s="1081">
        <v>3</v>
      </c>
      <c r="AP501" s="1081">
        <v>11</v>
      </c>
      <c r="AQ501" s="1081">
        <v>0</v>
      </c>
      <c r="AR501" s="5649">
        <v>0</v>
      </c>
      <c r="AS501" s="5649">
        <v>0</v>
      </c>
      <c r="AT501" s="5649">
        <v>0</v>
      </c>
      <c r="AU501" s="5649">
        <v>0</v>
      </c>
      <c r="AV501" s="5649">
        <v>0</v>
      </c>
      <c r="AW501" s="5649">
        <v>0</v>
      </c>
      <c r="AX501" s="5649">
        <v>0</v>
      </c>
      <c r="AY501" s="5649">
        <v>0</v>
      </c>
      <c r="AZ501" s="5649">
        <v>0</v>
      </c>
      <c r="BA501" s="5649">
        <v>0</v>
      </c>
      <c r="BB501" s="5649">
        <v>0</v>
      </c>
      <c r="BC501" s="5649">
        <v>0</v>
      </c>
      <c r="BD501" s="5649">
        <v>0</v>
      </c>
      <c r="BE501" s="5649">
        <v>0</v>
      </c>
      <c r="BF501" s="5649">
        <v>0</v>
      </c>
      <c r="BG501" s="5649">
        <v>0</v>
      </c>
      <c r="BH501" s="5649">
        <v>0</v>
      </c>
      <c r="BI501" s="5649">
        <v>0</v>
      </c>
      <c r="BJ501" s="5649">
        <v>0</v>
      </c>
      <c r="BK501" s="5649">
        <v>0</v>
      </c>
      <c r="BL501" s="5649">
        <v>0</v>
      </c>
      <c r="BM501" s="5649">
        <v>0</v>
      </c>
      <c r="BN501" s="1561">
        <v>0</v>
      </c>
      <c r="BO501" s="1561">
        <v>0</v>
      </c>
      <c r="BP501" s="5649">
        <v>0</v>
      </c>
      <c r="BQ501" s="5649">
        <v>0</v>
      </c>
      <c r="BR501" s="1561">
        <v>0</v>
      </c>
      <c r="BS501" s="5649">
        <v>0</v>
      </c>
      <c r="BT501" s="5649">
        <v>0</v>
      </c>
      <c r="BU501" s="5649">
        <v>0</v>
      </c>
      <c r="BV501" s="5649">
        <v>0</v>
      </c>
      <c r="BW501" s="5649">
        <v>0</v>
      </c>
      <c r="BX501" s="5649">
        <v>0</v>
      </c>
      <c r="BY501" s="5649">
        <v>0</v>
      </c>
      <c r="BZ501" s="5649">
        <v>0</v>
      </c>
      <c r="CA501" s="5649">
        <v>0</v>
      </c>
      <c r="CB501" s="5649">
        <v>0</v>
      </c>
      <c r="CC501" s="5649">
        <v>0</v>
      </c>
      <c r="CD501" s="5649">
        <v>0</v>
      </c>
      <c r="CE501" s="5649">
        <v>0</v>
      </c>
      <c r="CF501" s="5649">
        <v>0</v>
      </c>
      <c r="CG501" s="5649">
        <v>0</v>
      </c>
      <c r="CH501" s="5649">
        <v>0</v>
      </c>
      <c r="CI501" s="5649">
        <v>0</v>
      </c>
      <c r="CJ501" s="5649">
        <v>0</v>
      </c>
      <c r="CK501" s="5649">
        <v>0</v>
      </c>
      <c r="CL501" s="5649">
        <v>0</v>
      </c>
      <c r="CM501" s="5649">
        <v>0</v>
      </c>
      <c r="CN501" s="5649">
        <v>0</v>
      </c>
      <c r="CO501" s="5649">
        <v>0</v>
      </c>
      <c r="CP501" s="5649">
        <v>0</v>
      </c>
      <c r="CQ501" s="5649">
        <v>0</v>
      </c>
      <c r="CR501" s="5649">
        <v>0</v>
      </c>
      <c r="CS501" s="5649">
        <v>0</v>
      </c>
      <c r="CT501" s="5649">
        <v>0</v>
      </c>
      <c r="CU501" s="5649">
        <v>0</v>
      </c>
      <c r="CV501" s="5649">
        <v>0</v>
      </c>
      <c r="CW501" s="5649">
        <v>0</v>
      </c>
      <c r="CX501" s="5649">
        <v>0</v>
      </c>
      <c r="CY501" s="5649">
        <v>0</v>
      </c>
      <c r="CZ501" s="5649">
        <v>0</v>
      </c>
      <c r="DA501" s="5649">
        <v>0</v>
      </c>
      <c r="DB501" s="5649">
        <v>0</v>
      </c>
      <c r="DC501" s="5649">
        <v>0</v>
      </c>
      <c r="DD501" s="5649">
        <v>0</v>
      </c>
      <c r="DE501" s="5649">
        <v>0</v>
      </c>
      <c r="DF501" s="5649">
        <v>0</v>
      </c>
      <c r="DG501" s="5649">
        <v>0</v>
      </c>
      <c r="DH501" s="5649">
        <v>0</v>
      </c>
      <c r="DI501" s="5649">
        <v>0</v>
      </c>
      <c r="DJ501" s="5649">
        <v>0</v>
      </c>
      <c r="DK501" s="5649">
        <v>0</v>
      </c>
      <c r="DL501" s="5649">
        <v>0</v>
      </c>
      <c r="DM501" s="5649">
        <v>0</v>
      </c>
      <c r="DN501" s="5649">
        <v>0</v>
      </c>
      <c r="DO501" s="5649">
        <v>0</v>
      </c>
      <c r="DP501" s="5649">
        <v>0</v>
      </c>
      <c r="DQ501" s="5649">
        <v>0</v>
      </c>
      <c r="DR501" s="5649">
        <v>0</v>
      </c>
      <c r="DS501" s="5649">
        <v>0</v>
      </c>
      <c r="DT501" s="5649">
        <v>0</v>
      </c>
      <c r="DU501" s="5649">
        <v>0</v>
      </c>
      <c r="DV501" s="5649">
        <v>0</v>
      </c>
      <c r="DW501" s="5649">
        <v>0</v>
      </c>
      <c r="DX501" s="5649">
        <v>0</v>
      </c>
      <c r="DY501" s="5649">
        <v>0</v>
      </c>
      <c r="DZ501" s="5649">
        <v>0</v>
      </c>
      <c r="EA501" s="5649">
        <v>0</v>
      </c>
      <c r="EB501" s="5649">
        <v>0</v>
      </c>
      <c r="EC501" s="5649">
        <v>0</v>
      </c>
      <c r="ED501" s="5649">
        <v>0</v>
      </c>
      <c r="EE501" s="5649">
        <v>0</v>
      </c>
      <c r="EF501" s="5649">
        <v>0</v>
      </c>
      <c r="EG501" s="5649">
        <v>0</v>
      </c>
      <c r="EH501" s="5649">
        <v>0</v>
      </c>
      <c r="EI501" s="5649">
        <v>0</v>
      </c>
      <c r="EJ501" s="5649">
        <v>0</v>
      </c>
      <c r="EK501" s="5649">
        <v>0</v>
      </c>
      <c r="EL501" s="5649">
        <v>0</v>
      </c>
      <c r="EM501" s="5649">
        <v>0</v>
      </c>
      <c r="EN501" s="5649">
        <v>0</v>
      </c>
      <c r="EO501" s="5649">
        <v>0</v>
      </c>
      <c r="EP501" s="5649">
        <v>0</v>
      </c>
      <c r="EQ501" s="5649">
        <v>0</v>
      </c>
      <c r="ER501" s="5649">
        <v>0</v>
      </c>
      <c r="ES501" s="5649">
        <v>0</v>
      </c>
      <c r="ET501" s="5649">
        <v>0</v>
      </c>
      <c r="EU501" s="5649">
        <v>0</v>
      </c>
      <c r="EV501" s="5649">
        <v>0</v>
      </c>
      <c r="EW501" s="5649">
        <v>0</v>
      </c>
      <c r="EX501" s="1561">
        <v>0</v>
      </c>
      <c r="EY501" s="1561">
        <v>0</v>
      </c>
      <c r="EZ501" s="5649">
        <v>0</v>
      </c>
      <c r="FA501" s="5649">
        <v>0</v>
      </c>
      <c r="FB501" s="1561">
        <v>0</v>
      </c>
      <c r="FC501" s="5649">
        <v>0</v>
      </c>
      <c r="FD501" s="5649">
        <v>0</v>
      </c>
      <c r="FE501" s="5649">
        <v>0</v>
      </c>
      <c r="FF501" s="5649">
        <v>0</v>
      </c>
      <c r="FG501" s="5649">
        <v>0</v>
      </c>
      <c r="FH501" s="5649">
        <v>0</v>
      </c>
      <c r="FI501" s="1561">
        <v>0</v>
      </c>
      <c r="FJ501" s="1561">
        <v>0</v>
      </c>
      <c r="FK501" s="5649">
        <v>0</v>
      </c>
      <c r="FL501" s="5649">
        <v>0</v>
      </c>
      <c r="FM501" s="1561">
        <v>0</v>
      </c>
      <c r="FN501" s="5649">
        <v>0</v>
      </c>
      <c r="FO501" s="5649">
        <v>0</v>
      </c>
      <c r="FP501" s="1561">
        <v>0</v>
      </c>
      <c r="FQ501" s="1561">
        <v>0</v>
      </c>
      <c r="FR501" s="1561">
        <v>0</v>
      </c>
      <c r="FS501" s="5649">
        <v>0</v>
      </c>
      <c r="FT501" s="1081">
        <v>4</v>
      </c>
      <c r="FU501" s="1081">
        <v>115</v>
      </c>
      <c r="FV501" s="447">
        <v>10</v>
      </c>
      <c r="FW501" s="447">
        <v>10</v>
      </c>
      <c r="FX501" s="447">
        <v>10</v>
      </c>
      <c r="FY501" s="447">
        <v>10</v>
      </c>
      <c r="FZ501" s="447">
        <v>10</v>
      </c>
      <c r="GA501" s="1081">
        <v>23</v>
      </c>
    </row>
  </sheetData>
  <sheetProtection formatColumns="0" formatRows="0" insertRows="0" deleteColumns="0" deleteRows="0" sort="0" autoFilter="0"/>
  <mergeCells count="4808">
    <mergeCell ref="AC255:AC256"/>
    <mergeCell ref="AD255:AD256"/>
    <mergeCell ref="AE255:AE256"/>
    <mergeCell ref="AF255:AF256"/>
    <mergeCell ref="FP421:FP422"/>
    <mergeCell ref="FQ421:FQ422"/>
    <mergeCell ref="FR421:FR422"/>
    <mergeCell ref="FS421:FS422"/>
    <mergeCell ref="AC421:AC422"/>
    <mergeCell ref="AD421:AD422"/>
    <mergeCell ref="AE421:AE422"/>
    <mergeCell ref="AF421:AF422"/>
    <mergeCell ref="FP425:FP426"/>
    <mergeCell ref="FQ425:FQ426"/>
    <mergeCell ref="FR425:FR426"/>
    <mergeCell ref="FS425:FS426"/>
    <mergeCell ref="AC425:AC426"/>
    <mergeCell ref="AD425:AD426"/>
    <mergeCell ref="AE425:AE426"/>
    <mergeCell ref="AF425:AF426"/>
    <mergeCell ref="AC439:AC440"/>
    <mergeCell ref="AD439:AD440"/>
    <mergeCell ref="AE439:AE440"/>
    <mergeCell ref="AF439:AF440"/>
    <mergeCell ref="FP91:FP92"/>
    <mergeCell ref="FQ91:FQ92"/>
    <mergeCell ref="FR91:FR92"/>
    <mergeCell ref="FS91:FS92"/>
    <mergeCell ref="AC91:AC92"/>
    <mergeCell ref="AD91:AD92"/>
    <mergeCell ref="AE91:AE92"/>
    <mergeCell ref="AF91:AF92"/>
    <mergeCell ref="FP95:FP96"/>
    <mergeCell ref="FQ95:FQ96"/>
    <mergeCell ref="FR95:FR96"/>
    <mergeCell ref="FS95:FS96"/>
    <mergeCell ref="AC95:AC96"/>
    <mergeCell ref="AD95:AD96"/>
    <mergeCell ref="AE95:AE96"/>
    <mergeCell ref="AF95:AF96"/>
    <mergeCell ref="FP241:FP242"/>
    <mergeCell ref="FQ241:FQ242"/>
    <mergeCell ref="FR241:FR242"/>
    <mergeCell ref="FS241:FS242"/>
    <mergeCell ref="AC241:AC242"/>
    <mergeCell ref="AD241:AD242"/>
    <mergeCell ref="AE241:AE242"/>
    <mergeCell ref="AF241:AF242"/>
    <mergeCell ref="FP255:FP256"/>
    <mergeCell ref="FQ255:FQ256"/>
    <mergeCell ref="FR255:FR256"/>
    <mergeCell ref="FS255:FS256"/>
    <mergeCell ref="ET435:ET436"/>
    <mergeCell ref="EU435:EU436"/>
    <mergeCell ref="EV435:EV436"/>
    <mergeCell ref="EW435:EW436"/>
    <mergeCell ref="FE435:FE436"/>
    <mergeCell ref="FF435:FF436"/>
    <mergeCell ref="FG435:FG436"/>
    <mergeCell ref="FH435:FH436"/>
    <mergeCell ref="FP435:FP436"/>
    <mergeCell ref="FQ435:FQ436"/>
    <mergeCell ref="FR435:FR436"/>
    <mergeCell ref="FS435:FS436"/>
    <mergeCell ref="AC435:AC436"/>
    <mergeCell ref="AD435:AD436"/>
    <mergeCell ref="AE435:AE436"/>
    <mergeCell ref="AF435:AF436"/>
    <mergeCell ref="DX439:DX440"/>
    <mergeCell ref="DY439:DY440"/>
    <mergeCell ref="DZ439:DZ440"/>
    <mergeCell ref="EA439:EA440"/>
    <mergeCell ref="EI439:EI440"/>
    <mergeCell ref="EJ439:EJ440"/>
    <mergeCell ref="EK439:EK440"/>
    <mergeCell ref="EL439:EL440"/>
    <mergeCell ref="ET439:ET440"/>
    <mergeCell ref="EU439:EU440"/>
    <mergeCell ref="EV439:EV440"/>
    <mergeCell ref="EW439:EW440"/>
    <mergeCell ref="FE439:FE440"/>
    <mergeCell ref="FF439:FF440"/>
    <mergeCell ref="FG439:FG440"/>
    <mergeCell ref="FH439:FH440"/>
    <mergeCell ref="FP467:FP468"/>
    <mergeCell ref="FQ467:FQ468"/>
    <mergeCell ref="FR467:FR468"/>
    <mergeCell ref="FS467:FS468"/>
    <mergeCell ref="FP477:FP478"/>
    <mergeCell ref="FQ477:FQ478"/>
    <mergeCell ref="FR477:FR478"/>
    <mergeCell ref="FS477:FS478"/>
    <mergeCell ref="FP481:FP482"/>
    <mergeCell ref="FQ481:FQ482"/>
    <mergeCell ref="FR481:FR482"/>
    <mergeCell ref="FS481:FS482"/>
    <mergeCell ref="FP489:FP490"/>
    <mergeCell ref="FQ489:FQ490"/>
    <mergeCell ref="FR489:FR490"/>
    <mergeCell ref="FS489:FS490"/>
    <mergeCell ref="DM435:DM436"/>
    <mergeCell ref="DN435:DN436"/>
    <mergeCell ref="DO435:DO436"/>
    <mergeCell ref="DP435:DP436"/>
    <mergeCell ref="DM439:DM440"/>
    <mergeCell ref="DN439:DN440"/>
    <mergeCell ref="DO439:DO440"/>
    <mergeCell ref="DP439:DP440"/>
    <mergeCell ref="DX435:DX436"/>
    <mergeCell ref="DY435:DY436"/>
    <mergeCell ref="DZ435:DZ436"/>
    <mergeCell ref="EA435:EA436"/>
    <mergeCell ref="EI435:EI436"/>
    <mergeCell ref="EJ435:EJ436"/>
    <mergeCell ref="EK435:EK436"/>
    <mergeCell ref="EL435:EL436"/>
    <mergeCell ref="FP407:FP408"/>
    <mergeCell ref="FQ407:FQ408"/>
    <mergeCell ref="FR407:FR408"/>
    <mergeCell ref="FS407:FS408"/>
    <mergeCell ref="FP411:FP412"/>
    <mergeCell ref="FQ411:FQ412"/>
    <mergeCell ref="FR411:FR412"/>
    <mergeCell ref="FS411:FS412"/>
    <mergeCell ref="FP449:FP450"/>
    <mergeCell ref="FQ449:FQ450"/>
    <mergeCell ref="FR449:FR450"/>
    <mergeCell ref="FS449:FS450"/>
    <mergeCell ref="FP453:FP454"/>
    <mergeCell ref="FQ453:FQ454"/>
    <mergeCell ref="FR453:FR454"/>
    <mergeCell ref="FS453:FS454"/>
    <mergeCell ref="FP463:FP464"/>
    <mergeCell ref="FQ463:FQ464"/>
    <mergeCell ref="FR463:FR464"/>
    <mergeCell ref="FS463:FS464"/>
    <mergeCell ref="FP439:FP440"/>
    <mergeCell ref="FQ439:FQ440"/>
    <mergeCell ref="FR439:FR440"/>
    <mergeCell ref="FS439:FS440"/>
    <mergeCell ref="FP369:FP370"/>
    <mergeCell ref="FQ369:FQ370"/>
    <mergeCell ref="FR369:FR370"/>
    <mergeCell ref="FS369:FS370"/>
    <mergeCell ref="FP379:FP380"/>
    <mergeCell ref="FQ379:FQ380"/>
    <mergeCell ref="FR379:FR380"/>
    <mergeCell ref="FS379:FS380"/>
    <mergeCell ref="FP383:FP384"/>
    <mergeCell ref="FQ383:FQ384"/>
    <mergeCell ref="FR383:FR384"/>
    <mergeCell ref="FS383:FS384"/>
    <mergeCell ref="FP393:FP394"/>
    <mergeCell ref="FQ393:FQ394"/>
    <mergeCell ref="FR393:FR394"/>
    <mergeCell ref="FS393:FS394"/>
    <mergeCell ref="FP397:FP398"/>
    <mergeCell ref="FQ397:FQ398"/>
    <mergeCell ref="FR397:FR398"/>
    <mergeCell ref="FS397:FS398"/>
    <mergeCell ref="FP337:FP338"/>
    <mergeCell ref="FQ337:FQ338"/>
    <mergeCell ref="FR337:FR338"/>
    <mergeCell ref="FS337:FS338"/>
    <mergeCell ref="FP341:FP342"/>
    <mergeCell ref="FQ341:FQ342"/>
    <mergeCell ref="FR341:FR342"/>
    <mergeCell ref="FS341:FS342"/>
    <mergeCell ref="FP351:FP352"/>
    <mergeCell ref="FQ351:FQ352"/>
    <mergeCell ref="FR351:FR352"/>
    <mergeCell ref="FS351:FS352"/>
    <mergeCell ref="FP355:FP356"/>
    <mergeCell ref="FQ355:FQ356"/>
    <mergeCell ref="FR355:FR356"/>
    <mergeCell ref="FS355:FS356"/>
    <mergeCell ref="FP365:FP366"/>
    <mergeCell ref="FQ365:FQ366"/>
    <mergeCell ref="FR365:FR366"/>
    <mergeCell ref="FS365:FS366"/>
    <mergeCell ref="FP301:FP302"/>
    <mergeCell ref="FQ301:FQ302"/>
    <mergeCell ref="FR301:FR302"/>
    <mergeCell ref="FS301:FS302"/>
    <mergeCell ref="FP309:FP310"/>
    <mergeCell ref="FQ309:FQ310"/>
    <mergeCell ref="FR309:FR310"/>
    <mergeCell ref="FS309:FS310"/>
    <mergeCell ref="FP313:FP314"/>
    <mergeCell ref="FQ313:FQ314"/>
    <mergeCell ref="FR313:FR314"/>
    <mergeCell ref="FS313:FS314"/>
    <mergeCell ref="FP323:FP324"/>
    <mergeCell ref="FQ323:FQ324"/>
    <mergeCell ref="FR323:FR324"/>
    <mergeCell ref="FS323:FS324"/>
    <mergeCell ref="FP327:FP328"/>
    <mergeCell ref="FQ327:FQ328"/>
    <mergeCell ref="FR327:FR328"/>
    <mergeCell ref="FS327:FS328"/>
    <mergeCell ref="FP269:FP270"/>
    <mergeCell ref="FQ269:FQ270"/>
    <mergeCell ref="FR269:FR270"/>
    <mergeCell ref="FS269:FS270"/>
    <mergeCell ref="FP273:FP274"/>
    <mergeCell ref="FQ273:FQ274"/>
    <mergeCell ref="FR273:FR274"/>
    <mergeCell ref="FS273:FS274"/>
    <mergeCell ref="FP283:FP284"/>
    <mergeCell ref="FQ283:FQ284"/>
    <mergeCell ref="FR283:FR284"/>
    <mergeCell ref="FS283:FS284"/>
    <mergeCell ref="FP287:FP288"/>
    <mergeCell ref="FQ287:FQ288"/>
    <mergeCell ref="FR287:FR288"/>
    <mergeCell ref="FS287:FS288"/>
    <mergeCell ref="FP297:FP298"/>
    <mergeCell ref="FQ297:FQ298"/>
    <mergeCell ref="FR297:FR298"/>
    <mergeCell ref="FS297:FS298"/>
    <mergeCell ref="FP217:FP218"/>
    <mergeCell ref="FQ217:FQ218"/>
    <mergeCell ref="FR217:FR218"/>
    <mergeCell ref="FS217:FS218"/>
    <mergeCell ref="FP227:FP228"/>
    <mergeCell ref="FQ227:FQ228"/>
    <mergeCell ref="FR227:FR228"/>
    <mergeCell ref="FS227:FS228"/>
    <mergeCell ref="FP231:FP232"/>
    <mergeCell ref="FQ231:FQ232"/>
    <mergeCell ref="FR231:FR232"/>
    <mergeCell ref="FS231:FS232"/>
    <mergeCell ref="FP245:FP246"/>
    <mergeCell ref="FQ245:FQ246"/>
    <mergeCell ref="FR245:FR246"/>
    <mergeCell ref="FS245:FS246"/>
    <mergeCell ref="FP259:FP260"/>
    <mergeCell ref="FQ259:FQ260"/>
    <mergeCell ref="FR259:FR260"/>
    <mergeCell ref="FS259:FS260"/>
    <mergeCell ref="FP183:FP184"/>
    <mergeCell ref="FQ183:FQ184"/>
    <mergeCell ref="FR183:FR184"/>
    <mergeCell ref="FS183:FS184"/>
    <mergeCell ref="FP193:FP194"/>
    <mergeCell ref="FQ193:FQ194"/>
    <mergeCell ref="FR193:FR194"/>
    <mergeCell ref="FS193:FS194"/>
    <mergeCell ref="FP197:FP198"/>
    <mergeCell ref="FQ197:FQ198"/>
    <mergeCell ref="FR197:FR198"/>
    <mergeCell ref="FS197:FS198"/>
    <mergeCell ref="FP205:FP206"/>
    <mergeCell ref="FQ205:FQ206"/>
    <mergeCell ref="FR205:FR206"/>
    <mergeCell ref="FS205:FS206"/>
    <mergeCell ref="FP209:FP210"/>
    <mergeCell ref="FQ209:FQ210"/>
    <mergeCell ref="FR209:FR210"/>
    <mergeCell ref="FS209:FS210"/>
    <mergeCell ref="FP149:FP150"/>
    <mergeCell ref="FQ149:FQ150"/>
    <mergeCell ref="FR149:FR150"/>
    <mergeCell ref="FS149:FS150"/>
    <mergeCell ref="FP157:FP158"/>
    <mergeCell ref="FQ157:FQ158"/>
    <mergeCell ref="FR157:FR158"/>
    <mergeCell ref="FS157:FS158"/>
    <mergeCell ref="FP165:FP166"/>
    <mergeCell ref="FQ165:FQ166"/>
    <mergeCell ref="FR165:FR166"/>
    <mergeCell ref="FS165:FS166"/>
    <mergeCell ref="FP169:FP170"/>
    <mergeCell ref="FQ169:FQ170"/>
    <mergeCell ref="FR169:FR170"/>
    <mergeCell ref="FS169:FS170"/>
    <mergeCell ref="FP179:FP180"/>
    <mergeCell ref="FQ179:FQ180"/>
    <mergeCell ref="FR179:FR180"/>
    <mergeCell ref="FS179:FS180"/>
    <mergeCell ref="FP117:FP118"/>
    <mergeCell ref="FQ117:FQ118"/>
    <mergeCell ref="FR117:FR118"/>
    <mergeCell ref="FS117:FS118"/>
    <mergeCell ref="FP121:FP122"/>
    <mergeCell ref="FQ121:FQ122"/>
    <mergeCell ref="FR121:FR122"/>
    <mergeCell ref="FS121:FS122"/>
    <mergeCell ref="FP131:FP132"/>
    <mergeCell ref="FQ131:FQ132"/>
    <mergeCell ref="FR131:FR132"/>
    <mergeCell ref="FS131:FS132"/>
    <mergeCell ref="FP135:FP136"/>
    <mergeCell ref="FQ135:FQ136"/>
    <mergeCell ref="FR135:FR136"/>
    <mergeCell ref="FS135:FS136"/>
    <mergeCell ref="FP145:FP146"/>
    <mergeCell ref="FQ145:FQ146"/>
    <mergeCell ref="FR145:FR146"/>
    <mergeCell ref="FS145:FS146"/>
    <mergeCell ref="FP71:FP72"/>
    <mergeCell ref="FQ71:FQ72"/>
    <mergeCell ref="FR71:FR72"/>
    <mergeCell ref="FS71:FS72"/>
    <mergeCell ref="FP75:FP76"/>
    <mergeCell ref="FQ75:FQ76"/>
    <mergeCell ref="FR75:FR76"/>
    <mergeCell ref="FS75:FS76"/>
    <mergeCell ref="FP83:FP84"/>
    <mergeCell ref="FQ83:FQ84"/>
    <mergeCell ref="FR83:FR84"/>
    <mergeCell ref="FS83:FS84"/>
    <mergeCell ref="FP103:FP104"/>
    <mergeCell ref="FQ103:FQ104"/>
    <mergeCell ref="FR103:FR104"/>
    <mergeCell ref="FS103:FS104"/>
    <mergeCell ref="FP107:FP108"/>
    <mergeCell ref="FQ107:FQ108"/>
    <mergeCell ref="FR107:FR108"/>
    <mergeCell ref="FS107:FS108"/>
    <mergeCell ref="FQ40:FR40"/>
    <mergeCell ref="FP47:FP48"/>
    <mergeCell ref="FQ47:FQ48"/>
    <mergeCell ref="FR47:FR48"/>
    <mergeCell ref="FS47:FS48"/>
    <mergeCell ref="FP51:FP52"/>
    <mergeCell ref="FQ51:FQ52"/>
    <mergeCell ref="FR51:FR52"/>
    <mergeCell ref="FS51:FS52"/>
    <mergeCell ref="FP59:FP60"/>
    <mergeCell ref="FQ59:FQ60"/>
    <mergeCell ref="FR59:FR60"/>
    <mergeCell ref="FS59:FS60"/>
    <mergeCell ref="FP63:FP64"/>
    <mergeCell ref="FQ63:FQ64"/>
    <mergeCell ref="FR63:FR64"/>
    <mergeCell ref="FS63:FS64"/>
    <mergeCell ref="EV489:EV490"/>
    <mergeCell ref="EW489:EW490"/>
    <mergeCell ref="FE489:FE490"/>
    <mergeCell ref="FF489:FF490"/>
    <mergeCell ref="FG489:FG490"/>
    <mergeCell ref="FH489:FH490"/>
    <mergeCell ref="AC489:AC490"/>
    <mergeCell ref="AD489:AD490"/>
    <mergeCell ref="AE489:AE490"/>
    <mergeCell ref="AF489:AF490"/>
    <mergeCell ref="FI38:FI40"/>
    <mergeCell ref="FQ41:FR41"/>
    <mergeCell ref="FP7:FP8"/>
    <mergeCell ref="FQ7:FQ8"/>
    <mergeCell ref="FR7:FR8"/>
    <mergeCell ref="FS7:FS8"/>
    <mergeCell ref="FI27:FR27"/>
    <mergeCell ref="FI28:FR28"/>
    <mergeCell ref="FI29:FR29"/>
    <mergeCell ref="FI30:FR30"/>
    <mergeCell ref="FI32:FR32"/>
    <mergeCell ref="FI33:FR33"/>
    <mergeCell ref="FI35:FS35"/>
    <mergeCell ref="FI37:FR37"/>
    <mergeCell ref="FS37:FS40"/>
    <mergeCell ref="FJ38:FL38"/>
    <mergeCell ref="FM38:FO38"/>
    <mergeCell ref="FP38:FR39"/>
    <mergeCell ref="FJ39:FJ40"/>
    <mergeCell ref="FK39:FL39"/>
    <mergeCell ref="FM39:FM40"/>
    <mergeCell ref="FN39:FO39"/>
    <mergeCell ref="DC489:DC490"/>
    <mergeCell ref="DD489:DD490"/>
    <mergeCell ref="DE489:DE490"/>
    <mergeCell ref="DM489:DM490"/>
    <mergeCell ref="DN489:DN490"/>
    <mergeCell ref="DO489:DO490"/>
    <mergeCell ref="DP489:DP490"/>
    <mergeCell ref="DX489:DX490"/>
    <mergeCell ref="DY489:DY490"/>
    <mergeCell ref="DZ489:DZ490"/>
    <mergeCell ref="EA489:EA490"/>
    <mergeCell ref="EI489:EI490"/>
    <mergeCell ref="EJ489:EJ490"/>
    <mergeCell ref="EK489:EK490"/>
    <mergeCell ref="EL489:EL490"/>
    <mergeCell ref="ET489:ET490"/>
    <mergeCell ref="EU489:EU490"/>
    <mergeCell ref="BJ489:BJ490"/>
    <mergeCell ref="BK489:BK490"/>
    <mergeCell ref="BL489:BL490"/>
    <mergeCell ref="BM489:BM490"/>
    <mergeCell ref="BU489:BU490"/>
    <mergeCell ref="BV489:BV490"/>
    <mergeCell ref="BW489:BW490"/>
    <mergeCell ref="BX489:BX490"/>
    <mergeCell ref="CF489:CF490"/>
    <mergeCell ref="CG489:CG490"/>
    <mergeCell ref="CH489:CH490"/>
    <mergeCell ref="CI489:CI490"/>
    <mergeCell ref="CQ489:CQ490"/>
    <mergeCell ref="CR489:CR490"/>
    <mergeCell ref="CS489:CS490"/>
    <mergeCell ref="CT489:CT490"/>
    <mergeCell ref="DB489:DB490"/>
    <mergeCell ref="EV481:EV482"/>
    <mergeCell ref="EW481:EW482"/>
    <mergeCell ref="FE481:FE482"/>
    <mergeCell ref="FF481:FF482"/>
    <mergeCell ref="FG481:FG482"/>
    <mergeCell ref="FH481:FH482"/>
    <mergeCell ref="AC481:AC482"/>
    <mergeCell ref="AD481:AD482"/>
    <mergeCell ref="AE481:AE482"/>
    <mergeCell ref="AF481:AF482"/>
    <mergeCell ref="FU489:FU490"/>
    <mergeCell ref="AN489:AN490"/>
    <mergeCell ref="AO489:AO490"/>
    <mergeCell ref="AP489:AP490"/>
    <mergeCell ref="G486:G493"/>
    <mergeCell ref="V486:AF486"/>
    <mergeCell ref="AG486:FT486"/>
    <mergeCell ref="H487:H493"/>
    <mergeCell ref="I487:I492"/>
    <mergeCell ref="P487:P492"/>
    <mergeCell ref="V487:AF487"/>
    <mergeCell ref="AG487:FT487"/>
    <mergeCell ref="J488:J491"/>
    <mergeCell ref="Q488:Q491"/>
    <mergeCell ref="V488:AF488"/>
    <mergeCell ref="AG488:FT488"/>
    <mergeCell ref="K489:K490"/>
    <mergeCell ref="AQ489:AQ490"/>
    <mergeCell ref="AY489:AY490"/>
    <mergeCell ref="AZ489:AZ490"/>
    <mergeCell ref="BA489:BA490"/>
    <mergeCell ref="BB489:BB490"/>
    <mergeCell ref="DC481:DC482"/>
    <mergeCell ref="DD481:DD482"/>
    <mergeCell ref="DE481:DE482"/>
    <mergeCell ref="DM481:DM482"/>
    <mergeCell ref="DN481:DN482"/>
    <mergeCell ref="DO481:DO482"/>
    <mergeCell ref="DP481:DP482"/>
    <mergeCell ref="DX481:DX482"/>
    <mergeCell ref="DY481:DY482"/>
    <mergeCell ref="DZ481:DZ482"/>
    <mergeCell ref="EA481:EA482"/>
    <mergeCell ref="EI481:EI482"/>
    <mergeCell ref="EJ481:EJ482"/>
    <mergeCell ref="EK481:EK482"/>
    <mergeCell ref="EL481:EL482"/>
    <mergeCell ref="ET481:ET482"/>
    <mergeCell ref="EU481:EU482"/>
    <mergeCell ref="AC477:AC478"/>
    <mergeCell ref="AD477:AD478"/>
    <mergeCell ref="AE477:AE478"/>
    <mergeCell ref="AF477:AF478"/>
    <mergeCell ref="BU481:BU482"/>
    <mergeCell ref="BV481:BV482"/>
    <mergeCell ref="BW481:BW482"/>
    <mergeCell ref="BX481:BX482"/>
    <mergeCell ref="CF481:CF482"/>
    <mergeCell ref="CG481:CG482"/>
    <mergeCell ref="CH481:CH482"/>
    <mergeCell ref="CI481:CI482"/>
    <mergeCell ref="CQ481:CQ482"/>
    <mergeCell ref="CR481:CR482"/>
    <mergeCell ref="CS481:CS482"/>
    <mergeCell ref="CT481:CT482"/>
    <mergeCell ref="DB481:DB482"/>
    <mergeCell ref="EW107:EW108"/>
    <mergeCell ref="FE107:FE108"/>
    <mergeCell ref="FF107:FF108"/>
    <mergeCell ref="FG107:FG108"/>
    <mergeCell ref="FH107:FH108"/>
    <mergeCell ref="AC107:AC108"/>
    <mergeCell ref="AD107:AD108"/>
    <mergeCell ref="AE107:AE108"/>
    <mergeCell ref="AF107:AF108"/>
    <mergeCell ref="BU477:BU478"/>
    <mergeCell ref="BV477:BV478"/>
    <mergeCell ref="BW477:BW478"/>
    <mergeCell ref="BX477:BX478"/>
    <mergeCell ref="CF477:CF478"/>
    <mergeCell ref="CG477:CG478"/>
    <mergeCell ref="CH477:CH478"/>
    <mergeCell ref="CI477:CI478"/>
    <mergeCell ref="CQ477:CQ478"/>
    <mergeCell ref="CR477:CR478"/>
    <mergeCell ref="CS477:CS478"/>
    <mergeCell ref="CT477:CT478"/>
    <mergeCell ref="DB477:DB478"/>
    <mergeCell ref="DC477:DC478"/>
    <mergeCell ref="DD477:DD478"/>
    <mergeCell ref="DE477:DE478"/>
    <mergeCell ref="DM477:DM478"/>
    <mergeCell ref="DN477:DN478"/>
    <mergeCell ref="DO477:DO478"/>
    <mergeCell ref="DP477:DP478"/>
    <mergeCell ref="DX477:DX478"/>
    <mergeCell ref="DY477:DY478"/>
    <mergeCell ref="DZ477:DZ478"/>
    <mergeCell ref="DD107:DD108"/>
    <mergeCell ref="DE107:DE108"/>
    <mergeCell ref="DM107:DM108"/>
    <mergeCell ref="DN107:DN108"/>
    <mergeCell ref="DO107:DO108"/>
    <mergeCell ref="DP107:DP108"/>
    <mergeCell ref="DX107:DX108"/>
    <mergeCell ref="DY107:DY108"/>
    <mergeCell ref="DZ107:DZ108"/>
    <mergeCell ref="EA107:EA108"/>
    <mergeCell ref="EI107:EI108"/>
    <mergeCell ref="EJ107:EJ108"/>
    <mergeCell ref="EK107:EK108"/>
    <mergeCell ref="EL107:EL108"/>
    <mergeCell ref="ET107:ET108"/>
    <mergeCell ref="EU107:EU108"/>
    <mergeCell ref="EV107:EV108"/>
    <mergeCell ref="EV103:EV104"/>
    <mergeCell ref="EW103:EW104"/>
    <mergeCell ref="FE103:FE104"/>
    <mergeCell ref="FF103:FF104"/>
    <mergeCell ref="FG103:FG104"/>
    <mergeCell ref="FH103:FH104"/>
    <mergeCell ref="AC103:AC104"/>
    <mergeCell ref="AD103:AD104"/>
    <mergeCell ref="AE103:AE104"/>
    <mergeCell ref="AF103:AF104"/>
    <mergeCell ref="AY107:AY108"/>
    <mergeCell ref="AZ107:AZ108"/>
    <mergeCell ref="BA107:BA108"/>
    <mergeCell ref="BB107:BB108"/>
    <mergeCell ref="BJ107:BJ108"/>
    <mergeCell ref="BK107:BK108"/>
    <mergeCell ref="BL107:BL108"/>
    <mergeCell ref="BM107:BM108"/>
    <mergeCell ref="BU107:BU108"/>
    <mergeCell ref="BV107:BV108"/>
    <mergeCell ref="BW107:BW108"/>
    <mergeCell ref="BX107:BX108"/>
    <mergeCell ref="CF107:CF108"/>
    <mergeCell ref="CG107:CG108"/>
    <mergeCell ref="CH107:CH108"/>
    <mergeCell ref="CI107:CI108"/>
    <mergeCell ref="CQ107:CQ108"/>
    <mergeCell ref="CR107:CR108"/>
    <mergeCell ref="CS107:CS108"/>
    <mergeCell ref="CT107:CT108"/>
    <mergeCell ref="DB107:DB108"/>
    <mergeCell ref="DC107:DC108"/>
    <mergeCell ref="DC103:DC104"/>
    <mergeCell ref="DD103:DD104"/>
    <mergeCell ref="DE103:DE104"/>
    <mergeCell ref="DM103:DM104"/>
    <mergeCell ref="DN103:DN104"/>
    <mergeCell ref="DO103:DO104"/>
    <mergeCell ref="DP103:DP104"/>
    <mergeCell ref="DX103:DX104"/>
    <mergeCell ref="DY103:DY104"/>
    <mergeCell ref="DZ103:DZ104"/>
    <mergeCell ref="EA103:EA104"/>
    <mergeCell ref="EI103:EI104"/>
    <mergeCell ref="EJ103:EJ104"/>
    <mergeCell ref="EK103:EK104"/>
    <mergeCell ref="EL103:EL104"/>
    <mergeCell ref="ET103:ET104"/>
    <mergeCell ref="EU103:EU104"/>
    <mergeCell ref="AY481:AY482"/>
    <mergeCell ref="AZ481:AZ482"/>
    <mergeCell ref="BA481:BA482"/>
    <mergeCell ref="BB481:BB482"/>
    <mergeCell ref="BJ481:BJ482"/>
    <mergeCell ref="BK481:BK482"/>
    <mergeCell ref="BL481:BL482"/>
    <mergeCell ref="BM481:BM482"/>
    <mergeCell ref="AY103:AY104"/>
    <mergeCell ref="AZ103:AZ104"/>
    <mergeCell ref="BA103:BA104"/>
    <mergeCell ref="BB103:BB104"/>
    <mergeCell ref="BJ103:BJ104"/>
    <mergeCell ref="BK103:BK104"/>
    <mergeCell ref="BL103:BL104"/>
    <mergeCell ref="BM103:BM104"/>
    <mergeCell ref="BU103:BU104"/>
    <mergeCell ref="EU467:EU468"/>
    <mergeCell ref="EV467:EV468"/>
    <mergeCell ref="EW467:EW468"/>
    <mergeCell ref="FE467:FE468"/>
    <mergeCell ref="FF467:FF468"/>
    <mergeCell ref="FG467:FG468"/>
    <mergeCell ref="FH467:FH468"/>
    <mergeCell ref="AC467:AC468"/>
    <mergeCell ref="AD467:AD468"/>
    <mergeCell ref="AE467:AE468"/>
    <mergeCell ref="AF467:AF468"/>
    <mergeCell ref="AY477:AY478"/>
    <mergeCell ref="AZ477:AZ478"/>
    <mergeCell ref="BA477:BA478"/>
    <mergeCell ref="BB477:BB478"/>
    <mergeCell ref="BJ477:BJ478"/>
    <mergeCell ref="BK477:BK478"/>
    <mergeCell ref="BL477:BL478"/>
    <mergeCell ref="BM477:BM478"/>
    <mergeCell ref="EA477:EA478"/>
    <mergeCell ref="EI477:EI478"/>
    <mergeCell ref="EJ477:EJ478"/>
    <mergeCell ref="EK477:EK478"/>
    <mergeCell ref="EL477:EL478"/>
    <mergeCell ref="ET477:ET478"/>
    <mergeCell ref="EU477:EU478"/>
    <mergeCell ref="EV477:EV478"/>
    <mergeCell ref="EW477:EW478"/>
    <mergeCell ref="FE477:FE478"/>
    <mergeCell ref="FF477:FF478"/>
    <mergeCell ref="FG477:FG478"/>
    <mergeCell ref="FH477:FH478"/>
    <mergeCell ref="DB467:DB468"/>
    <mergeCell ref="DC467:DC468"/>
    <mergeCell ref="DD467:DD468"/>
    <mergeCell ref="DE467:DE468"/>
    <mergeCell ref="DM467:DM468"/>
    <mergeCell ref="DN467:DN468"/>
    <mergeCell ref="DO467:DO468"/>
    <mergeCell ref="DP467:DP468"/>
    <mergeCell ref="DX467:DX468"/>
    <mergeCell ref="DY467:DY468"/>
    <mergeCell ref="DZ467:DZ468"/>
    <mergeCell ref="EA467:EA468"/>
    <mergeCell ref="EI467:EI468"/>
    <mergeCell ref="EJ467:EJ468"/>
    <mergeCell ref="EK467:EK468"/>
    <mergeCell ref="EL467:EL468"/>
    <mergeCell ref="ET467:ET468"/>
    <mergeCell ref="ET463:ET464"/>
    <mergeCell ref="EU463:EU464"/>
    <mergeCell ref="EV463:EV464"/>
    <mergeCell ref="EW463:EW464"/>
    <mergeCell ref="FE463:FE464"/>
    <mergeCell ref="FF463:FF464"/>
    <mergeCell ref="FG463:FG464"/>
    <mergeCell ref="FH463:FH464"/>
    <mergeCell ref="AC463:AC464"/>
    <mergeCell ref="AD463:AD464"/>
    <mergeCell ref="AE463:AE464"/>
    <mergeCell ref="AF463:AF464"/>
    <mergeCell ref="AY467:AY468"/>
    <mergeCell ref="AZ467:AZ468"/>
    <mergeCell ref="BA467:BA468"/>
    <mergeCell ref="BB467:BB468"/>
    <mergeCell ref="BJ467:BJ468"/>
    <mergeCell ref="BK467:BK468"/>
    <mergeCell ref="BL467:BL468"/>
    <mergeCell ref="BM467:BM468"/>
    <mergeCell ref="BU467:BU468"/>
    <mergeCell ref="BV467:BV468"/>
    <mergeCell ref="BW467:BW468"/>
    <mergeCell ref="BX467:BX468"/>
    <mergeCell ref="CF467:CF468"/>
    <mergeCell ref="CG467:CG468"/>
    <mergeCell ref="CH467:CH468"/>
    <mergeCell ref="CI467:CI468"/>
    <mergeCell ref="CQ467:CQ468"/>
    <mergeCell ref="CR467:CR468"/>
    <mergeCell ref="CS467:CS468"/>
    <mergeCell ref="CT467:CT468"/>
    <mergeCell ref="CT463:CT464"/>
    <mergeCell ref="DB463:DB464"/>
    <mergeCell ref="DC463:DC464"/>
    <mergeCell ref="DD463:DD464"/>
    <mergeCell ref="DE463:DE464"/>
    <mergeCell ref="DM463:DM464"/>
    <mergeCell ref="DN463:DN464"/>
    <mergeCell ref="DO463:DO464"/>
    <mergeCell ref="DP463:DP464"/>
    <mergeCell ref="DX463:DX464"/>
    <mergeCell ref="DY463:DY464"/>
    <mergeCell ref="DZ463:DZ464"/>
    <mergeCell ref="EA463:EA464"/>
    <mergeCell ref="EI463:EI464"/>
    <mergeCell ref="EJ463:EJ464"/>
    <mergeCell ref="EK463:EK464"/>
    <mergeCell ref="EL463:EL464"/>
    <mergeCell ref="EL453:EL454"/>
    <mergeCell ref="ET453:ET454"/>
    <mergeCell ref="EU453:EU454"/>
    <mergeCell ref="EV453:EV454"/>
    <mergeCell ref="EW453:EW454"/>
    <mergeCell ref="FE453:FE454"/>
    <mergeCell ref="FF453:FF454"/>
    <mergeCell ref="FG453:FG454"/>
    <mergeCell ref="FH453:FH454"/>
    <mergeCell ref="AC453:AC454"/>
    <mergeCell ref="AD453:AD454"/>
    <mergeCell ref="AE453:AE454"/>
    <mergeCell ref="AF453:AF454"/>
    <mergeCell ref="AY463:AY464"/>
    <mergeCell ref="AZ463:AZ464"/>
    <mergeCell ref="BA463:BA464"/>
    <mergeCell ref="BB463:BB464"/>
    <mergeCell ref="BJ463:BJ464"/>
    <mergeCell ref="BK463:BK464"/>
    <mergeCell ref="BL463:BL464"/>
    <mergeCell ref="BM463:BM464"/>
    <mergeCell ref="BU463:BU464"/>
    <mergeCell ref="BV463:BV464"/>
    <mergeCell ref="BW463:BW464"/>
    <mergeCell ref="BX463:BX464"/>
    <mergeCell ref="CF463:CF464"/>
    <mergeCell ref="CG463:CG464"/>
    <mergeCell ref="CH463:CH464"/>
    <mergeCell ref="CI463:CI464"/>
    <mergeCell ref="CQ463:CQ464"/>
    <mergeCell ref="CR463:CR464"/>
    <mergeCell ref="CS463:CS464"/>
    <mergeCell ref="CS453:CS454"/>
    <mergeCell ref="CT453:CT454"/>
    <mergeCell ref="DB453:DB454"/>
    <mergeCell ref="DC453:DC454"/>
    <mergeCell ref="DD453:DD454"/>
    <mergeCell ref="DE453:DE454"/>
    <mergeCell ref="DM453:DM454"/>
    <mergeCell ref="DN453:DN454"/>
    <mergeCell ref="DO453:DO454"/>
    <mergeCell ref="DP453:DP454"/>
    <mergeCell ref="DX453:DX454"/>
    <mergeCell ref="DY453:DY454"/>
    <mergeCell ref="DZ453:DZ454"/>
    <mergeCell ref="EA453:EA454"/>
    <mergeCell ref="EI453:EI454"/>
    <mergeCell ref="EJ453:EJ454"/>
    <mergeCell ref="EK453:EK454"/>
    <mergeCell ref="EK449:EK450"/>
    <mergeCell ref="EL449:EL450"/>
    <mergeCell ref="ET449:ET450"/>
    <mergeCell ref="EU449:EU450"/>
    <mergeCell ref="EV449:EV450"/>
    <mergeCell ref="EW449:EW450"/>
    <mergeCell ref="FE449:FE450"/>
    <mergeCell ref="FF449:FF450"/>
    <mergeCell ref="FG449:FG450"/>
    <mergeCell ref="FH449:FH450"/>
    <mergeCell ref="AC449:AC450"/>
    <mergeCell ref="AD449:AD450"/>
    <mergeCell ref="AE449:AE450"/>
    <mergeCell ref="AF449:AF450"/>
    <mergeCell ref="AY453:AY454"/>
    <mergeCell ref="AZ453:AZ454"/>
    <mergeCell ref="BA453:BA454"/>
    <mergeCell ref="BB453:BB454"/>
    <mergeCell ref="BJ453:BJ454"/>
    <mergeCell ref="BK453:BK454"/>
    <mergeCell ref="BL453:BL454"/>
    <mergeCell ref="BM453:BM454"/>
    <mergeCell ref="BU453:BU454"/>
    <mergeCell ref="BV453:BV454"/>
    <mergeCell ref="BW453:BW454"/>
    <mergeCell ref="BX453:BX454"/>
    <mergeCell ref="CF453:CF454"/>
    <mergeCell ref="CG453:CG454"/>
    <mergeCell ref="CH453:CH454"/>
    <mergeCell ref="CI453:CI454"/>
    <mergeCell ref="CQ453:CQ454"/>
    <mergeCell ref="CR453:CR454"/>
    <mergeCell ref="CR449:CR450"/>
    <mergeCell ref="CS449:CS450"/>
    <mergeCell ref="CT449:CT450"/>
    <mergeCell ref="DB449:DB450"/>
    <mergeCell ref="DC449:DC450"/>
    <mergeCell ref="DD449:DD450"/>
    <mergeCell ref="DE449:DE450"/>
    <mergeCell ref="DM449:DM450"/>
    <mergeCell ref="DN449:DN450"/>
    <mergeCell ref="DO449:DO450"/>
    <mergeCell ref="DP449:DP450"/>
    <mergeCell ref="DX449:DX450"/>
    <mergeCell ref="DY449:DY450"/>
    <mergeCell ref="DZ449:DZ450"/>
    <mergeCell ref="EA449:EA450"/>
    <mergeCell ref="EI449:EI450"/>
    <mergeCell ref="EJ449:EJ450"/>
    <mergeCell ref="AY449:AY450"/>
    <mergeCell ref="AZ449:AZ450"/>
    <mergeCell ref="BA449:BA450"/>
    <mergeCell ref="BB449:BB450"/>
    <mergeCell ref="BJ449:BJ450"/>
    <mergeCell ref="BK449:BK450"/>
    <mergeCell ref="BL449:BL450"/>
    <mergeCell ref="BM449:BM450"/>
    <mergeCell ref="BU449:BU450"/>
    <mergeCell ref="BV449:BV450"/>
    <mergeCell ref="BW449:BW450"/>
    <mergeCell ref="BX449:BX450"/>
    <mergeCell ref="CF449:CF450"/>
    <mergeCell ref="CG449:CG450"/>
    <mergeCell ref="CH449:CH450"/>
    <mergeCell ref="CI449:CI450"/>
    <mergeCell ref="CQ449:CQ450"/>
    <mergeCell ref="CT435:CT436"/>
    <mergeCell ref="DB435:DB436"/>
    <mergeCell ref="DC435:DC436"/>
    <mergeCell ref="DD435:DD436"/>
    <mergeCell ref="DE435:DE436"/>
    <mergeCell ref="AY439:AY440"/>
    <mergeCell ref="AZ439:AZ440"/>
    <mergeCell ref="BA439:BA440"/>
    <mergeCell ref="BB439:BB440"/>
    <mergeCell ref="BJ439:BJ440"/>
    <mergeCell ref="BK439:BK440"/>
    <mergeCell ref="BL439:BL440"/>
    <mergeCell ref="BM439:BM440"/>
    <mergeCell ref="BU439:BU440"/>
    <mergeCell ref="BV439:BV440"/>
    <mergeCell ref="BW439:BW440"/>
    <mergeCell ref="BX439:BX440"/>
    <mergeCell ref="CF439:CF440"/>
    <mergeCell ref="CG439:CG440"/>
    <mergeCell ref="CH439:CH440"/>
    <mergeCell ref="CI439:CI440"/>
    <mergeCell ref="CQ439:CQ440"/>
    <mergeCell ref="CR439:CR440"/>
    <mergeCell ref="CS439:CS440"/>
    <mergeCell ref="CT439:CT440"/>
    <mergeCell ref="DB439:DB440"/>
    <mergeCell ref="DC439:DC440"/>
    <mergeCell ref="DD439:DD440"/>
    <mergeCell ref="DE439:DE440"/>
    <mergeCell ref="EK47:EK48"/>
    <mergeCell ref="EL47:EL48"/>
    <mergeCell ref="ET47:ET48"/>
    <mergeCell ref="EU47:EU48"/>
    <mergeCell ref="EV47:EV48"/>
    <mergeCell ref="EW47:EW48"/>
    <mergeCell ref="FE47:FE48"/>
    <mergeCell ref="FF47:FF48"/>
    <mergeCell ref="FG47:FG48"/>
    <mergeCell ref="FH47:FH48"/>
    <mergeCell ref="AC47:AC48"/>
    <mergeCell ref="AD47:AD48"/>
    <mergeCell ref="AE47:AE48"/>
    <mergeCell ref="AF47:AF48"/>
    <mergeCell ref="AY435:AY436"/>
    <mergeCell ref="AZ435:AZ436"/>
    <mergeCell ref="BA435:BA436"/>
    <mergeCell ref="BB435:BB436"/>
    <mergeCell ref="BJ435:BJ436"/>
    <mergeCell ref="BK435:BK436"/>
    <mergeCell ref="BL435:BL436"/>
    <mergeCell ref="BM435:BM436"/>
    <mergeCell ref="BU435:BU436"/>
    <mergeCell ref="BV435:BV436"/>
    <mergeCell ref="BW435:BW436"/>
    <mergeCell ref="BX435:BX436"/>
    <mergeCell ref="CF435:CF436"/>
    <mergeCell ref="CG435:CG436"/>
    <mergeCell ref="CH435:CH436"/>
    <mergeCell ref="CI435:CI436"/>
    <mergeCell ref="CQ435:CQ436"/>
    <mergeCell ref="CR435:CR436"/>
    <mergeCell ref="CR47:CR48"/>
    <mergeCell ref="CS47:CS48"/>
    <mergeCell ref="CT47:CT48"/>
    <mergeCell ref="DB47:DB48"/>
    <mergeCell ref="DC47:DC48"/>
    <mergeCell ref="DD47:DD48"/>
    <mergeCell ref="DE47:DE48"/>
    <mergeCell ref="DM47:DM48"/>
    <mergeCell ref="DN47:DN48"/>
    <mergeCell ref="DO47:DO48"/>
    <mergeCell ref="DP47:DP48"/>
    <mergeCell ref="DX47:DX48"/>
    <mergeCell ref="DY47:DY48"/>
    <mergeCell ref="DZ47:DZ48"/>
    <mergeCell ref="EA47:EA48"/>
    <mergeCell ref="EI47:EI48"/>
    <mergeCell ref="EJ47:EJ48"/>
    <mergeCell ref="AY47:AY48"/>
    <mergeCell ref="AZ47:AZ48"/>
    <mergeCell ref="BA47:BA48"/>
    <mergeCell ref="BB47:BB48"/>
    <mergeCell ref="BJ47:BJ48"/>
    <mergeCell ref="BK47:BK48"/>
    <mergeCell ref="BL47:BL48"/>
    <mergeCell ref="BM47:BM48"/>
    <mergeCell ref="BU47:BU48"/>
    <mergeCell ref="BV47:BV48"/>
    <mergeCell ref="BW47:BW48"/>
    <mergeCell ref="BX47:BX48"/>
    <mergeCell ref="CF47:CF48"/>
    <mergeCell ref="CG47:CG48"/>
    <mergeCell ref="CH47:CH48"/>
    <mergeCell ref="CI47:CI48"/>
    <mergeCell ref="CQ47:CQ48"/>
    <mergeCell ref="FU103:FU104"/>
    <mergeCell ref="AN103:AN104"/>
    <mergeCell ref="AO103:AO104"/>
    <mergeCell ref="AP103:AP104"/>
    <mergeCell ref="G100:G111"/>
    <mergeCell ref="V100:AF100"/>
    <mergeCell ref="AG100:FT100"/>
    <mergeCell ref="H101:H111"/>
    <mergeCell ref="I101:I110"/>
    <mergeCell ref="P101:P110"/>
    <mergeCell ref="V101:AF101"/>
    <mergeCell ref="AG101:FT101"/>
    <mergeCell ref="J102:J105"/>
    <mergeCell ref="Q102:Q105"/>
    <mergeCell ref="V102:AF102"/>
    <mergeCell ref="AG102:FT102"/>
    <mergeCell ref="K103:K104"/>
    <mergeCell ref="AQ103:AQ104"/>
    <mergeCell ref="FU107:FU108"/>
    <mergeCell ref="AN107:AN108"/>
    <mergeCell ref="AO107:AO108"/>
    <mergeCell ref="AP107:AP108"/>
    <mergeCell ref="J106:J109"/>
    <mergeCell ref="Q106:Q109"/>
    <mergeCell ref="V106:AF106"/>
    <mergeCell ref="AG106:FT106"/>
    <mergeCell ref="K107:K108"/>
    <mergeCell ref="AQ107:AQ108"/>
    <mergeCell ref="BV103:BV104"/>
    <mergeCell ref="BW103:BW104"/>
    <mergeCell ref="BX103:BX104"/>
    <mergeCell ref="CF103:CF104"/>
    <mergeCell ref="AC269:AC270"/>
    <mergeCell ref="AD269:AD270"/>
    <mergeCell ref="AE269:AE270"/>
    <mergeCell ref="AF269:AF270"/>
    <mergeCell ref="FE259:FE260"/>
    <mergeCell ref="FF259:FF260"/>
    <mergeCell ref="FG259:FG260"/>
    <mergeCell ref="FH259:FH260"/>
    <mergeCell ref="AC259:AC260"/>
    <mergeCell ref="AD259:AD260"/>
    <mergeCell ref="AE259:AE260"/>
    <mergeCell ref="AF259:AF260"/>
    <mergeCell ref="ET273:ET274"/>
    <mergeCell ref="EU273:EU274"/>
    <mergeCell ref="EV273:EV274"/>
    <mergeCell ref="EW273:EW274"/>
    <mergeCell ref="FE273:FE274"/>
    <mergeCell ref="FF273:FF274"/>
    <mergeCell ref="FG273:FG274"/>
    <mergeCell ref="FH273:FH274"/>
    <mergeCell ref="AC273:AC274"/>
    <mergeCell ref="AD273:AD274"/>
    <mergeCell ref="AE273:AE274"/>
    <mergeCell ref="AF273:AF274"/>
    <mergeCell ref="EW255:EW256"/>
    <mergeCell ref="FE255:FE256"/>
    <mergeCell ref="FF255:FF256"/>
    <mergeCell ref="FG255:FG256"/>
    <mergeCell ref="FH255:FH256"/>
    <mergeCell ref="ET259:ET260"/>
    <mergeCell ref="EU259:EU260"/>
    <mergeCell ref="EV259:EV260"/>
    <mergeCell ref="EW259:EW260"/>
    <mergeCell ref="ET269:ET270"/>
    <mergeCell ref="EU269:EU270"/>
    <mergeCell ref="EV269:EV270"/>
    <mergeCell ref="EW269:EW270"/>
    <mergeCell ref="FE269:FE270"/>
    <mergeCell ref="FF269:FF270"/>
    <mergeCell ref="FG269:FG270"/>
    <mergeCell ref="FH269:FH270"/>
    <mergeCell ref="AN481:AN482"/>
    <mergeCell ref="AO481:AO482"/>
    <mergeCell ref="AP481:AP482"/>
    <mergeCell ref="J480:J483"/>
    <mergeCell ref="Q480:Q483"/>
    <mergeCell ref="V480:AF480"/>
    <mergeCell ref="AG480:FT480"/>
    <mergeCell ref="K481:K482"/>
    <mergeCell ref="AQ481:AQ482"/>
    <mergeCell ref="ET241:ET242"/>
    <mergeCell ref="EU241:EU242"/>
    <mergeCell ref="EV241:EV242"/>
    <mergeCell ref="EW241:EW242"/>
    <mergeCell ref="FE241:FE242"/>
    <mergeCell ref="FF241:FF242"/>
    <mergeCell ref="FG241:FG242"/>
    <mergeCell ref="FH241:FH242"/>
    <mergeCell ref="ET245:ET246"/>
    <mergeCell ref="EU245:EU246"/>
    <mergeCell ref="EV245:EV246"/>
    <mergeCell ref="EW245:EW246"/>
    <mergeCell ref="FE245:FE246"/>
    <mergeCell ref="FF245:FF246"/>
    <mergeCell ref="FG245:FG246"/>
    <mergeCell ref="FH245:FH246"/>
    <mergeCell ref="AC245:AC246"/>
    <mergeCell ref="AD245:AD246"/>
    <mergeCell ref="AE245:AE246"/>
    <mergeCell ref="AF245:AF246"/>
    <mergeCell ref="ET255:ET256"/>
    <mergeCell ref="EU255:EU256"/>
    <mergeCell ref="EV255:EV256"/>
    <mergeCell ref="FU467:FU468"/>
    <mergeCell ref="AN467:AN468"/>
    <mergeCell ref="AO467:AO468"/>
    <mergeCell ref="AP467:AP468"/>
    <mergeCell ref="J466:J469"/>
    <mergeCell ref="Q466:Q469"/>
    <mergeCell ref="V466:AF466"/>
    <mergeCell ref="AG466:FT466"/>
    <mergeCell ref="K467:K468"/>
    <mergeCell ref="AQ467:AQ468"/>
    <mergeCell ref="FU477:FU478"/>
    <mergeCell ref="AN477:AN478"/>
    <mergeCell ref="AO477:AO478"/>
    <mergeCell ref="AP477:AP478"/>
    <mergeCell ref="F473:F494"/>
    <mergeCell ref="V473:AF473"/>
    <mergeCell ref="AG473:FT473"/>
    <mergeCell ref="G474:G485"/>
    <mergeCell ref="V474:AF474"/>
    <mergeCell ref="AG474:FT474"/>
    <mergeCell ref="H475:H485"/>
    <mergeCell ref="I475:I484"/>
    <mergeCell ref="P475:P484"/>
    <mergeCell ref="V475:AF475"/>
    <mergeCell ref="AG475:FT475"/>
    <mergeCell ref="J476:J479"/>
    <mergeCell ref="Q476:Q479"/>
    <mergeCell ref="V476:AF476"/>
    <mergeCell ref="AG476:FT476"/>
    <mergeCell ref="K477:K478"/>
    <mergeCell ref="AQ477:AQ478"/>
    <mergeCell ref="FU481:FU482"/>
    <mergeCell ref="AQ449:AQ450"/>
    <mergeCell ref="FU453:FU454"/>
    <mergeCell ref="AN453:AN454"/>
    <mergeCell ref="AO453:AO454"/>
    <mergeCell ref="AP453:AP454"/>
    <mergeCell ref="J452:J455"/>
    <mergeCell ref="Q452:Q455"/>
    <mergeCell ref="V452:AF452"/>
    <mergeCell ref="AG452:FT452"/>
    <mergeCell ref="K453:K454"/>
    <mergeCell ref="AQ453:AQ454"/>
    <mergeCell ref="FU463:FU464"/>
    <mergeCell ref="AN463:AN464"/>
    <mergeCell ref="AO463:AO464"/>
    <mergeCell ref="AP463:AP464"/>
    <mergeCell ref="F459:F472"/>
    <mergeCell ref="V459:AF459"/>
    <mergeCell ref="AG459:FT459"/>
    <mergeCell ref="G460:G471"/>
    <mergeCell ref="V460:AF460"/>
    <mergeCell ref="AG460:FT460"/>
    <mergeCell ref="H461:H471"/>
    <mergeCell ref="I461:I470"/>
    <mergeCell ref="P461:P470"/>
    <mergeCell ref="V461:AF461"/>
    <mergeCell ref="AG461:FT461"/>
    <mergeCell ref="J462:J465"/>
    <mergeCell ref="Q462:Q465"/>
    <mergeCell ref="V462:AF462"/>
    <mergeCell ref="AG462:FT462"/>
    <mergeCell ref="K463:K464"/>
    <mergeCell ref="AQ463:AQ464"/>
    <mergeCell ref="ET183:ET184"/>
    <mergeCell ref="EU183:EU184"/>
    <mergeCell ref="EV183:EV184"/>
    <mergeCell ref="EW183:EW184"/>
    <mergeCell ref="FE183:FE184"/>
    <mergeCell ref="FF183:FF184"/>
    <mergeCell ref="FG183:FG184"/>
    <mergeCell ref="FH183:FH184"/>
    <mergeCell ref="AC183:AC184"/>
    <mergeCell ref="AD183:AD184"/>
    <mergeCell ref="AE183:AE184"/>
    <mergeCell ref="AF183:AF184"/>
    <mergeCell ref="FU449:FU450"/>
    <mergeCell ref="AN449:AN450"/>
    <mergeCell ref="AO449:AO450"/>
    <mergeCell ref="AP449:AP450"/>
    <mergeCell ref="F445:F458"/>
    <mergeCell ref="V445:AF445"/>
    <mergeCell ref="AG445:FT445"/>
    <mergeCell ref="G446:G457"/>
    <mergeCell ref="V446:AF446"/>
    <mergeCell ref="AG446:FT446"/>
    <mergeCell ref="H447:H457"/>
    <mergeCell ref="I447:I456"/>
    <mergeCell ref="P447:P456"/>
    <mergeCell ref="V447:AF447"/>
    <mergeCell ref="AG447:FT447"/>
    <mergeCell ref="J448:J451"/>
    <mergeCell ref="Q448:Q451"/>
    <mergeCell ref="V448:AF448"/>
    <mergeCell ref="AG448:FT448"/>
    <mergeCell ref="K449:K450"/>
    <mergeCell ref="ET169:ET170"/>
    <mergeCell ref="EU169:EU170"/>
    <mergeCell ref="EV169:EV170"/>
    <mergeCell ref="EW169:EW170"/>
    <mergeCell ref="FE169:FE170"/>
    <mergeCell ref="FF169:FF170"/>
    <mergeCell ref="FG169:FG170"/>
    <mergeCell ref="FH169:FH170"/>
    <mergeCell ref="AC169:AC170"/>
    <mergeCell ref="AD169:AD170"/>
    <mergeCell ref="AE169:AE170"/>
    <mergeCell ref="AF169:AF170"/>
    <mergeCell ref="ET179:ET180"/>
    <mergeCell ref="EU179:EU180"/>
    <mergeCell ref="EV179:EV180"/>
    <mergeCell ref="EW179:EW180"/>
    <mergeCell ref="FE179:FE180"/>
    <mergeCell ref="FF179:FF180"/>
    <mergeCell ref="FG179:FG180"/>
    <mergeCell ref="FH179:FH180"/>
    <mergeCell ref="AC179:AC180"/>
    <mergeCell ref="AD179:AD180"/>
    <mergeCell ref="AE179:AE180"/>
    <mergeCell ref="AF179:AF180"/>
    <mergeCell ref="FE145:FE146"/>
    <mergeCell ref="FF145:FF146"/>
    <mergeCell ref="FG145:FG146"/>
    <mergeCell ref="FH145:FH146"/>
    <mergeCell ref="AC145:AC146"/>
    <mergeCell ref="AD145:AD146"/>
    <mergeCell ref="AE145:AE146"/>
    <mergeCell ref="AF145:AF146"/>
    <mergeCell ref="ET165:ET166"/>
    <mergeCell ref="EU165:EU166"/>
    <mergeCell ref="EV165:EV166"/>
    <mergeCell ref="EW165:EW166"/>
    <mergeCell ref="FE165:FE166"/>
    <mergeCell ref="FF165:FF166"/>
    <mergeCell ref="FG165:FG166"/>
    <mergeCell ref="FH165:FH166"/>
    <mergeCell ref="AC165:AC166"/>
    <mergeCell ref="AD165:AD166"/>
    <mergeCell ref="AE165:AE166"/>
    <mergeCell ref="AF165:AF166"/>
    <mergeCell ref="EW157:EW158"/>
    <mergeCell ref="FE157:FE158"/>
    <mergeCell ref="FF157:FF158"/>
    <mergeCell ref="FG157:FG158"/>
    <mergeCell ref="FH157:FH158"/>
    <mergeCell ref="AC157:AC158"/>
    <mergeCell ref="AD157:AD158"/>
    <mergeCell ref="AE157:AE158"/>
    <mergeCell ref="AF157:AF158"/>
    <mergeCell ref="FE149:FE150"/>
    <mergeCell ref="FF149:FF150"/>
    <mergeCell ref="FG149:FG150"/>
    <mergeCell ref="FH149:FH150"/>
    <mergeCell ref="AC149:AC150"/>
    <mergeCell ref="AD149:AD150"/>
    <mergeCell ref="AE149:AE150"/>
    <mergeCell ref="AF149:AF150"/>
    <mergeCell ref="FU435:FU436"/>
    <mergeCell ref="AN435:AN436"/>
    <mergeCell ref="AO435:AO436"/>
    <mergeCell ref="AP435:AP436"/>
    <mergeCell ref="F431:F444"/>
    <mergeCell ref="V431:AF431"/>
    <mergeCell ref="AG431:FT431"/>
    <mergeCell ref="G432:G443"/>
    <mergeCell ref="V432:AF432"/>
    <mergeCell ref="AG432:FT432"/>
    <mergeCell ref="H433:H443"/>
    <mergeCell ref="I433:I442"/>
    <mergeCell ref="P433:P442"/>
    <mergeCell ref="V433:AF433"/>
    <mergeCell ref="AG433:FT433"/>
    <mergeCell ref="J434:J437"/>
    <mergeCell ref="Q434:Q437"/>
    <mergeCell ref="V434:AF434"/>
    <mergeCell ref="AG434:FT434"/>
    <mergeCell ref="K435:K436"/>
    <mergeCell ref="AQ435:AQ436"/>
    <mergeCell ref="FU439:FU440"/>
    <mergeCell ref="AN439:AN440"/>
    <mergeCell ref="AO439:AO440"/>
    <mergeCell ref="AP439:AP440"/>
    <mergeCell ref="J438:J441"/>
    <mergeCell ref="Q438:Q441"/>
    <mergeCell ref="V438:AF438"/>
    <mergeCell ref="AG438:FT438"/>
    <mergeCell ref="K439:K440"/>
    <mergeCell ref="AQ439:AQ440"/>
    <mergeCell ref="CS435:CS436"/>
    <mergeCell ref="FG397:FG398"/>
    <mergeCell ref="FH397:FH398"/>
    <mergeCell ref="AC397:AC398"/>
    <mergeCell ref="AD397:AD398"/>
    <mergeCell ref="AE397:AE398"/>
    <mergeCell ref="AF397:AF398"/>
    <mergeCell ref="ET379:ET380"/>
    <mergeCell ref="EU379:EU380"/>
    <mergeCell ref="EV379:EV380"/>
    <mergeCell ref="EW379:EW380"/>
    <mergeCell ref="FE379:FE380"/>
    <mergeCell ref="FF379:FF380"/>
    <mergeCell ref="FG379:FG380"/>
    <mergeCell ref="FH379:FH380"/>
    <mergeCell ref="AC379:AC380"/>
    <mergeCell ref="AD379:AD380"/>
    <mergeCell ref="AE379:AE380"/>
    <mergeCell ref="AF379:AF380"/>
    <mergeCell ref="ET383:ET384"/>
    <mergeCell ref="EU383:EU384"/>
    <mergeCell ref="EV383:EV384"/>
    <mergeCell ref="EW383:EW384"/>
    <mergeCell ref="FE383:FE384"/>
    <mergeCell ref="FF383:FF384"/>
    <mergeCell ref="FG383:FG384"/>
    <mergeCell ref="FH383:FH384"/>
    <mergeCell ref="AC383:AC384"/>
    <mergeCell ref="AD383:AD384"/>
    <mergeCell ref="AE383:AE384"/>
    <mergeCell ref="AF383:AF384"/>
    <mergeCell ref="AC411:AC412"/>
    <mergeCell ref="AD411:AD412"/>
    <mergeCell ref="AE411:AE412"/>
    <mergeCell ref="AF411:AF412"/>
    <mergeCell ref="ET407:ET408"/>
    <mergeCell ref="EU407:EU408"/>
    <mergeCell ref="EV407:EV408"/>
    <mergeCell ref="EW407:EW408"/>
    <mergeCell ref="FE407:FE408"/>
    <mergeCell ref="FF407:FF408"/>
    <mergeCell ref="FG407:FG408"/>
    <mergeCell ref="FH407:FH408"/>
    <mergeCell ref="AC407:AC408"/>
    <mergeCell ref="AD407:AD408"/>
    <mergeCell ref="AE407:AE408"/>
    <mergeCell ref="AF407:AF408"/>
    <mergeCell ref="ET393:ET394"/>
    <mergeCell ref="EU393:EU394"/>
    <mergeCell ref="EV393:EV394"/>
    <mergeCell ref="EW393:EW394"/>
    <mergeCell ref="FE393:FE394"/>
    <mergeCell ref="FF393:FF394"/>
    <mergeCell ref="FG393:FG394"/>
    <mergeCell ref="FH393:FH394"/>
    <mergeCell ref="AC393:AC394"/>
    <mergeCell ref="AD393:AD394"/>
    <mergeCell ref="AE393:AE394"/>
    <mergeCell ref="AF393:AF394"/>
    <mergeCell ref="ET397:ET398"/>
    <mergeCell ref="EU397:EU398"/>
    <mergeCell ref="EV397:EV398"/>
    <mergeCell ref="EW397:EW398"/>
    <mergeCell ref="ET425:ET426"/>
    <mergeCell ref="EU425:EU426"/>
    <mergeCell ref="EV425:EV426"/>
    <mergeCell ref="EW425:EW426"/>
    <mergeCell ref="FE425:FE426"/>
    <mergeCell ref="FF425:FF426"/>
    <mergeCell ref="FG425:FG426"/>
    <mergeCell ref="FH425:FH426"/>
    <mergeCell ref="ET421:ET422"/>
    <mergeCell ref="EU421:EU422"/>
    <mergeCell ref="EV421:EV422"/>
    <mergeCell ref="EW421:EW422"/>
    <mergeCell ref="FE421:FE422"/>
    <mergeCell ref="FF421:FF422"/>
    <mergeCell ref="FG421:FG422"/>
    <mergeCell ref="FH421:FH422"/>
    <mergeCell ref="ET411:ET412"/>
    <mergeCell ref="EU411:EU412"/>
    <mergeCell ref="EV411:EV412"/>
    <mergeCell ref="EW411:EW412"/>
    <mergeCell ref="FE411:FE412"/>
    <mergeCell ref="FF411:FF412"/>
    <mergeCell ref="FG411:FG412"/>
    <mergeCell ref="FH411:FH412"/>
    <mergeCell ref="ET365:ET366"/>
    <mergeCell ref="EU365:EU366"/>
    <mergeCell ref="EV365:EV366"/>
    <mergeCell ref="EW365:EW366"/>
    <mergeCell ref="FE365:FE366"/>
    <mergeCell ref="FF365:FF366"/>
    <mergeCell ref="FG365:FG366"/>
    <mergeCell ref="FH365:FH366"/>
    <mergeCell ref="AC365:AC366"/>
    <mergeCell ref="AD365:AD366"/>
    <mergeCell ref="AE365:AE366"/>
    <mergeCell ref="AF365:AF366"/>
    <mergeCell ref="ET369:ET370"/>
    <mergeCell ref="EU369:EU370"/>
    <mergeCell ref="EV369:EV370"/>
    <mergeCell ref="EW369:EW370"/>
    <mergeCell ref="FE369:FE370"/>
    <mergeCell ref="FF369:FF370"/>
    <mergeCell ref="FG369:FG370"/>
    <mergeCell ref="FH369:FH370"/>
    <mergeCell ref="AC369:AC370"/>
    <mergeCell ref="AD369:AD370"/>
    <mergeCell ref="AE369:AE370"/>
    <mergeCell ref="AF369:AF370"/>
    <mergeCell ref="ET351:ET352"/>
    <mergeCell ref="EU351:EU352"/>
    <mergeCell ref="EV351:EV352"/>
    <mergeCell ref="EW351:EW352"/>
    <mergeCell ref="FE351:FE352"/>
    <mergeCell ref="FF351:FF352"/>
    <mergeCell ref="FG351:FG352"/>
    <mergeCell ref="FH351:FH352"/>
    <mergeCell ref="AC351:AC352"/>
    <mergeCell ref="AD351:AD352"/>
    <mergeCell ref="AE351:AE352"/>
    <mergeCell ref="AF351:AF352"/>
    <mergeCell ref="ET355:ET356"/>
    <mergeCell ref="EU355:EU356"/>
    <mergeCell ref="EV355:EV356"/>
    <mergeCell ref="EW355:EW356"/>
    <mergeCell ref="FE355:FE356"/>
    <mergeCell ref="FF355:FF356"/>
    <mergeCell ref="FG355:FG356"/>
    <mergeCell ref="FH355:FH356"/>
    <mergeCell ref="AC355:AC356"/>
    <mergeCell ref="AD355:AD356"/>
    <mergeCell ref="AE355:AE356"/>
    <mergeCell ref="AF355:AF356"/>
    <mergeCell ref="ET337:ET338"/>
    <mergeCell ref="EU337:EU338"/>
    <mergeCell ref="EV337:EV338"/>
    <mergeCell ref="EW337:EW338"/>
    <mergeCell ref="FE337:FE338"/>
    <mergeCell ref="FF337:FF338"/>
    <mergeCell ref="FG337:FG338"/>
    <mergeCell ref="FH337:FH338"/>
    <mergeCell ref="AC337:AC338"/>
    <mergeCell ref="AD337:AD338"/>
    <mergeCell ref="AE337:AE338"/>
    <mergeCell ref="AF337:AF338"/>
    <mergeCell ref="ET341:ET342"/>
    <mergeCell ref="EU341:EU342"/>
    <mergeCell ref="EV341:EV342"/>
    <mergeCell ref="EW341:EW342"/>
    <mergeCell ref="FE341:FE342"/>
    <mergeCell ref="FF341:FF342"/>
    <mergeCell ref="FG341:FG342"/>
    <mergeCell ref="FH341:FH342"/>
    <mergeCell ref="AC341:AC342"/>
    <mergeCell ref="AD341:AD342"/>
    <mergeCell ref="AE341:AE342"/>
    <mergeCell ref="AF341:AF342"/>
    <mergeCell ref="FE323:FE324"/>
    <mergeCell ref="FF323:FF324"/>
    <mergeCell ref="FG323:FG324"/>
    <mergeCell ref="FH323:FH324"/>
    <mergeCell ref="AC323:AC324"/>
    <mergeCell ref="AD323:AD324"/>
    <mergeCell ref="AE323:AE324"/>
    <mergeCell ref="AF323:AF324"/>
    <mergeCell ref="ET327:ET328"/>
    <mergeCell ref="EU327:EU328"/>
    <mergeCell ref="EV327:EV328"/>
    <mergeCell ref="EW327:EW328"/>
    <mergeCell ref="FE327:FE328"/>
    <mergeCell ref="FF327:FF328"/>
    <mergeCell ref="FG327:FG328"/>
    <mergeCell ref="FH327:FH328"/>
    <mergeCell ref="AC327:AC328"/>
    <mergeCell ref="AD327:AD328"/>
    <mergeCell ref="AE327:AE328"/>
    <mergeCell ref="AF327:AF328"/>
    <mergeCell ref="ET309:ET310"/>
    <mergeCell ref="EU309:EU310"/>
    <mergeCell ref="EV309:EV310"/>
    <mergeCell ref="EW309:EW310"/>
    <mergeCell ref="FE309:FE310"/>
    <mergeCell ref="FF309:FF310"/>
    <mergeCell ref="FG309:FG310"/>
    <mergeCell ref="FH309:FH310"/>
    <mergeCell ref="AC309:AC310"/>
    <mergeCell ref="AD309:AD310"/>
    <mergeCell ref="AE309:AE310"/>
    <mergeCell ref="AF309:AF310"/>
    <mergeCell ref="ET313:ET314"/>
    <mergeCell ref="EU313:EU314"/>
    <mergeCell ref="EV313:EV314"/>
    <mergeCell ref="EW313:EW314"/>
    <mergeCell ref="FE313:FE314"/>
    <mergeCell ref="FF313:FF314"/>
    <mergeCell ref="FG313:FG314"/>
    <mergeCell ref="FH313:FH314"/>
    <mergeCell ref="AC313:AC314"/>
    <mergeCell ref="AD313:AD314"/>
    <mergeCell ref="AE313:AE314"/>
    <mergeCell ref="AF313:AF314"/>
    <mergeCell ref="ET297:ET298"/>
    <mergeCell ref="EU297:EU298"/>
    <mergeCell ref="EV297:EV298"/>
    <mergeCell ref="EW297:EW298"/>
    <mergeCell ref="FE297:FE298"/>
    <mergeCell ref="FF297:FF298"/>
    <mergeCell ref="FG297:FG298"/>
    <mergeCell ref="FH297:FH298"/>
    <mergeCell ref="AC297:AC298"/>
    <mergeCell ref="AD297:AD298"/>
    <mergeCell ref="AE297:AE298"/>
    <mergeCell ref="AF297:AF298"/>
    <mergeCell ref="ET301:ET302"/>
    <mergeCell ref="EU301:EU302"/>
    <mergeCell ref="EV301:EV302"/>
    <mergeCell ref="EW301:EW302"/>
    <mergeCell ref="FE301:FE302"/>
    <mergeCell ref="FF301:FF302"/>
    <mergeCell ref="FG301:FG302"/>
    <mergeCell ref="FH301:FH302"/>
    <mergeCell ref="AC301:AC302"/>
    <mergeCell ref="AD301:AD302"/>
    <mergeCell ref="AE301:AE302"/>
    <mergeCell ref="AF301:AF302"/>
    <mergeCell ref="ET283:ET284"/>
    <mergeCell ref="EU283:EU284"/>
    <mergeCell ref="EV283:EV284"/>
    <mergeCell ref="EW283:EW284"/>
    <mergeCell ref="FE283:FE284"/>
    <mergeCell ref="FF283:FF284"/>
    <mergeCell ref="FG283:FG284"/>
    <mergeCell ref="FH283:FH284"/>
    <mergeCell ref="AC283:AC284"/>
    <mergeCell ref="AD283:AD284"/>
    <mergeCell ref="AE283:AE284"/>
    <mergeCell ref="AF283:AF284"/>
    <mergeCell ref="ET287:ET288"/>
    <mergeCell ref="EU287:EU288"/>
    <mergeCell ref="EV287:EV288"/>
    <mergeCell ref="EW287:EW288"/>
    <mergeCell ref="FE287:FE288"/>
    <mergeCell ref="FF287:FF288"/>
    <mergeCell ref="FG287:FG288"/>
    <mergeCell ref="FH287:FH288"/>
    <mergeCell ref="AC287:AC288"/>
    <mergeCell ref="AD287:AD288"/>
    <mergeCell ref="AE287:AE288"/>
    <mergeCell ref="AF287:AF288"/>
    <mergeCell ref="EW227:EW228"/>
    <mergeCell ref="FE227:FE228"/>
    <mergeCell ref="FF227:FF228"/>
    <mergeCell ref="FG227:FG228"/>
    <mergeCell ref="FH227:FH228"/>
    <mergeCell ref="AC227:AC228"/>
    <mergeCell ref="AD227:AD228"/>
    <mergeCell ref="AE227:AE228"/>
    <mergeCell ref="AF227:AF228"/>
    <mergeCell ref="ET231:ET232"/>
    <mergeCell ref="EU231:EU232"/>
    <mergeCell ref="EV231:EV232"/>
    <mergeCell ref="EW231:EW232"/>
    <mergeCell ref="FE231:FE232"/>
    <mergeCell ref="FF231:FF232"/>
    <mergeCell ref="FG231:FG232"/>
    <mergeCell ref="FH231:FH232"/>
    <mergeCell ref="AC231:AC232"/>
    <mergeCell ref="AD231:AD232"/>
    <mergeCell ref="AE231:AE232"/>
    <mergeCell ref="AF231:AF232"/>
    <mergeCell ref="EW209:EW210"/>
    <mergeCell ref="FE209:FE210"/>
    <mergeCell ref="FF209:FF210"/>
    <mergeCell ref="FG209:FG210"/>
    <mergeCell ref="FH209:FH210"/>
    <mergeCell ref="AC209:AC210"/>
    <mergeCell ref="AD209:AD210"/>
    <mergeCell ref="AE209:AE210"/>
    <mergeCell ref="AF209:AF210"/>
    <mergeCell ref="ET217:ET218"/>
    <mergeCell ref="EU217:EU218"/>
    <mergeCell ref="EV217:EV218"/>
    <mergeCell ref="EW217:EW218"/>
    <mergeCell ref="FE217:FE218"/>
    <mergeCell ref="FF217:FF218"/>
    <mergeCell ref="FG217:FG218"/>
    <mergeCell ref="FH217:FH218"/>
    <mergeCell ref="AC217:AC218"/>
    <mergeCell ref="AD217:AD218"/>
    <mergeCell ref="AE217:AE218"/>
    <mergeCell ref="AF217:AF218"/>
    <mergeCell ref="EW197:EW198"/>
    <mergeCell ref="FE197:FE198"/>
    <mergeCell ref="FF197:FF198"/>
    <mergeCell ref="FG197:FG198"/>
    <mergeCell ref="FH197:FH198"/>
    <mergeCell ref="AC197:AC198"/>
    <mergeCell ref="AD197:AD198"/>
    <mergeCell ref="AE197:AE198"/>
    <mergeCell ref="AF197:AF198"/>
    <mergeCell ref="ET205:ET206"/>
    <mergeCell ref="EU205:EU206"/>
    <mergeCell ref="EV205:EV206"/>
    <mergeCell ref="EW205:EW206"/>
    <mergeCell ref="FE205:FE206"/>
    <mergeCell ref="FF205:FF206"/>
    <mergeCell ref="FG205:FG206"/>
    <mergeCell ref="FH205:FH206"/>
    <mergeCell ref="AC205:AC206"/>
    <mergeCell ref="AD205:AD206"/>
    <mergeCell ref="AE205:AE206"/>
    <mergeCell ref="AF205:AF206"/>
    <mergeCell ref="EW135:EW136"/>
    <mergeCell ref="FE135:FE136"/>
    <mergeCell ref="FF135:FF136"/>
    <mergeCell ref="FG135:FG136"/>
    <mergeCell ref="FH135:FH136"/>
    <mergeCell ref="AC135:AC136"/>
    <mergeCell ref="AD135:AD136"/>
    <mergeCell ref="AE135:AE136"/>
    <mergeCell ref="AF135:AF136"/>
    <mergeCell ref="ET193:ET194"/>
    <mergeCell ref="EU193:EU194"/>
    <mergeCell ref="EV193:EV194"/>
    <mergeCell ref="EW193:EW194"/>
    <mergeCell ref="FE193:FE194"/>
    <mergeCell ref="FF193:FF194"/>
    <mergeCell ref="FG193:FG194"/>
    <mergeCell ref="FH193:FH194"/>
    <mergeCell ref="AC193:AC194"/>
    <mergeCell ref="AD193:AD194"/>
    <mergeCell ref="AE193:AE194"/>
    <mergeCell ref="AF193:AF194"/>
    <mergeCell ref="ET145:ET146"/>
    <mergeCell ref="EU145:EU146"/>
    <mergeCell ref="EV145:EV146"/>
    <mergeCell ref="EW145:EW146"/>
    <mergeCell ref="ET149:ET150"/>
    <mergeCell ref="EU149:EU150"/>
    <mergeCell ref="EV149:EV150"/>
    <mergeCell ref="EW149:EW150"/>
    <mergeCell ref="ET157:ET158"/>
    <mergeCell ref="EU157:EU158"/>
    <mergeCell ref="EV157:EV158"/>
    <mergeCell ref="EW121:EW122"/>
    <mergeCell ref="FE121:FE122"/>
    <mergeCell ref="FF121:FF122"/>
    <mergeCell ref="FG121:FG122"/>
    <mergeCell ref="FH121:FH122"/>
    <mergeCell ref="AC121:AC122"/>
    <mergeCell ref="AD121:AD122"/>
    <mergeCell ref="AE121:AE122"/>
    <mergeCell ref="AF121:AF122"/>
    <mergeCell ref="ET131:ET132"/>
    <mergeCell ref="EU131:EU132"/>
    <mergeCell ref="EV131:EV132"/>
    <mergeCell ref="EW131:EW132"/>
    <mergeCell ref="FE131:FE132"/>
    <mergeCell ref="FF131:FF132"/>
    <mergeCell ref="FG131:FG132"/>
    <mergeCell ref="FH131:FH132"/>
    <mergeCell ref="AC131:AC132"/>
    <mergeCell ref="AD131:AD132"/>
    <mergeCell ref="AE131:AE132"/>
    <mergeCell ref="AF131:AF132"/>
    <mergeCell ref="ET75:ET76"/>
    <mergeCell ref="EU75:EU76"/>
    <mergeCell ref="EV75:EV76"/>
    <mergeCell ref="EW75:EW76"/>
    <mergeCell ref="FE75:FE76"/>
    <mergeCell ref="FF75:FF76"/>
    <mergeCell ref="FG75:FG76"/>
    <mergeCell ref="FH75:FH76"/>
    <mergeCell ref="AC75:AC76"/>
    <mergeCell ref="AD75:AD76"/>
    <mergeCell ref="AE75:AE76"/>
    <mergeCell ref="AF75:AF76"/>
    <mergeCell ref="ET117:ET118"/>
    <mergeCell ref="EU117:EU118"/>
    <mergeCell ref="EV117:EV118"/>
    <mergeCell ref="EW117:EW118"/>
    <mergeCell ref="FE117:FE118"/>
    <mergeCell ref="FF117:FF118"/>
    <mergeCell ref="FG117:FG118"/>
    <mergeCell ref="FH117:FH118"/>
    <mergeCell ref="AC117:AC118"/>
    <mergeCell ref="AD117:AD118"/>
    <mergeCell ref="AE117:AE118"/>
    <mergeCell ref="AF117:AF118"/>
    <mergeCell ref="CG103:CG104"/>
    <mergeCell ref="CH103:CH104"/>
    <mergeCell ref="CI103:CI104"/>
    <mergeCell ref="CQ103:CQ104"/>
    <mergeCell ref="CR103:CR104"/>
    <mergeCell ref="CS103:CS104"/>
    <mergeCell ref="CT103:CT104"/>
    <mergeCell ref="DB103:DB104"/>
    <mergeCell ref="ET63:ET64"/>
    <mergeCell ref="EU63:EU64"/>
    <mergeCell ref="EV63:EV64"/>
    <mergeCell ref="EW63:EW64"/>
    <mergeCell ref="FE63:FE64"/>
    <mergeCell ref="FF63:FF64"/>
    <mergeCell ref="FG63:FG64"/>
    <mergeCell ref="FH63:FH64"/>
    <mergeCell ref="AC63:AC64"/>
    <mergeCell ref="AD63:AD64"/>
    <mergeCell ref="AE63:AE64"/>
    <mergeCell ref="AF63:AF64"/>
    <mergeCell ref="ET71:ET72"/>
    <mergeCell ref="EU71:EU72"/>
    <mergeCell ref="EV71:EV72"/>
    <mergeCell ref="EW71:EW72"/>
    <mergeCell ref="FE71:FE72"/>
    <mergeCell ref="FF71:FF72"/>
    <mergeCell ref="FG71:FG72"/>
    <mergeCell ref="FH71:FH72"/>
    <mergeCell ref="AC71:AC72"/>
    <mergeCell ref="AD71:AD72"/>
    <mergeCell ref="AE71:AE72"/>
    <mergeCell ref="AF71:AF72"/>
    <mergeCell ref="FE51:FE52"/>
    <mergeCell ref="FF51:FF52"/>
    <mergeCell ref="FG51:FG52"/>
    <mergeCell ref="FH51:FH52"/>
    <mergeCell ref="AC51:AC52"/>
    <mergeCell ref="AD51:AD52"/>
    <mergeCell ref="AE51:AE52"/>
    <mergeCell ref="AF51:AF52"/>
    <mergeCell ref="ET59:ET60"/>
    <mergeCell ref="EU59:EU60"/>
    <mergeCell ref="EV59:EV60"/>
    <mergeCell ref="EW59:EW60"/>
    <mergeCell ref="FE59:FE60"/>
    <mergeCell ref="FF59:FF60"/>
    <mergeCell ref="FG59:FG60"/>
    <mergeCell ref="FH59:FH60"/>
    <mergeCell ref="AC59:AC60"/>
    <mergeCell ref="AD59:AD60"/>
    <mergeCell ref="AE59:AE60"/>
    <mergeCell ref="AF59:AF60"/>
    <mergeCell ref="DD425:DD426"/>
    <mergeCell ref="DE425:DE426"/>
    <mergeCell ref="DM425:DM426"/>
    <mergeCell ref="DN425:DN426"/>
    <mergeCell ref="DO425:DO426"/>
    <mergeCell ref="DP425:DP426"/>
    <mergeCell ref="DX425:DX426"/>
    <mergeCell ref="DY425:DY426"/>
    <mergeCell ref="DZ425:DZ426"/>
    <mergeCell ref="EA425:EA426"/>
    <mergeCell ref="EI425:EI426"/>
    <mergeCell ref="EJ425:EJ426"/>
    <mergeCell ref="EK425:EK426"/>
    <mergeCell ref="EL425:EL426"/>
    <mergeCell ref="ET83:ET84"/>
    <mergeCell ref="EU83:EU84"/>
    <mergeCell ref="EV83:EV84"/>
    <mergeCell ref="ET121:ET122"/>
    <mergeCell ref="EU121:EU122"/>
    <mergeCell ref="EV121:EV122"/>
    <mergeCell ref="ET135:ET136"/>
    <mergeCell ref="EU135:EU136"/>
    <mergeCell ref="EV135:EV136"/>
    <mergeCell ref="ET197:ET198"/>
    <mergeCell ref="EU197:EU198"/>
    <mergeCell ref="EV197:EV198"/>
    <mergeCell ref="ET209:ET210"/>
    <mergeCell ref="EU209:EU210"/>
    <mergeCell ref="EV209:EV210"/>
    <mergeCell ref="ET227:ET228"/>
    <mergeCell ref="EU227:EU228"/>
    <mergeCell ref="EV227:EV228"/>
    <mergeCell ref="FU425:FU426"/>
    <mergeCell ref="AN425:AN426"/>
    <mergeCell ref="AO425:AO426"/>
    <mergeCell ref="AP425:AP426"/>
    <mergeCell ref="J424:J427"/>
    <mergeCell ref="Q424:Q427"/>
    <mergeCell ref="V424:AF424"/>
    <mergeCell ref="AG424:FT424"/>
    <mergeCell ref="K425:K426"/>
    <mergeCell ref="AQ425:AQ426"/>
    <mergeCell ref="AY425:AY426"/>
    <mergeCell ref="AZ425:AZ426"/>
    <mergeCell ref="BA425:BA426"/>
    <mergeCell ref="BB425:BB426"/>
    <mergeCell ref="BJ425:BJ426"/>
    <mergeCell ref="BK425:BK426"/>
    <mergeCell ref="BL425:BL426"/>
    <mergeCell ref="BM425:BM426"/>
    <mergeCell ref="BU425:BU426"/>
    <mergeCell ref="BV425:BV426"/>
    <mergeCell ref="BW425:BW426"/>
    <mergeCell ref="BX425:BX426"/>
    <mergeCell ref="CF425:CF426"/>
    <mergeCell ref="CG425:CG426"/>
    <mergeCell ref="CH425:CH426"/>
    <mergeCell ref="CI425:CI426"/>
    <mergeCell ref="CQ425:CQ426"/>
    <mergeCell ref="CR425:CR426"/>
    <mergeCell ref="CS425:CS426"/>
    <mergeCell ref="CT425:CT426"/>
    <mergeCell ref="DB425:DB426"/>
    <mergeCell ref="DC425:DC426"/>
    <mergeCell ref="AN411:AN412"/>
    <mergeCell ref="AO411:AO412"/>
    <mergeCell ref="AP411:AP412"/>
    <mergeCell ref="J410:J413"/>
    <mergeCell ref="Q410:Q413"/>
    <mergeCell ref="V410:AF410"/>
    <mergeCell ref="AG410:FT410"/>
    <mergeCell ref="K411:K412"/>
    <mergeCell ref="AQ411:AQ412"/>
    <mergeCell ref="AY411:AY412"/>
    <mergeCell ref="AZ411:AZ412"/>
    <mergeCell ref="BA411:BA412"/>
    <mergeCell ref="BB411:BB412"/>
    <mergeCell ref="BJ411:BJ412"/>
    <mergeCell ref="BK411:BK412"/>
    <mergeCell ref="BL411:BL412"/>
    <mergeCell ref="BM411:BM412"/>
    <mergeCell ref="BU411:BU412"/>
    <mergeCell ref="BV411:BV412"/>
    <mergeCell ref="BW411:BW412"/>
    <mergeCell ref="BX411:BX412"/>
    <mergeCell ref="CF411:CF412"/>
    <mergeCell ref="CG411:CG412"/>
    <mergeCell ref="CH411:CH412"/>
    <mergeCell ref="CI411:CI412"/>
    <mergeCell ref="CQ411:CQ412"/>
    <mergeCell ref="CR411:CR412"/>
    <mergeCell ref="CS411:CS412"/>
    <mergeCell ref="CT411:CT412"/>
    <mergeCell ref="DB411:DB412"/>
    <mergeCell ref="DC411:DC412"/>
    <mergeCell ref="DD411:DD412"/>
    <mergeCell ref="DB397:DB398"/>
    <mergeCell ref="DC397:DC398"/>
    <mergeCell ref="DD397:DD398"/>
    <mergeCell ref="DE397:DE398"/>
    <mergeCell ref="DM397:DM398"/>
    <mergeCell ref="DN397:DN398"/>
    <mergeCell ref="DO397:DO398"/>
    <mergeCell ref="DP397:DP398"/>
    <mergeCell ref="DX397:DX398"/>
    <mergeCell ref="DY397:DY398"/>
    <mergeCell ref="DZ397:DZ398"/>
    <mergeCell ref="EA397:EA398"/>
    <mergeCell ref="EI397:EI398"/>
    <mergeCell ref="EJ397:EJ398"/>
    <mergeCell ref="EK397:EK398"/>
    <mergeCell ref="EL397:EL398"/>
    <mergeCell ref="FU411:FU412"/>
    <mergeCell ref="DE411:DE412"/>
    <mergeCell ref="DM411:DM412"/>
    <mergeCell ref="DN411:DN412"/>
    <mergeCell ref="DO411:DO412"/>
    <mergeCell ref="DP411:DP412"/>
    <mergeCell ref="DX411:DX412"/>
    <mergeCell ref="DY411:DY412"/>
    <mergeCell ref="DZ411:DZ412"/>
    <mergeCell ref="EA411:EA412"/>
    <mergeCell ref="EI411:EI412"/>
    <mergeCell ref="EJ411:EJ412"/>
    <mergeCell ref="EK411:EK412"/>
    <mergeCell ref="EL411:EL412"/>
    <mergeCell ref="FE397:FE398"/>
    <mergeCell ref="FF397:FF398"/>
    <mergeCell ref="DN383:DN384"/>
    <mergeCell ref="DO383:DO384"/>
    <mergeCell ref="DP383:DP384"/>
    <mergeCell ref="DX383:DX384"/>
    <mergeCell ref="DY383:DY384"/>
    <mergeCell ref="DZ383:DZ384"/>
    <mergeCell ref="EA383:EA384"/>
    <mergeCell ref="EI383:EI384"/>
    <mergeCell ref="EJ383:EJ384"/>
    <mergeCell ref="EK383:EK384"/>
    <mergeCell ref="EL383:EL384"/>
    <mergeCell ref="FU397:FU398"/>
    <mergeCell ref="AN397:AN398"/>
    <mergeCell ref="AO397:AO398"/>
    <mergeCell ref="AP397:AP398"/>
    <mergeCell ref="J396:J399"/>
    <mergeCell ref="Q396:Q399"/>
    <mergeCell ref="V396:AF396"/>
    <mergeCell ref="AG396:FT396"/>
    <mergeCell ref="K397:K398"/>
    <mergeCell ref="AQ397:AQ398"/>
    <mergeCell ref="AY397:AY398"/>
    <mergeCell ref="AZ397:AZ398"/>
    <mergeCell ref="BA397:BA398"/>
    <mergeCell ref="BB397:BB398"/>
    <mergeCell ref="BJ397:BJ398"/>
    <mergeCell ref="BK397:BK398"/>
    <mergeCell ref="BL397:BL398"/>
    <mergeCell ref="BM397:BM398"/>
    <mergeCell ref="BU397:BU398"/>
    <mergeCell ref="BV397:BV398"/>
    <mergeCell ref="BW397:BW398"/>
    <mergeCell ref="AP383:AP384"/>
    <mergeCell ref="J382:J385"/>
    <mergeCell ref="Q382:Q385"/>
    <mergeCell ref="V382:AF382"/>
    <mergeCell ref="AG382:FT382"/>
    <mergeCell ref="K383:K384"/>
    <mergeCell ref="AQ383:AQ384"/>
    <mergeCell ref="AY383:AY384"/>
    <mergeCell ref="AZ383:AZ384"/>
    <mergeCell ref="BA383:BA384"/>
    <mergeCell ref="BB383:BB384"/>
    <mergeCell ref="BJ383:BJ384"/>
    <mergeCell ref="BK383:BK384"/>
    <mergeCell ref="BL383:BL384"/>
    <mergeCell ref="BM383:BM384"/>
    <mergeCell ref="BU383:BU384"/>
    <mergeCell ref="BV383:BV384"/>
    <mergeCell ref="BW383:BW384"/>
    <mergeCell ref="BX383:BX384"/>
    <mergeCell ref="CF383:CF384"/>
    <mergeCell ref="CG383:CG384"/>
    <mergeCell ref="CH383:CH384"/>
    <mergeCell ref="CI383:CI384"/>
    <mergeCell ref="CQ383:CQ384"/>
    <mergeCell ref="CR383:CR384"/>
    <mergeCell ref="CS383:CS384"/>
    <mergeCell ref="CT383:CT384"/>
    <mergeCell ref="DB383:DB384"/>
    <mergeCell ref="DC383:DC384"/>
    <mergeCell ref="DD383:DD384"/>
    <mergeCell ref="DE383:DE384"/>
    <mergeCell ref="DM383:DM384"/>
    <mergeCell ref="FU369:FU370"/>
    <mergeCell ref="AN369:AN370"/>
    <mergeCell ref="AO369:AO370"/>
    <mergeCell ref="AP369:AP370"/>
    <mergeCell ref="J368:J371"/>
    <mergeCell ref="Q368:Q371"/>
    <mergeCell ref="V368:AF368"/>
    <mergeCell ref="AG368:FT368"/>
    <mergeCell ref="K369:K370"/>
    <mergeCell ref="AQ369:AQ370"/>
    <mergeCell ref="AY369:AY370"/>
    <mergeCell ref="AZ369:AZ370"/>
    <mergeCell ref="BA369:BA370"/>
    <mergeCell ref="BB369:BB370"/>
    <mergeCell ref="BJ369:BJ370"/>
    <mergeCell ref="BK369:BK370"/>
    <mergeCell ref="BL369:BL370"/>
    <mergeCell ref="BM369:BM370"/>
    <mergeCell ref="BU369:BU370"/>
    <mergeCell ref="BV369:BV370"/>
    <mergeCell ref="BW369:BW370"/>
    <mergeCell ref="BX369:BX370"/>
    <mergeCell ref="CF369:CF370"/>
    <mergeCell ref="CG369:CG370"/>
    <mergeCell ref="CH369:CH370"/>
    <mergeCell ref="CI369:CI370"/>
    <mergeCell ref="CQ369:CQ370"/>
    <mergeCell ref="CR369:CR370"/>
    <mergeCell ref="CS369:CS370"/>
    <mergeCell ref="CT369:CT370"/>
    <mergeCell ref="DB369:DB370"/>
    <mergeCell ref="DC369:DC370"/>
    <mergeCell ref="FU355:FU356"/>
    <mergeCell ref="AN355:AN356"/>
    <mergeCell ref="AO355:AO356"/>
    <mergeCell ref="AP355:AP356"/>
    <mergeCell ref="J354:J357"/>
    <mergeCell ref="Q354:Q357"/>
    <mergeCell ref="V354:AF354"/>
    <mergeCell ref="AG354:FT354"/>
    <mergeCell ref="K355:K356"/>
    <mergeCell ref="AQ355:AQ356"/>
    <mergeCell ref="AY355:AY356"/>
    <mergeCell ref="AZ355:AZ356"/>
    <mergeCell ref="BA355:BA356"/>
    <mergeCell ref="BB355:BB356"/>
    <mergeCell ref="BJ355:BJ356"/>
    <mergeCell ref="BK355:BK356"/>
    <mergeCell ref="BL355:BL356"/>
    <mergeCell ref="BM355:BM356"/>
    <mergeCell ref="BU355:BU356"/>
    <mergeCell ref="BV355:BV356"/>
    <mergeCell ref="BW355:BW356"/>
    <mergeCell ref="BX355:BX356"/>
    <mergeCell ref="CF355:CF356"/>
    <mergeCell ref="CG355:CG356"/>
    <mergeCell ref="CH355:CH356"/>
    <mergeCell ref="CI355:CI356"/>
    <mergeCell ref="CQ355:CQ356"/>
    <mergeCell ref="CR355:CR356"/>
    <mergeCell ref="CS355:CS356"/>
    <mergeCell ref="CT355:CT356"/>
    <mergeCell ref="DB355:DB356"/>
    <mergeCell ref="DC355:DC356"/>
    <mergeCell ref="FU341:FU342"/>
    <mergeCell ref="AN341:AN342"/>
    <mergeCell ref="AO341:AO342"/>
    <mergeCell ref="AP341:AP342"/>
    <mergeCell ref="J340:J343"/>
    <mergeCell ref="Q340:Q343"/>
    <mergeCell ref="V340:AF340"/>
    <mergeCell ref="AG340:FT340"/>
    <mergeCell ref="K341:K342"/>
    <mergeCell ref="AQ341:AQ342"/>
    <mergeCell ref="AY341:AY342"/>
    <mergeCell ref="AZ341:AZ342"/>
    <mergeCell ref="BA341:BA342"/>
    <mergeCell ref="BB341:BB342"/>
    <mergeCell ref="BJ341:BJ342"/>
    <mergeCell ref="BK341:BK342"/>
    <mergeCell ref="BL341:BL342"/>
    <mergeCell ref="BM341:BM342"/>
    <mergeCell ref="BU341:BU342"/>
    <mergeCell ref="BV341:BV342"/>
    <mergeCell ref="BW341:BW342"/>
    <mergeCell ref="BX341:BX342"/>
    <mergeCell ref="CF341:CF342"/>
    <mergeCell ref="CG341:CG342"/>
    <mergeCell ref="CH341:CH342"/>
    <mergeCell ref="CI341:CI342"/>
    <mergeCell ref="CQ341:CQ342"/>
    <mergeCell ref="CR341:CR342"/>
    <mergeCell ref="CS341:CS342"/>
    <mergeCell ref="CT341:CT342"/>
    <mergeCell ref="DB341:DB342"/>
    <mergeCell ref="DC341:DC342"/>
    <mergeCell ref="J326:J329"/>
    <mergeCell ref="Q326:Q329"/>
    <mergeCell ref="V326:AF326"/>
    <mergeCell ref="AG326:FT326"/>
    <mergeCell ref="K327:K328"/>
    <mergeCell ref="AQ327:AQ328"/>
    <mergeCell ref="AY327:AY328"/>
    <mergeCell ref="AZ327:AZ328"/>
    <mergeCell ref="BA327:BA328"/>
    <mergeCell ref="BB327:BB328"/>
    <mergeCell ref="BJ327:BJ328"/>
    <mergeCell ref="BK327:BK328"/>
    <mergeCell ref="BL327:BL328"/>
    <mergeCell ref="BM327:BM328"/>
    <mergeCell ref="BU327:BU328"/>
    <mergeCell ref="BV327:BV328"/>
    <mergeCell ref="BW327:BW328"/>
    <mergeCell ref="BX327:BX328"/>
    <mergeCell ref="CF327:CF328"/>
    <mergeCell ref="CG327:CG328"/>
    <mergeCell ref="CH327:CH328"/>
    <mergeCell ref="CI327:CI328"/>
    <mergeCell ref="CQ327:CQ328"/>
    <mergeCell ref="CR327:CR328"/>
    <mergeCell ref="CS327:CS328"/>
    <mergeCell ref="CT327:CT328"/>
    <mergeCell ref="DB327:DB328"/>
    <mergeCell ref="DC327:DC328"/>
    <mergeCell ref="DD327:DD328"/>
    <mergeCell ref="DE327:DE328"/>
    <mergeCell ref="DM327:DM328"/>
    <mergeCell ref="DN327:DN328"/>
    <mergeCell ref="DD313:DD314"/>
    <mergeCell ref="DE313:DE314"/>
    <mergeCell ref="DM313:DM314"/>
    <mergeCell ref="DN313:DN314"/>
    <mergeCell ref="DO313:DO314"/>
    <mergeCell ref="DP313:DP314"/>
    <mergeCell ref="DX313:DX314"/>
    <mergeCell ref="DY313:DY314"/>
    <mergeCell ref="DZ313:DZ314"/>
    <mergeCell ref="EA313:EA314"/>
    <mergeCell ref="EI313:EI314"/>
    <mergeCell ref="EJ313:EJ314"/>
    <mergeCell ref="EK313:EK314"/>
    <mergeCell ref="EL313:EL314"/>
    <mergeCell ref="FU327:FU328"/>
    <mergeCell ref="AN327:AN328"/>
    <mergeCell ref="AO327:AO328"/>
    <mergeCell ref="AP327:AP328"/>
    <mergeCell ref="DO327:DO328"/>
    <mergeCell ref="DP327:DP328"/>
    <mergeCell ref="DX327:DX328"/>
    <mergeCell ref="DY327:DY328"/>
    <mergeCell ref="DZ327:DZ328"/>
    <mergeCell ref="EA327:EA328"/>
    <mergeCell ref="EI327:EI328"/>
    <mergeCell ref="EJ327:EJ328"/>
    <mergeCell ref="EK327:EK328"/>
    <mergeCell ref="EL327:EL328"/>
    <mergeCell ref="ET323:ET324"/>
    <mergeCell ref="EU323:EU324"/>
    <mergeCell ref="EV323:EV324"/>
    <mergeCell ref="EW323:EW324"/>
    <mergeCell ref="FU313:FU314"/>
    <mergeCell ref="AN313:AN314"/>
    <mergeCell ref="AO313:AO314"/>
    <mergeCell ref="AP313:AP314"/>
    <mergeCell ref="J312:J315"/>
    <mergeCell ref="Q312:Q315"/>
    <mergeCell ref="V312:AF312"/>
    <mergeCell ref="AG312:FT312"/>
    <mergeCell ref="K313:K314"/>
    <mergeCell ref="AQ313:AQ314"/>
    <mergeCell ref="AY313:AY314"/>
    <mergeCell ref="AZ313:AZ314"/>
    <mergeCell ref="BA313:BA314"/>
    <mergeCell ref="BB313:BB314"/>
    <mergeCell ref="BJ313:BJ314"/>
    <mergeCell ref="BK313:BK314"/>
    <mergeCell ref="BL313:BL314"/>
    <mergeCell ref="BM313:BM314"/>
    <mergeCell ref="BU313:BU314"/>
    <mergeCell ref="BV313:BV314"/>
    <mergeCell ref="BW313:BW314"/>
    <mergeCell ref="BX313:BX314"/>
    <mergeCell ref="CF313:CF314"/>
    <mergeCell ref="CG313:CG314"/>
    <mergeCell ref="CH313:CH314"/>
    <mergeCell ref="CI313:CI314"/>
    <mergeCell ref="CQ313:CQ314"/>
    <mergeCell ref="CR313:CR314"/>
    <mergeCell ref="CS313:CS314"/>
    <mergeCell ref="CT313:CT314"/>
    <mergeCell ref="DB313:DB314"/>
    <mergeCell ref="DC313:DC314"/>
    <mergeCell ref="FU301:FU302"/>
    <mergeCell ref="AN301:AN302"/>
    <mergeCell ref="AO301:AO302"/>
    <mergeCell ref="AP301:AP302"/>
    <mergeCell ref="J300:J303"/>
    <mergeCell ref="Q300:Q303"/>
    <mergeCell ref="V300:AF300"/>
    <mergeCell ref="AG300:FT300"/>
    <mergeCell ref="K301:K302"/>
    <mergeCell ref="AQ301:AQ302"/>
    <mergeCell ref="AY301:AY302"/>
    <mergeCell ref="AZ301:AZ302"/>
    <mergeCell ref="BA301:BA302"/>
    <mergeCell ref="BB301:BB302"/>
    <mergeCell ref="BJ301:BJ302"/>
    <mergeCell ref="BK301:BK302"/>
    <mergeCell ref="BL301:BL302"/>
    <mergeCell ref="BM301:BM302"/>
    <mergeCell ref="BU301:BU302"/>
    <mergeCell ref="BV301:BV302"/>
    <mergeCell ref="BW301:BW302"/>
    <mergeCell ref="BX301:BX302"/>
    <mergeCell ref="CF301:CF302"/>
    <mergeCell ref="CG301:CG302"/>
    <mergeCell ref="CH301:CH302"/>
    <mergeCell ref="CI301:CI302"/>
    <mergeCell ref="CQ301:CQ302"/>
    <mergeCell ref="CR301:CR302"/>
    <mergeCell ref="CS301:CS302"/>
    <mergeCell ref="CT301:CT302"/>
    <mergeCell ref="DB301:DB302"/>
    <mergeCell ref="DC301:DC302"/>
    <mergeCell ref="FU287:FU288"/>
    <mergeCell ref="AN287:AN288"/>
    <mergeCell ref="AO287:AO288"/>
    <mergeCell ref="AP287:AP288"/>
    <mergeCell ref="J286:J289"/>
    <mergeCell ref="Q286:Q289"/>
    <mergeCell ref="V286:AF286"/>
    <mergeCell ref="AG286:FT286"/>
    <mergeCell ref="K287:K288"/>
    <mergeCell ref="AQ287:AQ288"/>
    <mergeCell ref="AY287:AY288"/>
    <mergeCell ref="AZ287:AZ288"/>
    <mergeCell ref="BA287:BA288"/>
    <mergeCell ref="BB287:BB288"/>
    <mergeCell ref="BJ287:BJ288"/>
    <mergeCell ref="BK287:BK288"/>
    <mergeCell ref="BL287:BL288"/>
    <mergeCell ref="BM287:BM288"/>
    <mergeCell ref="BU287:BU288"/>
    <mergeCell ref="BV287:BV288"/>
    <mergeCell ref="BW287:BW288"/>
    <mergeCell ref="BX287:BX288"/>
    <mergeCell ref="CF287:CF288"/>
    <mergeCell ref="CG287:CG288"/>
    <mergeCell ref="CH287:CH288"/>
    <mergeCell ref="CI287:CI288"/>
    <mergeCell ref="CQ287:CQ288"/>
    <mergeCell ref="CR287:CR288"/>
    <mergeCell ref="CS287:CS288"/>
    <mergeCell ref="CT287:CT288"/>
    <mergeCell ref="DB287:DB288"/>
    <mergeCell ref="DC287:DC288"/>
    <mergeCell ref="BW273:BW274"/>
    <mergeCell ref="BX273:BX274"/>
    <mergeCell ref="CF273:CF274"/>
    <mergeCell ref="CG273:CG274"/>
    <mergeCell ref="CH273:CH274"/>
    <mergeCell ref="CI273:CI274"/>
    <mergeCell ref="CQ273:CQ274"/>
    <mergeCell ref="CR273:CR274"/>
    <mergeCell ref="CS273:CS274"/>
    <mergeCell ref="CT273:CT274"/>
    <mergeCell ref="DB273:DB274"/>
    <mergeCell ref="DC273:DC274"/>
    <mergeCell ref="DD273:DD274"/>
    <mergeCell ref="DE273:DE274"/>
    <mergeCell ref="DM273:DM274"/>
    <mergeCell ref="DN273:DN274"/>
    <mergeCell ref="DO273:DO274"/>
    <mergeCell ref="DM259:DM260"/>
    <mergeCell ref="DN259:DN260"/>
    <mergeCell ref="DO259:DO260"/>
    <mergeCell ref="DP259:DP260"/>
    <mergeCell ref="DX259:DX260"/>
    <mergeCell ref="DY259:DY260"/>
    <mergeCell ref="DZ259:DZ260"/>
    <mergeCell ref="EA259:EA260"/>
    <mergeCell ref="EI259:EI260"/>
    <mergeCell ref="EJ259:EJ260"/>
    <mergeCell ref="EK259:EK260"/>
    <mergeCell ref="EL259:EL260"/>
    <mergeCell ref="FU273:FU274"/>
    <mergeCell ref="AN273:AN274"/>
    <mergeCell ref="AO273:AO274"/>
    <mergeCell ref="AP273:AP274"/>
    <mergeCell ref="J272:J275"/>
    <mergeCell ref="Q272:Q275"/>
    <mergeCell ref="V272:AF272"/>
    <mergeCell ref="AG272:FT272"/>
    <mergeCell ref="K273:K274"/>
    <mergeCell ref="AQ273:AQ274"/>
    <mergeCell ref="AY273:AY274"/>
    <mergeCell ref="AZ273:AZ274"/>
    <mergeCell ref="BA273:BA274"/>
    <mergeCell ref="BB273:BB274"/>
    <mergeCell ref="BJ273:BJ274"/>
    <mergeCell ref="BK273:BK274"/>
    <mergeCell ref="BL273:BL274"/>
    <mergeCell ref="BM273:BM274"/>
    <mergeCell ref="BU273:BU274"/>
    <mergeCell ref="BV273:BV274"/>
    <mergeCell ref="FU259:FU260"/>
    <mergeCell ref="AN259:AN260"/>
    <mergeCell ref="AO259:AO260"/>
    <mergeCell ref="AP259:AP260"/>
    <mergeCell ref="J258:J261"/>
    <mergeCell ref="Q258:Q261"/>
    <mergeCell ref="V258:AF258"/>
    <mergeCell ref="AG258:FT258"/>
    <mergeCell ref="K259:K260"/>
    <mergeCell ref="AQ259:AQ260"/>
    <mergeCell ref="AY259:AY260"/>
    <mergeCell ref="AZ259:AZ260"/>
    <mergeCell ref="BA259:BA260"/>
    <mergeCell ref="BB259:BB260"/>
    <mergeCell ref="BJ259:BJ260"/>
    <mergeCell ref="BK259:BK260"/>
    <mergeCell ref="BL259:BL260"/>
    <mergeCell ref="BM259:BM260"/>
    <mergeCell ref="BU259:BU260"/>
    <mergeCell ref="BV259:BV260"/>
    <mergeCell ref="BW259:BW260"/>
    <mergeCell ref="BX259:BX260"/>
    <mergeCell ref="CF259:CF260"/>
    <mergeCell ref="CG259:CG260"/>
    <mergeCell ref="CH259:CH260"/>
    <mergeCell ref="CI259:CI260"/>
    <mergeCell ref="CQ259:CQ260"/>
    <mergeCell ref="CR259:CR260"/>
    <mergeCell ref="CS259:CS260"/>
    <mergeCell ref="CT259:CT260"/>
    <mergeCell ref="DB259:DB260"/>
    <mergeCell ref="DC259:DC260"/>
    <mergeCell ref="EL231:EL232"/>
    <mergeCell ref="FU245:FU246"/>
    <mergeCell ref="AN245:AN246"/>
    <mergeCell ref="AO245:AO246"/>
    <mergeCell ref="AP245:AP246"/>
    <mergeCell ref="J244:J247"/>
    <mergeCell ref="Q244:Q247"/>
    <mergeCell ref="V244:AF244"/>
    <mergeCell ref="AG244:FT244"/>
    <mergeCell ref="K245:K246"/>
    <mergeCell ref="AQ245:AQ246"/>
    <mergeCell ref="AY245:AY246"/>
    <mergeCell ref="AZ245:AZ246"/>
    <mergeCell ref="BA245:BA246"/>
    <mergeCell ref="BB245:BB246"/>
    <mergeCell ref="BJ245:BJ246"/>
    <mergeCell ref="BK245:BK246"/>
    <mergeCell ref="BL245:BL246"/>
    <mergeCell ref="BM245:BM246"/>
    <mergeCell ref="BU245:BU246"/>
    <mergeCell ref="BV245:BV246"/>
    <mergeCell ref="BW245:BW246"/>
    <mergeCell ref="BX245:BX246"/>
    <mergeCell ref="CF245:CF246"/>
    <mergeCell ref="CG245:CG246"/>
    <mergeCell ref="CH245:CH246"/>
    <mergeCell ref="CI245:CI246"/>
    <mergeCell ref="CQ245:CQ246"/>
    <mergeCell ref="CR245:CR246"/>
    <mergeCell ref="CS245:CS246"/>
    <mergeCell ref="CT245:CT246"/>
    <mergeCell ref="DB245:DB246"/>
    <mergeCell ref="DM197:DM198"/>
    <mergeCell ref="DN197:DN198"/>
    <mergeCell ref="DO197:DO198"/>
    <mergeCell ref="DP197:DP198"/>
    <mergeCell ref="DX197:DX198"/>
    <mergeCell ref="DY197:DY198"/>
    <mergeCell ref="DZ197:DZ198"/>
    <mergeCell ref="EA197:EA198"/>
    <mergeCell ref="EI197:EI198"/>
    <mergeCell ref="EJ197:EJ198"/>
    <mergeCell ref="EK197:EK198"/>
    <mergeCell ref="EL197:EL198"/>
    <mergeCell ref="FU209:FU210"/>
    <mergeCell ref="AN209:AN210"/>
    <mergeCell ref="AO209:AO210"/>
    <mergeCell ref="AP209:AP210"/>
    <mergeCell ref="J208:J211"/>
    <mergeCell ref="Q208:Q211"/>
    <mergeCell ref="V208:AF208"/>
    <mergeCell ref="AG208:FT208"/>
    <mergeCell ref="K209:K210"/>
    <mergeCell ref="AQ209:AQ210"/>
    <mergeCell ref="AY209:AY210"/>
    <mergeCell ref="AZ209:AZ210"/>
    <mergeCell ref="BA209:BA210"/>
    <mergeCell ref="BB209:BB210"/>
    <mergeCell ref="BJ209:BJ210"/>
    <mergeCell ref="BK209:BK210"/>
    <mergeCell ref="BL209:BL210"/>
    <mergeCell ref="BM209:BM210"/>
    <mergeCell ref="BU209:BU210"/>
    <mergeCell ref="BV209:BV210"/>
    <mergeCell ref="EI183:EI184"/>
    <mergeCell ref="EJ183:EJ184"/>
    <mergeCell ref="EK183:EK184"/>
    <mergeCell ref="EL183:EL184"/>
    <mergeCell ref="FU197:FU198"/>
    <mergeCell ref="AN197:AN198"/>
    <mergeCell ref="AO197:AO198"/>
    <mergeCell ref="AP197:AP198"/>
    <mergeCell ref="J196:J199"/>
    <mergeCell ref="Q196:Q199"/>
    <mergeCell ref="V196:AF196"/>
    <mergeCell ref="AG196:FT196"/>
    <mergeCell ref="K197:K198"/>
    <mergeCell ref="AQ197:AQ198"/>
    <mergeCell ref="AY197:AY198"/>
    <mergeCell ref="AZ197:AZ198"/>
    <mergeCell ref="BA197:BA198"/>
    <mergeCell ref="BB197:BB198"/>
    <mergeCell ref="BJ197:BJ198"/>
    <mergeCell ref="BK197:BK198"/>
    <mergeCell ref="BL197:BL198"/>
    <mergeCell ref="BM197:BM198"/>
    <mergeCell ref="BU197:BU198"/>
    <mergeCell ref="BV197:BV198"/>
    <mergeCell ref="BW197:BW198"/>
    <mergeCell ref="BX197:BX198"/>
    <mergeCell ref="CF197:CF198"/>
    <mergeCell ref="CG197:CG198"/>
    <mergeCell ref="CH197:CH198"/>
    <mergeCell ref="CI197:CI198"/>
    <mergeCell ref="CQ197:CQ198"/>
    <mergeCell ref="CR197:CR198"/>
    <mergeCell ref="CI183:CI184"/>
    <mergeCell ref="CQ183:CQ184"/>
    <mergeCell ref="CR183:CR184"/>
    <mergeCell ref="CS183:CS184"/>
    <mergeCell ref="CT183:CT184"/>
    <mergeCell ref="DB183:DB184"/>
    <mergeCell ref="DC183:DC184"/>
    <mergeCell ref="DD183:DD184"/>
    <mergeCell ref="DE183:DE184"/>
    <mergeCell ref="DM183:DM184"/>
    <mergeCell ref="DN183:DN184"/>
    <mergeCell ref="DO183:DO184"/>
    <mergeCell ref="DP183:DP184"/>
    <mergeCell ref="DX183:DX184"/>
    <mergeCell ref="DY183:DY184"/>
    <mergeCell ref="DZ183:DZ184"/>
    <mergeCell ref="EA183:EA184"/>
    <mergeCell ref="DD169:DD170"/>
    <mergeCell ref="DE169:DE170"/>
    <mergeCell ref="DM169:DM170"/>
    <mergeCell ref="DN169:DN170"/>
    <mergeCell ref="DO169:DO170"/>
    <mergeCell ref="DP169:DP170"/>
    <mergeCell ref="DX169:DX170"/>
    <mergeCell ref="DY169:DY170"/>
    <mergeCell ref="DZ169:DZ170"/>
    <mergeCell ref="EA169:EA170"/>
    <mergeCell ref="EI169:EI170"/>
    <mergeCell ref="EJ169:EJ170"/>
    <mergeCell ref="EK169:EK170"/>
    <mergeCell ref="EL169:EL170"/>
    <mergeCell ref="FU183:FU184"/>
    <mergeCell ref="AN183:AN184"/>
    <mergeCell ref="AO183:AO184"/>
    <mergeCell ref="AP183:AP184"/>
    <mergeCell ref="AG182:FT182"/>
    <mergeCell ref="AQ183:AQ184"/>
    <mergeCell ref="AY183:AY184"/>
    <mergeCell ref="AZ183:AZ184"/>
    <mergeCell ref="BA183:BA184"/>
    <mergeCell ref="BB183:BB184"/>
    <mergeCell ref="BJ183:BJ184"/>
    <mergeCell ref="BK183:BK184"/>
    <mergeCell ref="BL183:BL184"/>
    <mergeCell ref="BM183:BM184"/>
    <mergeCell ref="BU183:BU184"/>
    <mergeCell ref="BV183:BV184"/>
    <mergeCell ref="BW183:BW184"/>
    <mergeCell ref="BX183:BX184"/>
    <mergeCell ref="K169:K170"/>
    <mergeCell ref="AQ169:AQ170"/>
    <mergeCell ref="AY169:AY170"/>
    <mergeCell ref="AZ169:AZ170"/>
    <mergeCell ref="BA169:BA170"/>
    <mergeCell ref="BB169:BB170"/>
    <mergeCell ref="BJ169:BJ170"/>
    <mergeCell ref="BK169:BK170"/>
    <mergeCell ref="BL169:BL170"/>
    <mergeCell ref="BM169:BM170"/>
    <mergeCell ref="BU169:BU170"/>
    <mergeCell ref="BV169:BV170"/>
    <mergeCell ref="BW169:BW170"/>
    <mergeCell ref="BX169:BX170"/>
    <mergeCell ref="CF169:CF170"/>
    <mergeCell ref="CG169:CG170"/>
    <mergeCell ref="CH169:CH170"/>
    <mergeCell ref="DM135:DM136"/>
    <mergeCell ref="DN135:DN136"/>
    <mergeCell ref="DO135:DO136"/>
    <mergeCell ref="DP135:DP136"/>
    <mergeCell ref="DX135:DX136"/>
    <mergeCell ref="DY135:DY136"/>
    <mergeCell ref="DZ135:DZ136"/>
    <mergeCell ref="EA135:EA136"/>
    <mergeCell ref="EI135:EI136"/>
    <mergeCell ref="EJ135:EJ136"/>
    <mergeCell ref="EK135:EK136"/>
    <mergeCell ref="EL135:EL136"/>
    <mergeCell ref="FU149:FU150"/>
    <mergeCell ref="AN149:AN150"/>
    <mergeCell ref="AO149:AO150"/>
    <mergeCell ref="AP149:AP150"/>
    <mergeCell ref="J148:J151"/>
    <mergeCell ref="Q148:Q151"/>
    <mergeCell ref="V148:AF148"/>
    <mergeCell ref="AG148:FT148"/>
    <mergeCell ref="K149:K150"/>
    <mergeCell ref="AQ149:AQ150"/>
    <mergeCell ref="AY149:AY150"/>
    <mergeCell ref="AZ149:AZ150"/>
    <mergeCell ref="BA149:BA150"/>
    <mergeCell ref="BB149:BB150"/>
    <mergeCell ref="BJ149:BJ150"/>
    <mergeCell ref="BK149:BK150"/>
    <mergeCell ref="BL149:BL150"/>
    <mergeCell ref="BM149:BM150"/>
    <mergeCell ref="BU149:BU150"/>
    <mergeCell ref="BV149:BV150"/>
    <mergeCell ref="DX121:DX122"/>
    <mergeCell ref="DY121:DY122"/>
    <mergeCell ref="DZ121:DZ122"/>
    <mergeCell ref="EA121:EA122"/>
    <mergeCell ref="EI121:EI122"/>
    <mergeCell ref="EJ121:EJ122"/>
    <mergeCell ref="EK121:EK122"/>
    <mergeCell ref="EL121:EL122"/>
    <mergeCell ref="FU135:FU136"/>
    <mergeCell ref="AN135:AN136"/>
    <mergeCell ref="AO135:AO136"/>
    <mergeCell ref="AP135:AP136"/>
    <mergeCell ref="J134:J137"/>
    <mergeCell ref="Q134:Q137"/>
    <mergeCell ref="V134:AF134"/>
    <mergeCell ref="AG134:FT134"/>
    <mergeCell ref="K135:K136"/>
    <mergeCell ref="AQ135:AQ136"/>
    <mergeCell ref="AY135:AY136"/>
    <mergeCell ref="AZ135:AZ136"/>
    <mergeCell ref="BA135:BA136"/>
    <mergeCell ref="BB135:BB136"/>
    <mergeCell ref="BJ135:BJ136"/>
    <mergeCell ref="BK135:BK136"/>
    <mergeCell ref="BL135:BL136"/>
    <mergeCell ref="BM135:BM136"/>
    <mergeCell ref="BU135:BU136"/>
    <mergeCell ref="BV135:BV136"/>
    <mergeCell ref="BW135:BW136"/>
    <mergeCell ref="BX135:BX136"/>
    <mergeCell ref="CF135:CF136"/>
    <mergeCell ref="CG135:CG136"/>
    <mergeCell ref="FG95:FG96"/>
    <mergeCell ref="FH95:FH96"/>
    <mergeCell ref="FU121:FU122"/>
    <mergeCell ref="AN121:AN122"/>
    <mergeCell ref="AO121:AO122"/>
    <mergeCell ref="AP121:AP122"/>
    <mergeCell ref="J120:J123"/>
    <mergeCell ref="Q120:Q123"/>
    <mergeCell ref="V120:AF120"/>
    <mergeCell ref="AG120:FT120"/>
    <mergeCell ref="K121:K122"/>
    <mergeCell ref="AQ121:AQ122"/>
    <mergeCell ref="AY121:AY122"/>
    <mergeCell ref="AZ121:AZ122"/>
    <mergeCell ref="BA121:BA122"/>
    <mergeCell ref="BB121:BB122"/>
    <mergeCell ref="BJ121:BJ122"/>
    <mergeCell ref="BK121:BK122"/>
    <mergeCell ref="BL121:BL122"/>
    <mergeCell ref="BM121:BM122"/>
    <mergeCell ref="BU121:BU122"/>
    <mergeCell ref="BV121:BV122"/>
    <mergeCell ref="BW121:BW122"/>
    <mergeCell ref="BX121:BX122"/>
    <mergeCell ref="CF121:CF122"/>
    <mergeCell ref="CG121:CG122"/>
    <mergeCell ref="CH121:CH122"/>
    <mergeCell ref="CI121:CI122"/>
    <mergeCell ref="CQ121:CQ122"/>
    <mergeCell ref="CR121:CR122"/>
    <mergeCell ref="CS121:CS122"/>
    <mergeCell ref="CT121:CT122"/>
    <mergeCell ref="V94:AF94"/>
    <mergeCell ref="AG94:FT94"/>
    <mergeCell ref="K95:K96"/>
    <mergeCell ref="AQ95:AQ96"/>
    <mergeCell ref="AY95:AY96"/>
    <mergeCell ref="AZ95:AZ96"/>
    <mergeCell ref="BA95:BA96"/>
    <mergeCell ref="BB95:BB96"/>
    <mergeCell ref="BJ95:BJ96"/>
    <mergeCell ref="BK95:BK96"/>
    <mergeCell ref="BL95:BL96"/>
    <mergeCell ref="BM95:BM96"/>
    <mergeCell ref="BU95:BU96"/>
    <mergeCell ref="BV95:BV96"/>
    <mergeCell ref="BW95:BW96"/>
    <mergeCell ref="BX95:BX96"/>
    <mergeCell ref="CF95:CF96"/>
    <mergeCell ref="CG95:CG96"/>
    <mergeCell ref="CH95:CH96"/>
    <mergeCell ref="CI95:CI96"/>
    <mergeCell ref="CQ95:CQ96"/>
    <mergeCell ref="CR95:CR96"/>
    <mergeCell ref="CS95:CS96"/>
    <mergeCell ref="CT95:CT96"/>
    <mergeCell ref="DB95:DB96"/>
    <mergeCell ref="DC95:DC96"/>
    <mergeCell ref="DD95:DD96"/>
    <mergeCell ref="DE95:DE96"/>
    <mergeCell ref="DM95:DM96"/>
    <mergeCell ref="DN95:DN96"/>
    <mergeCell ref="DO95:DO96"/>
    <mergeCell ref="DP95:DP96"/>
    <mergeCell ref="DD75:DD76"/>
    <mergeCell ref="DE75:DE76"/>
    <mergeCell ref="DM75:DM76"/>
    <mergeCell ref="DN75:DN76"/>
    <mergeCell ref="DO75:DO76"/>
    <mergeCell ref="DP75:DP76"/>
    <mergeCell ref="DX75:DX76"/>
    <mergeCell ref="DY75:DY76"/>
    <mergeCell ref="DZ75:DZ76"/>
    <mergeCell ref="EA75:EA76"/>
    <mergeCell ref="EI75:EI76"/>
    <mergeCell ref="EJ75:EJ76"/>
    <mergeCell ref="EK75:EK76"/>
    <mergeCell ref="EL75:EL76"/>
    <mergeCell ref="FU95:FU96"/>
    <mergeCell ref="AN95:AN96"/>
    <mergeCell ref="AO95:AO96"/>
    <mergeCell ref="AP95:AP96"/>
    <mergeCell ref="DX95:DX96"/>
    <mergeCell ref="DY95:DY96"/>
    <mergeCell ref="DZ95:DZ96"/>
    <mergeCell ref="EA95:EA96"/>
    <mergeCell ref="EI95:EI96"/>
    <mergeCell ref="EJ95:EJ96"/>
    <mergeCell ref="EK95:EK96"/>
    <mergeCell ref="EL95:EL96"/>
    <mergeCell ref="ET95:ET96"/>
    <mergeCell ref="EU95:EU96"/>
    <mergeCell ref="EV95:EV96"/>
    <mergeCell ref="EW95:EW96"/>
    <mergeCell ref="FE95:FE96"/>
    <mergeCell ref="FF95:FF96"/>
    <mergeCell ref="FU75:FU76"/>
    <mergeCell ref="AN75:AN76"/>
    <mergeCell ref="AO75:AO76"/>
    <mergeCell ref="AP75:AP76"/>
    <mergeCell ref="J74:J77"/>
    <mergeCell ref="Q74:Q77"/>
    <mergeCell ref="V74:AF74"/>
    <mergeCell ref="AG74:FT74"/>
    <mergeCell ref="K75:K76"/>
    <mergeCell ref="AQ75:AQ76"/>
    <mergeCell ref="AY75:AY76"/>
    <mergeCell ref="AZ75:AZ76"/>
    <mergeCell ref="BA75:BA76"/>
    <mergeCell ref="BB75:BB76"/>
    <mergeCell ref="BJ75:BJ76"/>
    <mergeCell ref="BK75:BK76"/>
    <mergeCell ref="BL75:BL76"/>
    <mergeCell ref="BM75:BM76"/>
    <mergeCell ref="BU75:BU76"/>
    <mergeCell ref="BV75:BV76"/>
    <mergeCell ref="BW75:BW76"/>
    <mergeCell ref="BX75:BX76"/>
    <mergeCell ref="CF75:CF76"/>
    <mergeCell ref="CG75:CG76"/>
    <mergeCell ref="CH75:CH76"/>
    <mergeCell ref="CI75:CI76"/>
    <mergeCell ref="CQ75:CQ76"/>
    <mergeCell ref="CR75:CR76"/>
    <mergeCell ref="CS75:CS76"/>
    <mergeCell ref="CT75:CT76"/>
    <mergeCell ref="DB75:DB76"/>
    <mergeCell ref="DC75:DC76"/>
    <mergeCell ref="J62:J65"/>
    <mergeCell ref="Q62:Q65"/>
    <mergeCell ref="V62:AF62"/>
    <mergeCell ref="AG62:FT62"/>
    <mergeCell ref="K63:K64"/>
    <mergeCell ref="AQ63:AQ64"/>
    <mergeCell ref="AY63:AY64"/>
    <mergeCell ref="AZ63:AZ64"/>
    <mergeCell ref="BA63:BA64"/>
    <mergeCell ref="BB63:BB64"/>
    <mergeCell ref="BJ63:BJ64"/>
    <mergeCell ref="BK63:BK64"/>
    <mergeCell ref="BL63:BL64"/>
    <mergeCell ref="BM63:BM64"/>
    <mergeCell ref="BU63:BU64"/>
    <mergeCell ref="BV63:BV64"/>
    <mergeCell ref="BW63:BW64"/>
    <mergeCell ref="BX63:BX64"/>
    <mergeCell ref="CF63:CF64"/>
    <mergeCell ref="CG63:CG64"/>
    <mergeCell ref="CH63:CH64"/>
    <mergeCell ref="CI63:CI64"/>
    <mergeCell ref="CQ63:CQ64"/>
    <mergeCell ref="CR63:CR64"/>
    <mergeCell ref="CS63:CS64"/>
    <mergeCell ref="CT63:CT64"/>
    <mergeCell ref="DB63:DB64"/>
    <mergeCell ref="DC63:DC64"/>
    <mergeCell ref="DD63:DD64"/>
    <mergeCell ref="DE63:DE64"/>
    <mergeCell ref="DM63:DM64"/>
    <mergeCell ref="DN63:DN64"/>
    <mergeCell ref="DD51:DD52"/>
    <mergeCell ref="DE51:DE52"/>
    <mergeCell ref="DM51:DM52"/>
    <mergeCell ref="DN51:DN52"/>
    <mergeCell ref="DO51:DO52"/>
    <mergeCell ref="DP51:DP52"/>
    <mergeCell ref="DX51:DX52"/>
    <mergeCell ref="DY51:DY52"/>
    <mergeCell ref="DZ51:DZ52"/>
    <mergeCell ref="EA51:EA52"/>
    <mergeCell ref="EI51:EI52"/>
    <mergeCell ref="EJ51:EJ52"/>
    <mergeCell ref="EK51:EK52"/>
    <mergeCell ref="EL51:EL52"/>
    <mergeCell ref="FU63:FU64"/>
    <mergeCell ref="AN63:AN64"/>
    <mergeCell ref="AO63:AO64"/>
    <mergeCell ref="AP63:AP64"/>
    <mergeCell ref="DO63:DO64"/>
    <mergeCell ref="DP63:DP64"/>
    <mergeCell ref="DX63:DX64"/>
    <mergeCell ref="DY63:DY64"/>
    <mergeCell ref="DZ63:DZ64"/>
    <mergeCell ref="EA63:EA64"/>
    <mergeCell ref="EI63:EI64"/>
    <mergeCell ref="EJ63:EJ64"/>
    <mergeCell ref="EK63:EK64"/>
    <mergeCell ref="EL63:EL64"/>
    <mergeCell ref="ET51:ET52"/>
    <mergeCell ref="EU51:EU52"/>
    <mergeCell ref="EV51:EV52"/>
    <mergeCell ref="EW51:EW52"/>
    <mergeCell ref="FU51:FU52"/>
    <mergeCell ref="AN51:AN52"/>
    <mergeCell ref="AO51:AO52"/>
    <mergeCell ref="AP51:AP52"/>
    <mergeCell ref="J50:J53"/>
    <mergeCell ref="Q50:Q53"/>
    <mergeCell ref="V50:AF50"/>
    <mergeCell ref="AG50:FT50"/>
    <mergeCell ref="K51:K52"/>
    <mergeCell ref="AQ51:AQ52"/>
    <mergeCell ref="AY51:AY52"/>
    <mergeCell ref="AZ51:AZ52"/>
    <mergeCell ref="BA51:BA52"/>
    <mergeCell ref="BB51:BB52"/>
    <mergeCell ref="BJ51:BJ52"/>
    <mergeCell ref="BK51:BK52"/>
    <mergeCell ref="BL51:BL52"/>
    <mergeCell ref="BM51:BM52"/>
    <mergeCell ref="BU51:BU52"/>
    <mergeCell ref="BV51:BV52"/>
    <mergeCell ref="BW51:BW52"/>
    <mergeCell ref="BX51:BX52"/>
    <mergeCell ref="CF51:CF52"/>
    <mergeCell ref="CG51:CG52"/>
    <mergeCell ref="CH51:CH52"/>
    <mergeCell ref="CI51:CI52"/>
    <mergeCell ref="CQ51:CQ52"/>
    <mergeCell ref="CR51:CR52"/>
    <mergeCell ref="CS51:CS52"/>
    <mergeCell ref="CT51:CT52"/>
    <mergeCell ref="DB51:DB52"/>
    <mergeCell ref="DC51:DC52"/>
    <mergeCell ref="EX38:EX40"/>
    <mergeCell ref="FF41:FG41"/>
    <mergeCell ref="FE7:FE8"/>
    <mergeCell ref="FF7:FF8"/>
    <mergeCell ref="FG7:FG8"/>
    <mergeCell ref="FH7:FH8"/>
    <mergeCell ref="EX27:FG27"/>
    <mergeCell ref="EX28:FG28"/>
    <mergeCell ref="EX29:FG29"/>
    <mergeCell ref="EX30:FG30"/>
    <mergeCell ref="EX32:FG32"/>
    <mergeCell ref="EX33:FG33"/>
    <mergeCell ref="EX35:FH35"/>
    <mergeCell ref="EX37:FG37"/>
    <mergeCell ref="FH37:FH40"/>
    <mergeCell ref="EY38:FA38"/>
    <mergeCell ref="FB38:FD38"/>
    <mergeCell ref="FE38:FG39"/>
    <mergeCell ref="EY39:EY40"/>
    <mergeCell ref="EZ39:FA39"/>
    <mergeCell ref="FB39:FB40"/>
    <mergeCell ref="FC39:FD39"/>
    <mergeCell ref="FF40:FG40"/>
    <mergeCell ref="EL393:EL394"/>
    <mergeCell ref="EI407:EI408"/>
    <mergeCell ref="EJ407:EJ408"/>
    <mergeCell ref="EK407:EK408"/>
    <mergeCell ref="EL407:EL408"/>
    <mergeCell ref="EI421:EI422"/>
    <mergeCell ref="EJ421:EJ422"/>
    <mergeCell ref="EK421:EK422"/>
    <mergeCell ref="EL421:EL422"/>
    <mergeCell ref="EM38:EM40"/>
    <mergeCell ref="EU41:EV41"/>
    <mergeCell ref="ET7:ET8"/>
    <mergeCell ref="EU7:EU8"/>
    <mergeCell ref="EV7:EV8"/>
    <mergeCell ref="EW7:EW8"/>
    <mergeCell ref="EM27:EV27"/>
    <mergeCell ref="EM28:EV28"/>
    <mergeCell ref="EM29:EV29"/>
    <mergeCell ref="EM30:EV30"/>
    <mergeCell ref="EM32:EV32"/>
    <mergeCell ref="EM33:EV33"/>
    <mergeCell ref="EM35:EW35"/>
    <mergeCell ref="EM37:EV37"/>
    <mergeCell ref="EW37:EW40"/>
    <mergeCell ref="EN38:EP38"/>
    <mergeCell ref="EQ38:ES38"/>
    <mergeCell ref="ET38:EV39"/>
    <mergeCell ref="EN39:EN40"/>
    <mergeCell ref="EO39:EP39"/>
    <mergeCell ref="EQ39:EQ40"/>
    <mergeCell ref="ER39:ES39"/>
    <mergeCell ref="EU40:EV40"/>
    <mergeCell ref="EL323:EL324"/>
    <mergeCell ref="EI337:EI338"/>
    <mergeCell ref="EJ337:EJ338"/>
    <mergeCell ref="EK337:EK338"/>
    <mergeCell ref="EL337:EL338"/>
    <mergeCell ref="EI351:EI352"/>
    <mergeCell ref="EJ351:EJ352"/>
    <mergeCell ref="EK351:EK352"/>
    <mergeCell ref="EL351:EL352"/>
    <mergeCell ref="EI365:EI366"/>
    <mergeCell ref="EJ365:EJ366"/>
    <mergeCell ref="EK365:EK366"/>
    <mergeCell ref="EL365:EL366"/>
    <mergeCell ref="EI379:EI380"/>
    <mergeCell ref="EJ379:EJ380"/>
    <mergeCell ref="EK379:EK380"/>
    <mergeCell ref="EL379:EL380"/>
    <mergeCell ref="EI341:EI342"/>
    <mergeCell ref="EJ341:EJ342"/>
    <mergeCell ref="EK341:EK342"/>
    <mergeCell ref="EL341:EL342"/>
    <mergeCell ref="EI355:EI356"/>
    <mergeCell ref="EJ355:EJ356"/>
    <mergeCell ref="EK355:EK356"/>
    <mergeCell ref="EL355:EL356"/>
    <mergeCell ref="EI369:EI370"/>
    <mergeCell ref="EJ369:EJ370"/>
    <mergeCell ref="EK369:EK370"/>
    <mergeCell ref="EL369:EL370"/>
    <mergeCell ref="EI255:EI256"/>
    <mergeCell ref="EJ255:EJ256"/>
    <mergeCell ref="EK255:EK256"/>
    <mergeCell ref="EL255:EL256"/>
    <mergeCell ref="EI269:EI270"/>
    <mergeCell ref="EJ269:EJ270"/>
    <mergeCell ref="EK269:EK270"/>
    <mergeCell ref="EL269:EL270"/>
    <mergeCell ref="EI283:EI284"/>
    <mergeCell ref="EJ283:EJ284"/>
    <mergeCell ref="EK283:EK284"/>
    <mergeCell ref="EL283:EL284"/>
    <mergeCell ref="EI297:EI298"/>
    <mergeCell ref="EJ297:EJ298"/>
    <mergeCell ref="EK297:EK298"/>
    <mergeCell ref="EL297:EL298"/>
    <mergeCell ref="EI309:EI310"/>
    <mergeCell ref="EJ309:EJ310"/>
    <mergeCell ref="EK309:EK310"/>
    <mergeCell ref="EL309:EL310"/>
    <mergeCell ref="EI273:EI274"/>
    <mergeCell ref="EJ273:EJ274"/>
    <mergeCell ref="EK273:EK274"/>
    <mergeCell ref="EL273:EL274"/>
    <mergeCell ref="EI287:EI288"/>
    <mergeCell ref="EJ287:EJ288"/>
    <mergeCell ref="EK287:EK288"/>
    <mergeCell ref="EL287:EL288"/>
    <mergeCell ref="EI301:EI302"/>
    <mergeCell ref="EJ301:EJ302"/>
    <mergeCell ref="EK301:EK302"/>
    <mergeCell ref="EL301:EL302"/>
    <mergeCell ref="EI193:EI194"/>
    <mergeCell ref="EJ193:EJ194"/>
    <mergeCell ref="EK193:EK194"/>
    <mergeCell ref="EL193:EL194"/>
    <mergeCell ref="EI205:EI206"/>
    <mergeCell ref="EJ205:EJ206"/>
    <mergeCell ref="EK205:EK206"/>
    <mergeCell ref="EL205:EL206"/>
    <mergeCell ref="EI217:EI218"/>
    <mergeCell ref="EJ217:EJ218"/>
    <mergeCell ref="EK217:EK218"/>
    <mergeCell ref="EL217:EL218"/>
    <mergeCell ref="EI227:EI228"/>
    <mergeCell ref="EJ227:EJ228"/>
    <mergeCell ref="EK227:EK228"/>
    <mergeCell ref="EL227:EL228"/>
    <mergeCell ref="EI241:EI242"/>
    <mergeCell ref="EJ241:EJ242"/>
    <mergeCell ref="EK241:EK242"/>
    <mergeCell ref="EL241:EL242"/>
    <mergeCell ref="EI209:EI210"/>
    <mergeCell ref="EJ209:EJ210"/>
    <mergeCell ref="EK209:EK210"/>
    <mergeCell ref="EL209:EL210"/>
    <mergeCell ref="AG230:FT230"/>
    <mergeCell ref="AQ231:AQ232"/>
    <mergeCell ref="AY231:AY232"/>
    <mergeCell ref="AZ231:AZ232"/>
    <mergeCell ref="BA231:BA232"/>
    <mergeCell ref="BB231:BB232"/>
    <mergeCell ref="BJ231:BJ232"/>
    <mergeCell ref="BK231:BK232"/>
    <mergeCell ref="EI131:EI132"/>
    <mergeCell ref="EJ131:EJ132"/>
    <mergeCell ref="EK131:EK132"/>
    <mergeCell ref="EL131:EL132"/>
    <mergeCell ref="EI145:EI146"/>
    <mergeCell ref="EJ145:EJ146"/>
    <mergeCell ref="EK145:EK146"/>
    <mergeCell ref="EL145:EL146"/>
    <mergeCell ref="EI157:EI158"/>
    <mergeCell ref="EJ157:EJ158"/>
    <mergeCell ref="EK157:EK158"/>
    <mergeCell ref="EL157:EL158"/>
    <mergeCell ref="EI165:EI166"/>
    <mergeCell ref="EJ165:EJ166"/>
    <mergeCell ref="EK165:EK166"/>
    <mergeCell ref="EL165:EL166"/>
    <mergeCell ref="EI179:EI180"/>
    <mergeCell ref="EJ179:EJ180"/>
    <mergeCell ref="EK179:EK180"/>
    <mergeCell ref="EL179:EL180"/>
    <mergeCell ref="EI149:EI150"/>
    <mergeCell ref="EJ149:EJ150"/>
    <mergeCell ref="EK149:EK150"/>
    <mergeCell ref="EL149:EL150"/>
    <mergeCell ref="AG168:FT168"/>
    <mergeCell ref="CI169:CI170"/>
    <mergeCell ref="CQ169:CQ170"/>
    <mergeCell ref="CR169:CR170"/>
    <mergeCell ref="CS169:CS170"/>
    <mergeCell ref="CT169:CT170"/>
    <mergeCell ref="DB169:DB170"/>
    <mergeCell ref="DC169:DC170"/>
    <mergeCell ref="EJ59:EJ60"/>
    <mergeCell ref="EK59:EK60"/>
    <mergeCell ref="EL59:EL60"/>
    <mergeCell ref="EI71:EI72"/>
    <mergeCell ref="EJ71:EJ72"/>
    <mergeCell ref="EK71:EK72"/>
    <mergeCell ref="EL71:EL72"/>
    <mergeCell ref="EI83:EI84"/>
    <mergeCell ref="EJ83:EJ84"/>
    <mergeCell ref="EK83:EK84"/>
    <mergeCell ref="EL83:EL84"/>
    <mergeCell ref="EI91:EI92"/>
    <mergeCell ref="EJ91:EJ92"/>
    <mergeCell ref="EK91:EK92"/>
    <mergeCell ref="EL91:EL92"/>
    <mergeCell ref="EI117:EI118"/>
    <mergeCell ref="EJ117:EJ118"/>
    <mergeCell ref="EK117:EK118"/>
    <mergeCell ref="EL117:EL118"/>
    <mergeCell ref="DX407:DX408"/>
    <mergeCell ref="DY407:DY408"/>
    <mergeCell ref="DZ407:DZ408"/>
    <mergeCell ref="EA407:EA408"/>
    <mergeCell ref="DX421:DX422"/>
    <mergeCell ref="DY421:DY422"/>
    <mergeCell ref="DZ421:DZ422"/>
    <mergeCell ref="EA421:EA422"/>
    <mergeCell ref="EB38:EB40"/>
    <mergeCell ref="EJ41:EK41"/>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C38:EE38"/>
    <mergeCell ref="EF38:EH38"/>
    <mergeCell ref="EI38:EK39"/>
    <mergeCell ref="EC39:EC40"/>
    <mergeCell ref="ED39:EE39"/>
    <mergeCell ref="EF39:EF40"/>
    <mergeCell ref="EG39:EH39"/>
    <mergeCell ref="EJ40:EK40"/>
    <mergeCell ref="EI59:EI60"/>
    <mergeCell ref="DX337:DX338"/>
    <mergeCell ref="DY337:DY338"/>
    <mergeCell ref="DZ337:DZ338"/>
    <mergeCell ref="EA337:EA338"/>
    <mergeCell ref="DX351:DX352"/>
    <mergeCell ref="DY351:DY352"/>
    <mergeCell ref="DZ351:DZ352"/>
    <mergeCell ref="EA351:EA352"/>
    <mergeCell ref="DX365:DX366"/>
    <mergeCell ref="DY365:DY366"/>
    <mergeCell ref="DZ365:DZ366"/>
    <mergeCell ref="EA365:EA366"/>
    <mergeCell ref="DX379:DX380"/>
    <mergeCell ref="DY379:DY380"/>
    <mergeCell ref="DZ379:DZ380"/>
    <mergeCell ref="EA379:EA380"/>
    <mergeCell ref="DX393:DX394"/>
    <mergeCell ref="DY393:DY394"/>
    <mergeCell ref="DZ393:DZ394"/>
    <mergeCell ref="EA393:EA394"/>
    <mergeCell ref="DX341:DX342"/>
    <mergeCell ref="DY341:DY342"/>
    <mergeCell ref="DZ341:DZ342"/>
    <mergeCell ref="EA341:EA342"/>
    <mergeCell ref="DX355:DX356"/>
    <mergeCell ref="DY355:DY356"/>
    <mergeCell ref="DZ355:DZ356"/>
    <mergeCell ref="EA355:EA356"/>
    <mergeCell ref="DX369:DX370"/>
    <mergeCell ref="DY369:DY370"/>
    <mergeCell ref="DZ369:DZ370"/>
    <mergeCell ref="EA369:EA370"/>
    <mergeCell ref="DX255:DX256"/>
    <mergeCell ref="DY255:DY256"/>
    <mergeCell ref="DZ255:DZ256"/>
    <mergeCell ref="EA255:EA256"/>
    <mergeCell ref="DX269:DX270"/>
    <mergeCell ref="DY269:DY270"/>
    <mergeCell ref="DZ269:DZ270"/>
    <mergeCell ref="EA269:EA270"/>
    <mergeCell ref="DX283:DX284"/>
    <mergeCell ref="DY283:DY284"/>
    <mergeCell ref="DZ283:DZ284"/>
    <mergeCell ref="EA283:EA284"/>
    <mergeCell ref="DX297:DX298"/>
    <mergeCell ref="DY297:DY298"/>
    <mergeCell ref="DZ297:DZ298"/>
    <mergeCell ref="EA297:EA298"/>
    <mergeCell ref="DX309:DX310"/>
    <mergeCell ref="DY309:DY310"/>
    <mergeCell ref="DZ309:DZ310"/>
    <mergeCell ref="EA309:EA310"/>
    <mergeCell ref="DX273:DX274"/>
    <mergeCell ref="DY273:DY274"/>
    <mergeCell ref="DZ273:DZ274"/>
    <mergeCell ref="EA273:EA274"/>
    <mergeCell ref="DX287:DX288"/>
    <mergeCell ref="DY287:DY288"/>
    <mergeCell ref="DZ287:DZ288"/>
    <mergeCell ref="EA287:EA288"/>
    <mergeCell ref="DX301:DX302"/>
    <mergeCell ref="DY301:DY302"/>
    <mergeCell ref="DZ301:DZ302"/>
    <mergeCell ref="EA301:EA302"/>
    <mergeCell ref="DX193:DX194"/>
    <mergeCell ref="DY193:DY194"/>
    <mergeCell ref="DZ193:DZ194"/>
    <mergeCell ref="EA193:EA194"/>
    <mergeCell ref="DX205:DX206"/>
    <mergeCell ref="DY205:DY206"/>
    <mergeCell ref="DZ205:DZ206"/>
    <mergeCell ref="EA205:EA206"/>
    <mergeCell ref="DX217:DX218"/>
    <mergeCell ref="DY217:DY218"/>
    <mergeCell ref="DZ217:DZ218"/>
    <mergeCell ref="EA217:EA218"/>
    <mergeCell ref="DX227:DX228"/>
    <mergeCell ref="DY227:DY228"/>
    <mergeCell ref="DZ227:DZ228"/>
    <mergeCell ref="EA227:EA228"/>
    <mergeCell ref="DX241:DX242"/>
    <mergeCell ref="DY241:DY242"/>
    <mergeCell ref="DZ241:DZ242"/>
    <mergeCell ref="EA241:EA242"/>
    <mergeCell ref="DX209:DX210"/>
    <mergeCell ref="DY209:DY210"/>
    <mergeCell ref="DZ209:DZ210"/>
    <mergeCell ref="EA209:EA210"/>
    <mergeCell ref="DX231:DX232"/>
    <mergeCell ref="DY231:DY232"/>
    <mergeCell ref="DZ231:DZ232"/>
    <mergeCell ref="EA231:EA232"/>
    <mergeCell ref="DX131:DX132"/>
    <mergeCell ref="DY131:DY132"/>
    <mergeCell ref="DZ131:DZ132"/>
    <mergeCell ref="EA131:EA132"/>
    <mergeCell ref="DX145:DX146"/>
    <mergeCell ref="DY145:DY146"/>
    <mergeCell ref="DZ145:DZ146"/>
    <mergeCell ref="EA145:EA146"/>
    <mergeCell ref="DX157:DX158"/>
    <mergeCell ref="DY157:DY158"/>
    <mergeCell ref="DZ157:DZ158"/>
    <mergeCell ref="EA157:EA158"/>
    <mergeCell ref="DX165:DX166"/>
    <mergeCell ref="DY165:DY166"/>
    <mergeCell ref="DZ165:DZ166"/>
    <mergeCell ref="EA165:EA166"/>
    <mergeCell ref="DX179:DX180"/>
    <mergeCell ref="DY179:DY180"/>
    <mergeCell ref="DZ179:DZ180"/>
    <mergeCell ref="EA179:EA180"/>
    <mergeCell ref="DX149:DX150"/>
    <mergeCell ref="DY149:DY150"/>
    <mergeCell ref="DZ149:DZ150"/>
    <mergeCell ref="EA149:EA150"/>
    <mergeCell ref="DY59:DY60"/>
    <mergeCell ref="DZ59:DZ60"/>
    <mergeCell ref="EA59:EA60"/>
    <mergeCell ref="DX71:DX72"/>
    <mergeCell ref="DY71:DY72"/>
    <mergeCell ref="DZ71:DZ72"/>
    <mergeCell ref="EA71:EA72"/>
    <mergeCell ref="DX83:DX84"/>
    <mergeCell ref="DY83:DY84"/>
    <mergeCell ref="DZ83:DZ84"/>
    <mergeCell ref="EA83:EA84"/>
    <mergeCell ref="DX91:DX92"/>
    <mergeCell ref="DY91:DY92"/>
    <mergeCell ref="DZ91:DZ92"/>
    <mergeCell ref="EA91:EA92"/>
    <mergeCell ref="DX117:DX118"/>
    <mergeCell ref="DY117:DY118"/>
    <mergeCell ref="DZ117:DZ118"/>
    <mergeCell ref="EA117:EA118"/>
    <mergeCell ref="DM407:DM408"/>
    <mergeCell ref="DN407:DN408"/>
    <mergeCell ref="DO407:DO408"/>
    <mergeCell ref="DP407:DP408"/>
    <mergeCell ref="DM421:DM422"/>
    <mergeCell ref="DN421:DN422"/>
    <mergeCell ref="DO421:DO422"/>
    <mergeCell ref="DP421:DP422"/>
    <mergeCell ref="DQ38:DQ40"/>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X59:DX60"/>
    <mergeCell ref="DM337:DM338"/>
    <mergeCell ref="DN337:DN338"/>
    <mergeCell ref="DO337:DO338"/>
    <mergeCell ref="DP337:DP338"/>
    <mergeCell ref="DM351:DM352"/>
    <mergeCell ref="DN351:DN352"/>
    <mergeCell ref="DO351:DO352"/>
    <mergeCell ref="DP351:DP352"/>
    <mergeCell ref="DM365:DM366"/>
    <mergeCell ref="DN365:DN366"/>
    <mergeCell ref="DO365:DO366"/>
    <mergeCell ref="DP365:DP366"/>
    <mergeCell ref="DM379:DM380"/>
    <mergeCell ref="DN379:DN380"/>
    <mergeCell ref="DO379:DO380"/>
    <mergeCell ref="DP379:DP380"/>
    <mergeCell ref="DM393:DM394"/>
    <mergeCell ref="DN393:DN394"/>
    <mergeCell ref="DO393:DO394"/>
    <mergeCell ref="DP393:DP394"/>
    <mergeCell ref="DM341:DM342"/>
    <mergeCell ref="DN341:DN342"/>
    <mergeCell ref="DO341:DO342"/>
    <mergeCell ref="DP341:DP342"/>
    <mergeCell ref="DM355:DM356"/>
    <mergeCell ref="DN355:DN356"/>
    <mergeCell ref="DO355:DO356"/>
    <mergeCell ref="DP355:DP356"/>
    <mergeCell ref="DM369:DM370"/>
    <mergeCell ref="DN369:DN370"/>
    <mergeCell ref="DO369:DO370"/>
    <mergeCell ref="DP369:DP370"/>
    <mergeCell ref="DM269:DM270"/>
    <mergeCell ref="DN269:DN270"/>
    <mergeCell ref="DO269:DO270"/>
    <mergeCell ref="DP269:DP270"/>
    <mergeCell ref="DM283:DM284"/>
    <mergeCell ref="DN283:DN284"/>
    <mergeCell ref="DO283:DO284"/>
    <mergeCell ref="DP283:DP284"/>
    <mergeCell ref="DM297:DM298"/>
    <mergeCell ref="DN297:DN298"/>
    <mergeCell ref="DO297:DO298"/>
    <mergeCell ref="DP297:DP298"/>
    <mergeCell ref="DM309:DM310"/>
    <mergeCell ref="DN309:DN310"/>
    <mergeCell ref="DO309:DO310"/>
    <mergeCell ref="DP309:DP310"/>
    <mergeCell ref="DM323:DM324"/>
    <mergeCell ref="DN323:DN324"/>
    <mergeCell ref="DO323:DO324"/>
    <mergeCell ref="DP323:DP324"/>
    <mergeCell ref="DP273:DP274"/>
    <mergeCell ref="DM287:DM288"/>
    <mergeCell ref="DN287:DN288"/>
    <mergeCell ref="DO287:DO288"/>
    <mergeCell ref="DP287:DP288"/>
    <mergeCell ref="DM301:DM302"/>
    <mergeCell ref="DN301:DN302"/>
    <mergeCell ref="DO301:DO302"/>
    <mergeCell ref="DP301:DP302"/>
    <mergeCell ref="DM205:DM206"/>
    <mergeCell ref="DN205:DN206"/>
    <mergeCell ref="DO205:DO206"/>
    <mergeCell ref="DP205:DP206"/>
    <mergeCell ref="DM217:DM218"/>
    <mergeCell ref="DN217:DN218"/>
    <mergeCell ref="DO217:DO218"/>
    <mergeCell ref="DP217:DP218"/>
    <mergeCell ref="DM227:DM228"/>
    <mergeCell ref="DN227:DN228"/>
    <mergeCell ref="DO227:DO228"/>
    <mergeCell ref="DP227:DP228"/>
    <mergeCell ref="DM241:DM242"/>
    <mergeCell ref="DN241:DN242"/>
    <mergeCell ref="DO241:DO242"/>
    <mergeCell ref="DP241:DP242"/>
    <mergeCell ref="DM255:DM256"/>
    <mergeCell ref="DN255:DN256"/>
    <mergeCell ref="DO255:DO256"/>
    <mergeCell ref="DP255:DP256"/>
    <mergeCell ref="DM209:DM210"/>
    <mergeCell ref="DN209:DN210"/>
    <mergeCell ref="DO209:DO210"/>
    <mergeCell ref="DP209:DP210"/>
    <mergeCell ref="DM231:DM232"/>
    <mergeCell ref="DN231:DN232"/>
    <mergeCell ref="DO231:DO232"/>
    <mergeCell ref="DP231:DP232"/>
    <mergeCell ref="DM245:DM246"/>
    <mergeCell ref="DN245:DN246"/>
    <mergeCell ref="DO245:DO246"/>
    <mergeCell ref="DP245:DP246"/>
    <mergeCell ref="DM145:DM146"/>
    <mergeCell ref="DN145:DN146"/>
    <mergeCell ref="DO145:DO146"/>
    <mergeCell ref="DP145:DP146"/>
    <mergeCell ref="DM157:DM158"/>
    <mergeCell ref="DN157:DN158"/>
    <mergeCell ref="DO157:DO158"/>
    <mergeCell ref="DP157:DP158"/>
    <mergeCell ref="DM165:DM166"/>
    <mergeCell ref="DN165:DN166"/>
    <mergeCell ref="DO165:DO166"/>
    <mergeCell ref="DP165:DP166"/>
    <mergeCell ref="DM179:DM180"/>
    <mergeCell ref="DN179:DN180"/>
    <mergeCell ref="DO179:DO180"/>
    <mergeCell ref="DP179:DP180"/>
    <mergeCell ref="DM193:DM194"/>
    <mergeCell ref="DN193:DN194"/>
    <mergeCell ref="DO193:DO194"/>
    <mergeCell ref="DP193:DP194"/>
    <mergeCell ref="DM149:DM150"/>
    <mergeCell ref="DN149:DN150"/>
    <mergeCell ref="DO149:DO150"/>
    <mergeCell ref="DP149:DP150"/>
    <mergeCell ref="DM71:DM72"/>
    <mergeCell ref="DN71:DN72"/>
    <mergeCell ref="DO71:DO72"/>
    <mergeCell ref="DP71:DP72"/>
    <mergeCell ref="DM83:DM84"/>
    <mergeCell ref="DN83:DN84"/>
    <mergeCell ref="DO83:DO84"/>
    <mergeCell ref="DP83:DP84"/>
    <mergeCell ref="DM91:DM92"/>
    <mergeCell ref="DN91:DN92"/>
    <mergeCell ref="DO91:DO92"/>
    <mergeCell ref="DP91:DP92"/>
    <mergeCell ref="DM117:DM118"/>
    <mergeCell ref="DN117:DN118"/>
    <mergeCell ref="DO117:DO118"/>
    <mergeCell ref="DP117:DP118"/>
    <mergeCell ref="DM131:DM132"/>
    <mergeCell ref="DN131:DN132"/>
    <mergeCell ref="DO131:DO132"/>
    <mergeCell ref="DP131:DP132"/>
    <mergeCell ref="DM121:DM122"/>
    <mergeCell ref="DN121:DN122"/>
    <mergeCell ref="DO121:DO122"/>
    <mergeCell ref="DP121:DP122"/>
    <mergeCell ref="DE407:DE408"/>
    <mergeCell ref="DB421:DB422"/>
    <mergeCell ref="DC421:DC422"/>
    <mergeCell ref="DD421:DD422"/>
    <mergeCell ref="DE421:DE422"/>
    <mergeCell ref="DF38:DF40"/>
    <mergeCell ref="DN41:DO41"/>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M59:DM60"/>
    <mergeCell ref="DN59:DN60"/>
    <mergeCell ref="DO59:DO60"/>
    <mergeCell ref="DP59:DP60"/>
    <mergeCell ref="DE337:DE338"/>
    <mergeCell ref="DB351:DB352"/>
    <mergeCell ref="DC351:DC352"/>
    <mergeCell ref="DD351:DD352"/>
    <mergeCell ref="DE351:DE352"/>
    <mergeCell ref="DB365:DB366"/>
    <mergeCell ref="DC365:DC366"/>
    <mergeCell ref="DD365:DD366"/>
    <mergeCell ref="DE365:DE366"/>
    <mergeCell ref="DB379:DB380"/>
    <mergeCell ref="DC379:DC380"/>
    <mergeCell ref="DD379:DD380"/>
    <mergeCell ref="DE379:DE380"/>
    <mergeCell ref="DB393:DB394"/>
    <mergeCell ref="DC393:DC394"/>
    <mergeCell ref="DD393:DD394"/>
    <mergeCell ref="DE393:DE394"/>
    <mergeCell ref="DD341:DD342"/>
    <mergeCell ref="DE341:DE342"/>
    <mergeCell ref="DD355:DD356"/>
    <mergeCell ref="DE355:DE356"/>
    <mergeCell ref="DD369:DD370"/>
    <mergeCell ref="DE369:DE370"/>
    <mergeCell ref="DE255:DE256"/>
    <mergeCell ref="DB269:DB270"/>
    <mergeCell ref="DC269:DC270"/>
    <mergeCell ref="DD269:DD270"/>
    <mergeCell ref="DE269:DE270"/>
    <mergeCell ref="DB283:DB284"/>
    <mergeCell ref="DC283:DC284"/>
    <mergeCell ref="DD283:DD284"/>
    <mergeCell ref="DE283:DE284"/>
    <mergeCell ref="DB297:DB298"/>
    <mergeCell ref="DC297:DC298"/>
    <mergeCell ref="DD297:DD298"/>
    <mergeCell ref="DE297:DE298"/>
    <mergeCell ref="DB309:DB310"/>
    <mergeCell ref="DC309:DC310"/>
    <mergeCell ref="DD309:DD310"/>
    <mergeCell ref="DE309:DE310"/>
    <mergeCell ref="DD259:DD260"/>
    <mergeCell ref="DE259:DE260"/>
    <mergeCell ref="DD287:DD288"/>
    <mergeCell ref="DE287:DE288"/>
    <mergeCell ref="DD301:DD302"/>
    <mergeCell ref="DE301:DE302"/>
    <mergeCell ref="DB193:DB194"/>
    <mergeCell ref="DC193:DC194"/>
    <mergeCell ref="DD193:DD194"/>
    <mergeCell ref="DE193:DE194"/>
    <mergeCell ref="DB205:DB206"/>
    <mergeCell ref="DC205:DC206"/>
    <mergeCell ref="DD205:DD206"/>
    <mergeCell ref="DE205:DE206"/>
    <mergeCell ref="DB217:DB218"/>
    <mergeCell ref="DC217:DC218"/>
    <mergeCell ref="DD217:DD218"/>
    <mergeCell ref="DE217:DE218"/>
    <mergeCell ref="DB227:DB228"/>
    <mergeCell ref="DC227:DC228"/>
    <mergeCell ref="DD227:DD228"/>
    <mergeCell ref="DE227:DE228"/>
    <mergeCell ref="DB241:DB242"/>
    <mergeCell ref="DC241:DC242"/>
    <mergeCell ref="DD241:DD242"/>
    <mergeCell ref="DE241:DE242"/>
    <mergeCell ref="DB197:DB198"/>
    <mergeCell ref="DC197:DC198"/>
    <mergeCell ref="DD197:DD198"/>
    <mergeCell ref="DE197:DE198"/>
    <mergeCell ref="DB209:DB210"/>
    <mergeCell ref="DC209:DC210"/>
    <mergeCell ref="DD209:DD210"/>
    <mergeCell ref="DE209:DE210"/>
    <mergeCell ref="DB231:DB232"/>
    <mergeCell ref="DC231:DC232"/>
    <mergeCell ref="DD231:DD232"/>
    <mergeCell ref="DE231:DE232"/>
    <mergeCell ref="DB117:DB118"/>
    <mergeCell ref="DC117:DC118"/>
    <mergeCell ref="DD117:DD118"/>
    <mergeCell ref="DE117:DE118"/>
    <mergeCell ref="DB131:DB132"/>
    <mergeCell ref="DC131:DC132"/>
    <mergeCell ref="DD131:DD132"/>
    <mergeCell ref="DE131:DE132"/>
    <mergeCell ref="DB145:DB146"/>
    <mergeCell ref="DC145:DC146"/>
    <mergeCell ref="DD145:DD146"/>
    <mergeCell ref="DE145:DE146"/>
    <mergeCell ref="DB157:DB158"/>
    <mergeCell ref="DC157:DC158"/>
    <mergeCell ref="DD157:DD158"/>
    <mergeCell ref="DE157:DE158"/>
    <mergeCell ref="DB165:DB166"/>
    <mergeCell ref="DC165:DC166"/>
    <mergeCell ref="DD165:DD166"/>
    <mergeCell ref="DE165:DE166"/>
    <mergeCell ref="DB121:DB122"/>
    <mergeCell ref="DC121:DC122"/>
    <mergeCell ref="DD121:DD122"/>
    <mergeCell ref="DE121:DE122"/>
    <mergeCell ref="DB135:DB136"/>
    <mergeCell ref="DC135:DC136"/>
    <mergeCell ref="DD135:DD136"/>
    <mergeCell ref="DE135:DE136"/>
    <mergeCell ref="DB149:DB150"/>
    <mergeCell ref="DC149:DC150"/>
    <mergeCell ref="DD149:DD150"/>
    <mergeCell ref="DE149:DE150"/>
    <mergeCell ref="CT421:CT422"/>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DB59:DB60"/>
    <mergeCell ref="DC59:DC60"/>
    <mergeCell ref="DD59:DD60"/>
    <mergeCell ref="DE59:DE60"/>
    <mergeCell ref="DB71:DB72"/>
    <mergeCell ref="DC71:DC72"/>
    <mergeCell ref="DD71:DD72"/>
    <mergeCell ref="DE71:DE72"/>
    <mergeCell ref="CT351:CT352"/>
    <mergeCell ref="CQ365:CQ366"/>
    <mergeCell ref="CR365:CR366"/>
    <mergeCell ref="CS365:CS366"/>
    <mergeCell ref="CT365:CT366"/>
    <mergeCell ref="CQ379:CQ380"/>
    <mergeCell ref="CR379:CR380"/>
    <mergeCell ref="CS379:CS380"/>
    <mergeCell ref="CT379:CT380"/>
    <mergeCell ref="CQ393:CQ394"/>
    <mergeCell ref="CR393:CR394"/>
    <mergeCell ref="CS393:CS394"/>
    <mergeCell ref="CT393:CT394"/>
    <mergeCell ref="CQ407:CQ408"/>
    <mergeCell ref="CR407:CR408"/>
    <mergeCell ref="CS407:CS408"/>
    <mergeCell ref="CT407:CT408"/>
    <mergeCell ref="CQ397:CQ398"/>
    <mergeCell ref="CR397:CR398"/>
    <mergeCell ref="CS397:CS398"/>
    <mergeCell ref="CT397:CT398"/>
    <mergeCell ref="CQ269:CQ270"/>
    <mergeCell ref="CR269:CR270"/>
    <mergeCell ref="CS269:CS270"/>
    <mergeCell ref="CT269:CT270"/>
    <mergeCell ref="CQ283:CQ284"/>
    <mergeCell ref="CR283:CR284"/>
    <mergeCell ref="CS283:CS284"/>
    <mergeCell ref="CT283:CT284"/>
    <mergeCell ref="CQ297:CQ298"/>
    <mergeCell ref="CR297:CR298"/>
    <mergeCell ref="CS297:CS298"/>
    <mergeCell ref="CT297:CT298"/>
    <mergeCell ref="CQ309:CQ310"/>
    <mergeCell ref="CR309:CR310"/>
    <mergeCell ref="CS309:CS310"/>
    <mergeCell ref="CT309:CT310"/>
    <mergeCell ref="CQ323:CQ324"/>
    <mergeCell ref="CR323:CR324"/>
    <mergeCell ref="CS323:CS324"/>
    <mergeCell ref="CT323:CT324"/>
    <mergeCell ref="CQ193:CQ194"/>
    <mergeCell ref="CR193:CR194"/>
    <mergeCell ref="CS193:CS194"/>
    <mergeCell ref="CT193:CT194"/>
    <mergeCell ref="CQ205:CQ206"/>
    <mergeCell ref="CR205:CR206"/>
    <mergeCell ref="CS205:CS206"/>
    <mergeCell ref="CT205:CT206"/>
    <mergeCell ref="CQ217:CQ218"/>
    <mergeCell ref="CR217:CR218"/>
    <mergeCell ref="CS217:CS218"/>
    <mergeCell ref="CT217:CT218"/>
    <mergeCell ref="CQ227:CQ228"/>
    <mergeCell ref="CR227:CR228"/>
    <mergeCell ref="CS227:CS228"/>
    <mergeCell ref="CT227:CT228"/>
    <mergeCell ref="CQ241:CQ242"/>
    <mergeCell ref="CR241:CR242"/>
    <mergeCell ref="CS241:CS242"/>
    <mergeCell ref="CT241:CT242"/>
    <mergeCell ref="CS197:CS198"/>
    <mergeCell ref="CT197:CT198"/>
    <mergeCell ref="CQ209:CQ210"/>
    <mergeCell ref="CR209:CR210"/>
    <mergeCell ref="CS209:CS210"/>
    <mergeCell ref="CT209:CT210"/>
    <mergeCell ref="CQ231:CQ232"/>
    <mergeCell ref="CR231:CR232"/>
    <mergeCell ref="CS231:CS232"/>
    <mergeCell ref="CT231:CT232"/>
    <mergeCell ref="CQ131:CQ132"/>
    <mergeCell ref="CR131:CR132"/>
    <mergeCell ref="CS131:CS132"/>
    <mergeCell ref="CT131:CT132"/>
    <mergeCell ref="CQ145:CQ146"/>
    <mergeCell ref="CR145:CR146"/>
    <mergeCell ref="CS145:CS146"/>
    <mergeCell ref="CT145:CT146"/>
    <mergeCell ref="CQ157:CQ158"/>
    <mergeCell ref="CR157:CR158"/>
    <mergeCell ref="CS157:CS158"/>
    <mergeCell ref="CT157:CT158"/>
    <mergeCell ref="CQ165:CQ166"/>
    <mergeCell ref="CR165:CR166"/>
    <mergeCell ref="CS165:CS166"/>
    <mergeCell ref="CT165:CT166"/>
    <mergeCell ref="CQ179:CQ180"/>
    <mergeCell ref="CR179:CR180"/>
    <mergeCell ref="CS179:CS180"/>
    <mergeCell ref="CT179:CT180"/>
    <mergeCell ref="CQ135:CQ136"/>
    <mergeCell ref="CR135:CR136"/>
    <mergeCell ref="CS135:CS136"/>
    <mergeCell ref="CT135:CT136"/>
    <mergeCell ref="CQ149:CQ150"/>
    <mergeCell ref="CR149:CR150"/>
    <mergeCell ref="CS149:CS150"/>
    <mergeCell ref="CT149:CT150"/>
    <mergeCell ref="CQ59:CQ60"/>
    <mergeCell ref="CR59:CR60"/>
    <mergeCell ref="CS59:CS60"/>
    <mergeCell ref="CT59:CT60"/>
    <mergeCell ref="CQ71:CQ72"/>
    <mergeCell ref="CR71:CR72"/>
    <mergeCell ref="CS71:CS72"/>
    <mergeCell ref="CT71:CT72"/>
    <mergeCell ref="CQ83:CQ84"/>
    <mergeCell ref="CR83:CR84"/>
    <mergeCell ref="CS83:CS84"/>
    <mergeCell ref="CT83:CT84"/>
    <mergeCell ref="CQ91:CQ92"/>
    <mergeCell ref="CR91:CR92"/>
    <mergeCell ref="CS91:CS92"/>
    <mergeCell ref="CT91:CT92"/>
    <mergeCell ref="CQ117:CQ118"/>
    <mergeCell ref="CR117:CR118"/>
    <mergeCell ref="CS117:CS118"/>
    <mergeCell ref="CT117:CT118"/>
    <mergeCell ref="CJ38:CJ40"/>
    <mergeCell ref="CR41:CS41"/>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F365:CF366"/>
    <mergeCell ref="CG365:CG366"/>
    <mergeCell ref="CH365:CH366"/>
    <mergeCell ref="CI365:CI366"/>
    <mergeCell ref="CF379:CF380"/>
    <mergeCell ref="CG379:CG380"/>
    <mergeCell ref="CH379:CH380"/>
    <mergeCell ref="CI379:CI380"/>
    <mergeCell ref="CF393:CF394"/>
    <mergeCell ref="CG393:CG394"/>
    <mergeCell ref="CH393:CH394"/>
    <mergeCell ref="CI393:CI394"/>
    <mergeCell ref="CF407:CF408"/>
    <mergeCell ref="CG407:CG408"/>
    <mergeCell ref="CH407:CH408"/>
    <mergeCell ref="CI407:CI408"/>
    <mergeCell ref="CF421:CF422"/>
    <mergeCell ref="CG421:CG422"/>
    <mergeCell ref="CH421:CH422"/>
    <mergeCell ref="CI421:CI422"/>
    <mergeCell ref="CF397:CF398"/>
    <mergeCell ref="CG397:CG398"/>
    <mergeCell ref="CH397:CH398"/>
    <mergeCell ref="CI397:CI398"/>
    <mergeCell ref="CI269:CI270"/>
    <mergeCell ref="CF283:CF284"/>
    <mergeCell ref="CG283:CG284"/>
    <mergeCell ref="CH283:CH284"/>
    <mergeCell ref="CI283:CI284"/>
    <mergeCell ref="CF297:CF298"/>
    <mergeCell ref="CG297:CG298"/>
    <mergeCell ref="CH297:CH298"/>
    <mergeCell ref="CI297:CI298"/>
    <mergeCell ref="CF309:CF310"/>
    <mergeCell ref="CG309:CG310"/>
    <mergeCell ref="CH309:CH310"/>
    <mergeCell ref="CI309:CI310"/>
    <mergeCell ref="CF323:CF324"/>
    <mergeCell ref="CG323:CG324"/>
    <mergeCell ref="CH323:CH324"/>
    <mergeCell ref="CI323:CI324"/>
    <mergeCell ref="CF193:CF194"/>
    <mergeCell ref="CG193:CG194"/>
    <mergeCell ref="CH193:CH194"/>
    <mergeCell ref="CI193:CI194"/>
    <mergeCell ref="CF205:CF206"/>
    <mergeCell ref="CG205:CG206"/>
    <mergeCell ref="CH205:CH206"/>
    <mergeCell ref="CI205:CI206"/>
    <mergeCell ref="CF217:CF218"/>
    <mergeCell ref="CG217:CG218"/>
    <mergeCell ref="CH217:CH218"/>
    <mergeCell ref="CI217:CI218"/>
    <mergeCell ref="CF227:CF228"/>
    <mergeCell ref="CG227:CG228"/>
    <mergeCell ref="CH227:CH228"/>
    <mergeCell ref="CI227:CI228"/>
    <mergeCell ref="CF241:CF242"/>
    <mergeCell ref="CG241:CG242"/>
    <mergeCell ref="CH241:CH242"/>
    <mergeCell ref="CI241:CI242"/>
    <mergeCell ref="CF209:CF210"/>
    <mergeCell ref="CG209:CG210"/>
    <mergeCell ref="CH209:CH210"/>
    <mergeCell ref="CI209:CI210"/>
    <mergeCell ref="CF231:CF232"/>
    <mergeCell ref="CG231:CG232"/>
    <mergeCell ref="CH231:CH232"/>
    <mergeCell ref="CI231:CI232"/>
    <mergeCell ref="CI131:CI132"/>
    <mergeCell ref="CF145:CF146"/>
    <mergeCell ref="CG145:CG146"/>
    <mergeCell ref="CH145:CH146"/>
    <mergeCell ref="CI145:CI146"/>
    <mergeCell ref="CF157:CF158"/>
    <mergeCell ref="CG157:CG158"/>
    <mergeCell ref="CH157:CH158"/>
    <mergeCell ref="CI157:CI158"/>
    <mergeCell ref="CF165:CF166"/>
    <mergeCell ref="CG165:CG166"/>
    <mergeCell ref="CH165:CH166"/>
    <mergeCell ref="CI165:CI166"/>
    <mergeCell ref="CF179:CF180"/>
    <mergeCell ref="CG179:CG180"/>
    <mergeCell ref="CH179:CH180"/>
    <mergeCell ref="CI179:CI180"/>
    <mergeCell ref="CH135:CH136"/>
    <mergeCell ref="CI135:CI136"/>
    <mergeCell ref="CF149:CF150"/>
    <mergeCell ref="CG149:CG150"/>
    <mergeCell ref="CH149:CH150"/>
    <mergeCell ref="CI149:CI150"/>
    <mergeCell ref="CF59:CF60"/>
    <mergeCell ref="CG59:CG60"/>
    <mergeCell ref="CH59:CH60"/>
    <mergeCell ref="CI59:CI60"/>
    <mergeCell ref="CF71:CF72"/>
    <mergeCell ref="CG71:CG72"/>
    <mergeCell ref="CH71:CH72"/>
    <mergeCell ref="CI71:CI72"/>
    <mergeCell ref="CF83:CF84"/>
    <mergeCell ref="CG83:CG84"/>
    <mergeCell ref="CH83:CH84"/>
    <mergeCell ref="CI83:CI84"/>
    <mergeCell ref="CF91:CF92"/>
    <mergeCell ref="CG91:CG92"/>
    <mergeCell ref="CH91:CH92"/>
    <mergeCell ref="CI91:CI92"/>
    <mergeCell ref="CF117:CF118"/>
    <mergeCell ref="CG117:CG118"/>
    <mergeCell ref="CH117:CH118"/>
    <mergeCell ref="CI117:CI118"/>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X365:BX366"/>
    <mergeCell ref="BU379:BU380"/>
    <mergeCell ref="BV379:BV380"/>
    <mergeCell ref="BW379:BW380"/>
    <mergeCell ref="BX379:BX380"/>
    <mergeCell ref="BU393:BU394"/>
    <mergeCell ref="BV393:BV394"/>
    <mergeCell ref="BW393:BW394"/>
    <mergeCell ref="BX393:BX394"/>
    <mergeCell ref="BU407:BU408"/>
    <mergeCell ref="BV407:BV408"/>
    <mergeCell ref="BW407:BW408"/>
    <mergeCell ref="BX407:BX408"/>
    <mergeCell ref="BU421:BU422"/>
    <mergeCell ref="BV421:BV422"/>
    <mergeCell ref="BW421:BW422"/>
    <mergeCell ref="BX421:BX422"/>
    <mergeCell ref="BX397:BX398"/>
    <mergeCell ref="BX283:BX284"/>
    <mergeCell ref="BU297:BU298"/>
    <mergeCell ref="BV297:BV298"/>
    <mergeCell ref="BW297:BW298"/>
    <mergeCell ref="BX297:BX298"/>
    <mergeCell ref="BU309:BU310"/>
    <mergeCell ref="BV309:BV310"/>
    <mergeCell ref="BW309:BW310"/>
    <mergeCell ref="BX309:BX310"/>
    <mergeCell ref="BU323:BU324"/>
    <mergeCell ref="BV323:BV324"/>
    <mergeCell ref="BW323:BW324"/>
    <mergeCell ref="BX323:BX324"/>
    <mergeCell ref="BU337:BU338"/>
    <mergeCell ref="BV337:BV338"/>
    <mergeCell ref="BW337:BW338"/>
    <mergeCell ref="BX337:BX338"/>
    <mergeCell ref="BU205:BU206"/>
    <mergeCell ref="BV205:BV206"/>
    <mergeCell ref="BW205:BW206"/>
    <mergeCell ref="BX205:BX206"/>
    <mergeCell ref="BU217:BU218"/>
    <mergeCell ref="BV217:BV218"/>
    <mergeCell ref="BW217:BW218"/>
    <mergeCell ref="BX217:BX218"/>
    <mergeCell ref="BU227:BU228"/>
    <mergeCell ref="BV227:BV228"/>
    <mergeCell ref="BW227:BW228"/>
    <mergeCell ref="BX227:BX228"/>
    <mergeCell ref="BU241:BU242"/>
    <mergeCell ref="BV241:BV242"/>
    <mergeCell ref="BW241:BW242"/>
    <mergeCell ref="BX241:BX242"/>
    <mergeCell ref="BU255:BU256"/>
    <mergeCell ref="BV255:BV256"/>
    <mergeCell ref="BW255:BW256"/>
    <mergeCell ref="BX255:BX256"/>
    <mergeCell ref="BW209:BW210"/>
    <mergeCell ref="BX209:BX210"/>
    <mergeCell ref="BU231:BU232"/>
    <mergeCell ref="BV231:BV232"/>
    <mergeCell ref="BW231:BW232"/>
    <mergeCell ref="BX231:BX232"/>
    <mergeCell ref="BU145:BU146"/>
    <mergeCell ref="BV145:BV146"/>
    <mergeCell ref="BW145:BW146"/>
    <mergeCell ref="BX145:BX146"/>
    <mergeCell ref="BU157:BU158"/>
    <mergeCell ref="BV157:BV158"/>
    <mergeCell ref="BW157:BW158"/>
    <mergeCell ref="BX157:BX158"/>
    <mergeCell ref="BU165:BU166"/>
    <mergeCell ref="BV165:BV166"/>
    <mergeCell ref="BW165:BW166"/>
    <mergeCell ref="BX165:BX166"/>
    <mergeCell ref="BU179:BU180"/>
    <mergeCell ref="BV179:BV180"/>
    <mergeCell ref="BW179:BW180"/>
    <mergeCell ref="BX179:BX180"/>
    <mergeCell ref="BU193:BU194"/>
    <mergeCell ref="BV193:BV194"/>
    <mergeCell ref="BW193:BW194"/>
    <mergeCell ref="BX193:BX194"/>
    <mergeCell ref="BW149:BW150"/>
    <mergeCell ref="BX149:BX150"/>
    <mergeCell ref="BU59:BU60"/>
    <mergeCell ref="BV59:BV60"/>
    <mergeCell ref="BW59:BW60"/>
    <mergeCell ref="BX59:BX60"/>
    <mergeCell ref="BU71:BU72"/>
    <mergeCell ref="BV71:BV72"/>
    <mergeCell ref="BW71:BW72"/>
    <mergeCell ref="BX71:BX72"/>
    <mergeCell ref="BU83:BU84"/>
    <mergeCell ref="BV83:BV84"/>
    <mergeCell ref="BW83:BW84"/>
    <mergeCell ref="BX83:BX84"/>
    <mergeCell ref="BU91:BU92"/>
    <mergeCell ref="BV91:BV92"/>
    <mergeCell ref="BW91:BW92"/>
    <mergeCell ref="BX91:BX92"/>
    <mergeCell ref="BU117:BU118"/>
    <mergeCell ref="BV117:BV118"/>
    <mergeCell ref="BW117:BW118"/>
    <mergeCell ref="BX117:BX118"/>
    <mergeCell ref="BN38:BN40"/>
    <mergeCell ref="BV41:BW41"/>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J297:BJ298"/>
    <mergeCell ref="BK297:BK298"/>
    <mergeCell ref="BL297:BL298"/>
    <mergeCell ref="BM297:BM298"/>
    <mergeCell ref="BJ309:BJ310"/>
    <mergeCell ref="BK309:BK310"/>
    <mergeCell ref="BL309:BL310"/>
    <mergeCell ref="BM309:BM310"/>
    <mergeCell ref="BJ323:BJ324"/>
    <mergeCell ref="BK323:BK324"/>
    <mergeCell ref="BL323:BL324"/>
    <mergeCell ref="BM323:BM324"/>
    <mergeCell ref="BJ337:BJ338"/>
    <mergeCell ref="BK337:BK338"/>
    <mergeCell ref="BL337:BL338"/>
    <mergeCell ref="BM337:BM338"/>
    <mergeCell ref="BJ351:BJ352"/>
    <mergeCell ref="BK351:BK352"/>
    <mergeCell ref="BL351:BL352"/>
    <mergeCell ref="BM351:BM352"/>
    <mergeCell ref="BJ205:BJ206"/>
    <mergeCell ref="BK205:BK206"/>
    <mergeCell ref="BL205:BL206"/>
    <mergeCell ref="BM205:BM206"/>
    <mergeCell ref="BJ217:BJ218"/>
    <mergeCell ref="BK217:BK218"/>
    <mergeCell ref="BL217:BL218"/>
    <mergeCell ref="BM217:BM218"/>
    <mergeCell ref="BJ227:BJ228"/>
    <mergeCell ref="BK227:BK228"/>
    <mergeCell ref="BL227:BL228"/>
    <mergeCell ref="BM227:BM228"/>
    <mergeCell ref="BJ241:BJ242"/>
    <mergeCell ref="BK241:BK242"/>
    <mergeCell ref="BL241:BL242"/>
    <mergeCell ref="BM241:BM242"/>
    <mergeCell ref="BJ255:BJ256"/>
    <mergeCell ref="BK255:BK256"/>
    <mergeCell ref="BL255:BL256"/>
    <mergeCell ref="BM255:BM256"/>
    <mergeCell ref="BL231:BL232"/>
    <mergeCell ref="BM231:BM232"/>
    <mergeCell ref="BJ145:BJ146"/>
    <mergeCell ref="BK145:BK146"/>
    <mergeCell ref="BL145:BL146"/>
    <mergeCell ref="BM145:BM146"/>
    <mergeCell ref="BJ157:BJ158"/>
    <mergeCell ref="BK157:BK158"/>
    <mergeCell ref="BL157:BL158"/>
    <mergeCell ref="BM157:BM158"/>
    <mergeCell ref="BJ165:BJ166"/>
    <mergeCell ref="BK165:BK166"/>
    <mergeCell ref="BL165:BL166"/>
    <mergeCell ref="BM165:BM166"/>
    <mergeCell ref="BJ179:BJ180"/>
    <mergeCell ref="BK179:BK180"/>
    <mergeCell ref="BL179:BL180"/>
    <mergeCell ref="BM179:BM180"/>
    <mergeCell ref="BJ193:BJ194"/>
    <mergeCell ref="BK193:BK194"/>
    <mergeCell ref="BL193:BL194"/>
    <mergeCell ref="BM193:BM194"/>
    <mergeCell ref="BJ59:BJ60"/>
    <mergeCell ref="BK59:BK60"/>
    <mergeCell ref="BL59:BL60"/>
    <mergeCell ref="BM59:BM60"/>
    <mergeCell ref="BJ71:BJ72"/>
    <mergeCell ref="BK71:BK72"/>
    <mergeCell ref="BL71:BL72"/>
    <mergeCell ref="BM71:BM72"/>
    <mergeCell ref="BJ83:BJ84"/>
    <mergeCell ref="BK83:BK84"/>
    <mergeCell ref="BL83:BL84"/>
    <mergeCell ref="BM83:BM84"/>
    <mergeCell ref="BJ91:BJ92"/>
    <mergeCell ref="BK91:BK92"/>
    <mergeCell ref="BL91:BL92"/>
    <mergeCell ref="BM91:BM92"/>
    <mergeCell ref="BJ117:BJ118"/>
    <mergeCell ref="BK117:BK118"/>
    <mergeCell ref="BL117:BL118"/>
    <mergeCell ref="BM117:BM118"/>
    <mergeCell ref="BC38:BC40"/>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Y297:AY298"/>
    <mergeCell ref="AZ297:AZ298"/>
    <mergeCell ref="BA297:BA298"/>
    <mergeCell ref="BB297:BB298"/>
    <mergeCell ref="AY309:AY310"/>
    <mergeCell ref="AZ309:AZ310"/>
    <mergeCell ref="BA309:BA310"/>
    <mergeCell ref="BB309:BB310"/>
    <mergeCell ref="AY323:AY324"/>
    <mergeCell ref="AZ323:AZ324"/>
    <mergeCell ref="BA323:BA324"/>
    <mergeCell ref="BB323:BB324"/>
    <mergeCell ref="AY337:AY338"/>
    <mergeCell ref="AZ337:AZ338"/>
    <mergeCell ref="BA337:BA338"/>
    <mergeCell ref="BB337:BB338"/>
    <mergeCell ref="AY351:AY352"/>
    <mergeCell ref="AZ351:AZ352"/>
    <mergeCell ref="BA351:BA352"/>
    <mergeCell ref="BB351:BB352"/>
    <mergeCell ref="BB217:BB218"/>
    <mergeCell ref="AY227:AY228"/>
    <mergeCell ref="AZ227:AZ228"/>
    <mergeCell ref="BA227:BA228"/>
    <mergeCell ref="BB227:BB228"/>
    <mergeCell ref="AY241:AY242"/>
    <mergeCell ref="AZ241:AZ242"/>
    <mergeCell ref="BA241:BA242"/>
    <mergeCell ref="BB241:BB242"/>
    <mergeCell ref="AY255:AY256"/>
    <mergeCell ref="AZ255:AZ256"/>
    <mergeCell ref="BA255:BA256"/>
    <mergeCell ref="BB255:BB256"/>
    <mergeCell ref="AY269:AY270"/>
    <mergeCell ref="AZ269:AZ270"/>
    <mergeCell ref="BA269:BA270"/>
    <mergeCell ref="BB269:BB270"/>
    <mergeCell ref="AY145:AY146"/>
    <mergeCell ref="AZ145:AZ146"/>
    <mergeCell ref="BA145:BA146"/>
    <mergeCell ref="BB145:BB146"/>
    <mergeCell ref="AY157:AY158"/>
    <mergeCell ref="AZ157:AZ158"/>
    <mergeCell ref="BA157:BA158"/>
    <mergeCell ref="BB157:BB158"/>
    <mergeCell ref="AY165:AY166"/>
    <mergeCell ref="AZ165:AZ166"/>
    <mergeCell ref="BA165:BA166"/>
    <mergeCell ref="BB165:BB166"/>
    <mergeCell ref="AY179:AY180"/>
    <mergeCell ref="AZ179:AZ180"/>
    <mergeCell ref="BA179:BA180"/>
    <mergeCell ref="BB179:BB180"/>
    <mergeCell ref="AY193:AY194"/>
    <mergeCell ref="AZ193:AZ194"/>
    <mergeCell ref="BA193:BA194"/>
    <mergeCell ref="BB193:BB194"/>
    <mergeCell ref="BB71:BB72"/>
    <mergeCell ref="AY83:AY84"/>
    <mergeCell ref="AZ83:AZ84"/>
    <mergeCell ref="BA83:BA84"/>
    <mergeCell ref="BB83:BB84"/>
    <mergeCell ref="AY91:AY92"/>
    <mergeCell ref="AZ91:AZ92"/>
    <mergeCell ref="BA91:BA92"/>
    <mergeCell ref="BB91:BB92"/>
    <mergeCell ref="AY117:AY118"/>
    <mergeCell ref="AZ117:AZ118"/>
    <mergeCell ref="BA117:BA118"/>
    <mergeCell ref="BB117:BB118"/>
    <mergeCell ref="AY131:AY132"/>
    <mergeCell ref="AZ131:AZ132"/>
    <mergeCell ref="BA131:BA132"/>
    <mergeCell ref="BB131:BB132"/>
    <mergeCell ref="AG307:FT307"/>
    <mergeCell ref="J308:J311"/>
    <mergeCell ref="Q308:Q311"/>
    <mergeCell ref="V308:AF308"/>
    <mergeCell ref="AG308:FT308"/>
    <mergeCell ref="K309:K310"/>
    <mergeCell ref="AQ309:AQ310"/>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Y59:AY60"/>
    <mergeCell ref="AZ59:AZ60"/>
    <mergeCell ref="AG203:FT203"/>
    <mergeCell ref="J204:J207"/>
    <mergeCell ref="Q204:Q207"/>
    <mergeCell ref="V204:AF204"/>
    <mergeCell ref="AG204:FT204"/>
    <mergeCell ref="K205:K206"/>
    <mergeCell ref="AQ205:AQ206"/>
    <mergeCell ref="FU217:FU218"/>
    <mergeCell ref="AN217:AN218"/>
    <mergeCell ref="AO217:AO218"/>
    <mergeCell ref="AP217:AP218"/>
    <mergeCell ref="G214:G221"/>
    <mergeCell ref="V214:AF214"/>
    <mergeCell ref="AG214:FT214"/>
    <mergeCell ref="H215:H221"/>
    <mergeCell ref="I215:I220"/>
    <mergeCell ref="P215:P220"/>
    <mergeCell ref="V215:AF215"/>
    <mergeCell ref="AG215:FT215"/>
    <mergeCell ref="J216:J219"/>
    <mergeCell ref="Q216:Q219"/>
    <mergeCell ref="V216:AF216"/>
    <mergeCell ref="AG216:FT216"/>
    <mergeCell ref="K217:K218"/>
    <mergeCell ref="AQ217:AQ218"/>
    <mergeCell ref="AY205:AY206"/>
    <mergeCell ref="AZ205:AZ206"/>
    <mergeCell ref="BA205:BA206"/>
    <mergeCell ref="BB205:BB206"/>
    <mergeCell ref="AY217:AY218"/>
    <mergeCell ref="AZ217:AZ218"/>
    <mergeCell ref="BA217:BA218"/>
    <mergeCell ref="AG155:FT155"/>
    <mergeCell ref="J156:J159"/>
    <mergeCell ref="Q156:Q159"/>
    <mergeCell ref="V156:AF156"/>
    <mergeCell ref="AG156:FT156"/>
    <mergeCell ref="K157:K158"/>
    <mergeCell ref="AQ157:AQ158"/>
    <mergeCell ref="FU165:FU166"/>
    <mergeCell ref="AN165:AN166"/>
    <mergeCell ref="AO165:AO166"/>
    <mergeCell ref="AP165:AP166"/>
    <mergeCell ref="G162:G173"/>
    <mergeCell ref="V162:AF162"/>
    <mergeCell ref="AG162:FT162"/>
    <mergeCell ref="H163:H173"/>
    <mergeCell ref="I163:I172"/>
    <mergeCell ref="P163:P172"/>
    <mergeCell ref="V163:AF163"/>
    <mergeCell ref="AG163:FT163"/>
    <mergeCell ref="J164:J167"/>
    <mergeCell ref="Q164:Q167"/>
    <mergeCell ref="V164:AF164"/>
    <mergeCell ref="AG164:FT164"/>
    <mergeCell ref="K165:K166"/>
    <mergeCell ref="AQ165:AQ166"/>
    <mergeCell ref="FU169:FU170"/>
    <mergeCell ref="AN169:AN170"/>
    <mergeCell ref="AO169:AO170"/>
    <mergeCell ref="AP169:AP170"/>
    <mergeCell ref="J168:J171"/>
    <mergeCell ref="Q168:Q171"/>
    <mergeCell ref="V168:AF168"/>
    <mergeCell ref="FU91:FU92"/>
    <mergeCell ref="AN91:AN92"/>
    <mergeCell ref="AO91:AO92"/>
    <mergeCell ref="AP91:AP92"/>
    <mergeCell ref="G88:G99"/>
    <mergeCell ref="V88:AF88"/>
    <mergeCell ref="AG88:FT88"/>
    <mergeCell ref="H89:H99"/>
    <mergeCell ref="I89:I98"/>
    <mergeCell ref="P89:P98"/>
    <mergeCell ref="V89:AF89"/>
    <mergeCell ref="AG89:FT89"/>
    <mergeCell ref="J90:J93"/>
    <mergeCell ref="Q90:Q93"/>
    <mergeCell ref="V90:AF90"/>
    <mergeCell ref="AG90:FT90"/>
    <mergeCell ref="K91:K92"/>
    <mergeCell ref="AQ91:AQ92"/>
    <mergeCell ref="DB91:DB92"/>
    <mergeCell ref="DC91:DC92"/>
    <mergeCell ref="DD91:DD92"/>
    <mergeCell ref="DE91:DE92"/>
    <mergeCell ref="ET91:ET92"/>
    <mergeCell ref="EU91:EU92"/>
    <mergeCell ref="EV91:EV92"/>
    <mergeCell ref="EW91:EW92"/>
    <mergeCell ref="FE91:FE92"/>
    <mergeCell ref="FF91:FF92"/>
    <mergeCell ref="FG91:FG92"/>
    <mergeCell ref="FH91:FH92"/>
    <mergeCell ref="J94:J97"/>
    <mergeCell ref="Q94:Q97"/>
    <mergeCell ref="FU83:FU84"/>
    <mergeCell ref="AN83:AN84"/>
    <mergeCell ref="AO83:AO84"/>
    <mergeCell ref="AP83:AP84"/>
    <mergeCell ref="G80:G87"/>
    <mergeCell ref="V80:AF80"/>
    <mergeCell ref="AG80:FT80"/>
    <mergeCell ref="H81:H87"/>
    <mergeCell ref="I81:I86"/>
    <mergeCell ref="P81:P86"/>
    <mergeCell ref="V81:AF81"/>
    <mergeCell ref="AG81:FT81"/>
    <mergeCell ref="J82:J85"/>
    <mergeCell ref="Q82:Q85"/>
    <mergeCell ref="V82:AF82"/>
    <mergeCell ref="AG82:FT82"/>
    <mergeCell ref="K83:K84"/>
    <mergeCell ref="AQ83:AQ84"/>
    <mergeCell ref="DB83:DB84"/>
    <mergeCell ref="DC83:DC84"/>
    <mergeCell ref="DD83:DD84"/>
    <mergeCell ref="DE83:DE84"/>
    <mergeCell ref="EW83:EW84"/>
    <mergeCell ref="FE83:FE84"/>
    <mergeCell ref="FF83:FF84"/>
    <mergeCell ref="FG83:FG84"/>
    <mergeCell ref="FH83:FH84"/>
    <mergeCell ref="AC83:AC84"/>
    <mergeCell ref="AD83:AD84"/>
    <mergeCell ref="AE83:AE84"/>
    <mergeCell ref="AF83:AF84"/>
    <mergeCell ref="P57:P66"/>
    <mergeCell ref="V57:AF57"/>
    <mergeCell ref="AG57:FT57"/>
    <mergeCell ref="J58:J61"/>
    <mergeCell ref="Q58:Q61"/>
    <mergeCell ref="V58:AF58"/>
    <mergeCell ref="AG58:FT58"/>
    <mergeCell ref="K59:K60"/>
    <mergeCell ref="AQ59:AQ60"/>
    <mergeCell ref="FU71:FU72"/>
    <mergeCell ref="AN71:AN72"/>
    <mergeCell ref="AO71:AO72"/>
    <mergeCell ref="AP71:AP72"/>
    <mergeCell ref="G68:G79"/>
    <mergeCell ref="V68:AF68"/>
    <mergeCell ref="AG68:FT68"/>
    <mergeCell ref="H69:H79"/>
    <mergeCell ref="I69:I78"/>
    <mergeCell ref="P69:P78"/>
    <mergeCell ref="V69:AF69"/>
    <mergeCell ref="AG69:FT69"/>
    <mergeCell ref="J70:J73"/>
    <mergeCell ref="Q70:Q73"/>
    <mergeCell ref="V70:AF70"/>
    <mergeCell ref="AG70:FT70"/>
    <mergeCell ref="K71:K72"/>
    <mergeCell ref="AQ71:AQ72"/>
    <mergeCell ref="BA59:BA60"/>
    <mergeCell ref="BB59:BB60"/>
    <mergeCell ref="AY71:AY72"/>
    <mergeCell ref="AZ71:AZ72"/>
    <mergeCell ref="BA71:BA72"/>
    <mergeCell ref="FU421:FU422"/>
    <mergeCell ref="AN421:AN422"/>
    <mergeCell ref="AO421:AO422"/>
    <mergeCell ref="AP421:AP422"/>
    <mergeCell ref="F417:F430"/>
    <mergeCell ref="V417:AF417"/>
    <mergeCell ref="AG417:FT417"/>
    <mergeCell ref="G418:G429"/>
    <mergeCell ref="V418:AF418"/>
    <mergeCell ref="AG418:FT418"/>
    <mergeCell ref="H419:H429"/>
    <mergeCell ref="I419:I428"/>
    <mergeCell ref="P419:P428"/>
    <mergeCell ref="V419:AF419"/>
    <mergeCell ref="AG419:FT419"/>
    <mergeCell ref="J420:J423"/>
    <mergeCell ref="Q420:Q423"/>
    <mergeCell ref="V420:AF420"/>
    <mergeCell ref="AG420:FT420"/>
    <mergeCell ref="K421:K422"/>
    <mergeCell ref="AQ421:AQ422"/>
    <mergeCell ref="AY421:AY422"/>
    <mergeCell ref="AZ421:AZ422"/>
    <mergeCell ref="BA421:BA422"/>
    <mergeCell ref="BB421:BB422"/>
    <mergeCell ref="BJ421:BJ422"/>
    <mergeCell ref="BK421:BK422"/>
    <mergeCell ref="BL421:BL422"/>
    <mergeCell ref="BM421:BM422"/>
    <mergeCell ref="CQ421:CQ422"/>
    <mergeCell ref="CR421:CR422"/>
    <mergeCell ref="CS421:CS422"/>
    <mergeCell ref="FU407:FU408"/>
    <mergeCell ref="AN407:AN408"/>
    <mergeCell ref="AO407:AO408"/>
    <mergeCell ref="AP407:AP408"/>
    <mergeCell ref="F403:F416"/>
    <mergeCell ref="V403:AF403"/>
    <mergeCell ref="AG403:FT403"/>
    <mergeCell ref="G404:G415"/>
    <mergeCell ref="V404:AF404"/>
    <mergeCell ref="AG404:FT404"/>
    <mergeCell ref="H405:H415"/>
    <mergeCell ref="I405:I414"/>
    <mergeCell ref="P405:P414"/>
    <mergeCell ref="V405:AF405"/>
    <mergeCell ref="AG405:FT405"/>
    <mergeCell ref="J406:J409"/>
    <mergeCell ref="Q406:Q409"/>
    <mergeCell ref="V406:AF406"/>
    <mergeCell ref="AG406:FT406"/>
    <mergeCell ref="K407:K408"/>
    <mergeCell ref="AQ407:AQ408"/>
    <mergeCell ref="AY407:AY408"/>
    <mergeCell ref="AZ407:AZ408"/>
    <mergeCell ref="BA407:BA408"/>
    <mergeCell ref="BB407:BB408"/>
    <mergeCell ref="BJ407:BJ408"/>
    <mergeCell ref="BK407:BK408"/>
    <mergeCell ref="BL407:BL408"/>
    <mergeCell ref="BM407:BM408"/>
    <mergeCell ref="DB407:DB408"/>
    <mergeCell ref="DC407:DC408"/>
    <mergeCell ref="DD407:DD408"/>
    <mergeCell ref="FU393:FU394"/>
    <mergeCell ref="AN393:AN394"/>
    <mergeCell ref="AO393:AO394"/>
    <mergeCell ref="AP393:AP394"/>
    <mergeCell ref="F389:F402"/>
    <mergeCell ref="V389:AF389"/>
    <mergeCell ref="AG389:FT389"/>
    <mergeCell ref="G390:G401"/>
    <mergeCell ref="V390:AF390"/>
    <mergeCell ref="AG390:FT390"/>
    <mergeCell ref="H391:H401"/>
    <mergeCell ref="I391:I400"/>
    <mergeCell ref="P391:P400"/>
    <mergeCell ref="V391:AF391"/>
    <mergeCell ref="AG391:FT391"/>
    <mergeCell ref="J392:J395"/>
    <mergeCell ref="Q392:Q395"/>
    <mergeCell ref="V392:AF392"/>
    <mergeCell ref="AG392:FT392"/>
    <mergeCell ref="K393:K394"/>
    <mergeCell ref="AQ393:AQ394"/>
    <mergeCell ref="AY393:AY394"/>
    <mergeCell ref="AZ393:AZ394"/>
    <mergeCell ref="BA393:BA394"/>
    <mergeCell ref="BB393:BB394"/>
    <mergeCell ref="BJ393:BJ394"/>
    <mergeCell ref="BK393:BK394"/>
    <mergeCell ref="BL393:BL394"/>
    <mergeCell ref="BM393:BM394"/>
    <mergeCell ref="EI393:EI394"/>
    <mergeCell ref="EJ393:EJ394"/>
    <mergeCell ref="EK393:EK394"/>
    <mergeCell ref="FU379:FU380"/>
    <mergeCell ref="AN379:AN380"/>
    <mergeCell ref="AO379:AO380"/>
    <mergeCell ref="AP379:AP380"/>
    <mergeCell ref="F375:F388"/>
    <mergeCell ref="V375:AF375"/>
    <mergeCell ref="AG375:FT375"/>
    <mergeCell ref="G376:G387"/>
    <mergeCell ref="V376:AF376"/>
    <mergeCell ref="AG376:FT376"/>
    <mergeCell ref="H377:H387"/>
    <mergeCell ref="I377:I386"/>
    <mergeCell ref="P377:P386"/>
    <mergeCell ref="V377:AF377"/>
    <mergeCell ref="AG377:FT377"/>
    <mergeCell ref="J378:J381"/>
    <mergeCell ref="Q378:Q381"/>
    <mergeCell ref="V378:AF378"/>
    <mergeCell ref="AG378:FT378"/>
    <mergeCell ref="K379:K380"/>
    <mergeCell ref="AQ379:AQ380"/>
    <mergeCell ref="AY379:AY380"/>
    <mergeCell ref="AZ379:AZ380"/>
    <mergeCell ref="BA379:BA380"/>
    <mergeCell ref="BB379:BB380"/>
    <mergeCell ref="BJ379:BJ380"/>
    <mergeCell ref="BK379:BK380"/>
    <mergeCell ref="BL379:BL380"/>
    <mergeCell ref="BM379:BM380"/>
    <mergeCell ref="FU383:FU384"/>
    <mergeCell ref="AN383:AN384"/>
    <mergeCell ref="AO383:AO384"/>
    <mergeCell ref="FU365:FU366"/>
    <mergeCell ref="AN365:AN366"/>
    <mergeCell ref="AO365:AO366"/>
    <mergeCell ref="AP365:AP366"/>
    <mergeCell ref="F361:F374"/>
    <mergeCell ref="V361:AF361"/>
    <mergeCell ref="AG361:FT361"/>
    <mergeCell ref="G362:G373"/>
    <mergeCell ref="V362:AF362"/>
    <mergeCell ref="AG362:FT362"/>
    <mergeCell ref="H363:H373"/>
    <mergeCell ref="I363:I372"/>
    <mergeCell ref="P363:P372"/>
    <mergeCell ref="V363:AF363"/>
    <mergeCell ref="AG363:FT363"/>
    <mergeCell ref="J364:J367"/>
    <mergeCell ref="Q364:Q367"/>
    <mergeCell ref="V364:AF364"/>
    <mergeCell ref="AG364:FT364"/>
    <mergeCell ref="K365:K366"/>
    <mergeCell ref="AQ365:AQ366"/>
    <mergeCell ref="AY365:AY366"/>
    <mergeCell ref="AZ365:AZ366"/>
    <mergeCell ref="BA365:BA366"/>
    <mergeCell ref="BB365:BB366"/>
    <mergeCell ref="BJ365:BJ366"/>
    <mergeCell ref="BK365:BK366"/>
    <mergeCell ref="BL365:BL366"/>
    <mergeCell ref="BM365:BM366"/>
    <mergeCell ref="BU365:BU366"/>
    <mergeCell ref="BV365:BV366"/>
    <mergeCell ref="BW365:BW366"/>
    <mergeCell ref="FU351:FU352"/>
    <mergeCell ref="AN351:AN352"/>
    <mergeCell ref="AO351:AO352"/>
    <mergeCell ref="AP351:AP352"/>
    <mergeCell ref="F347:F360"/>
    <mergeCell ref="V347:AF347"/>
    <mergeCell ref="AG347:FT347"/>
    <mergeCell ref="G348:G359"/>
    <mergeCell ref="V348:AF348"/>
    <mergeCell ref="AG348:FT348"/>
    <mergeCell ref="H349:H359"/>
    <mergeCell ref="I349:I358"/>
    <mergeCell ref="P349:P358"/>
    <mergeCell ref="V349:AF349"/>
    <mergeCell ref="AG349:FT349"/>
    <mergeCell ref="J350:J353"/>
    <mergeCell ref="Q350:Q353"/>
    <mergeCell ref="V350:AF350"/>
    <mergeCell ref="AG350:FT350"/>
    <mergeCell ref="K351:K352"/>
    <mergeCell ref="AQ351:AQ352"/>
    <mergeCell ref="BU351:BU352"/>
    <mergeCell ref="BV351:BV352"/>
    <mergeCell ref="BW351:BW352"/>
    <mergeCell ref="BX351:BX352"/>
    <mergeCell ref="CF351:CF352"/>
    <mergeCell ref="CG351:CG352"/>
    <mergeCell ref="CH351:CH352"/>
    <mergeCell ref="CI351:CI352"/>
    <mergeCell ref="CQ351:CQ352"/>
    <mergeCell ref="CR351:CR352"/>
    <mergeCell ref="CS351:CS352"/>
    <mergeCell ref="FU337:FU338"/>
    <mergeCell ref="AN337:AN338"/>
    <mergeCell ref="AO337:AO338"/>
    <mergeCell ref="AP337:AP338"/>
    <mergeCell ref="F333:F346"/>
    <mergeCell ref="V333:AF333"/>
    <mergeCell ref="AG333:FT333"/>
    <mergeCell ref="G334:G345"/>
    <mergeCell ref="V334:AF334"/>
    <mergeCell ref="AG334:FT334"/>
    <mergeCell ref="H335:H345"/>
    <mergeCell ref="I335:I344"/>
    <mergeCell ref="P335:P344"/>
    <mergeCell ref="V335:AF335"/>
    <mergeCell ref="AG335:FT335"/>
    <mergeCell ref="J336:J339"/>
    <mergeCell ref="Q336:Q339"/>
    <mergeCell ref="V336:AF336"/>
    <mergeCell ref="AG336:FT336"/>
    <mergeCell ref="K337:K338"/>
    <mergeCell ref="AQ337:AQ338"/>
    <mergeCell ref="CF337:CF338"/>
    <mergeCell ref="CG337:CG338"/>
    <mergeCell ref="CH337:CH338"/>
    <mergeCell ref="CI337:CI338"/>
    <mergeCell ref="CQ337:CQ338"/>
    <mergeCell ref="CR337:CR338"/>
    <mergeCell ref="CS337:CS338"/>
    <mergeCell ref="CT337:CT338"/>
    <mergeCell ref="DB337:DB338"/>
    <mergeCell ref="DC337:DC338"/>
    <mergeCell ref="DD337:DD338"/>
    <mergeCell ref="FU323:FU324"/>
    <mergeCell ref="AN323:AN324"/>
    <mergeCell ref="AO323:AO324"/>
    <mergeCell ref="AP323:AP324"/>
    <mergeCell ref="F319:F332"/>
    <mergeCell ref="V319:AF319"/>
    <mergeCell ref="AG319:FT319"/>
    <mergeCell ref="G320:G331"/>
    <mergeCell ref="V320:AF320"/>
    <mergeCell ref="AG320:FT320"/>
    <mergeCell ref="H321:H331"/>
    <mergeCell ref="I321:I330"/>
    <mergeCell ref="P321:P330"/>
    <mergeCell ref="V321:AF321"/>
    <mergeCell ref="AG321:FT321"/>
    <mergeCell ref="J322:J325"/>
    <mergeCell ref="Q322:Q325"/>
    <mergeCell ref="V322:AF322"/>
    <mergeCell ref="AG322:FT322"/>
    <mergeCell ref="K323:K324"/>
    <mergeCell ref="AQ323:AQ324"/>
    <mergeCell ref="DB323:DB324"/>
    <mergeCell ref="DC323:DC324"/>
    <mergeCell ref="DD323:DD324"/>
    <mergeCell ref="DE323:DE324"/>
    <mergeCell ref="DX323:DX324"/>
    <mergeCell ref="DY323:DY324"/>
    <mergeCell ref="DZ323:DZ324"/>
    <mergeCell ref="EA323:EA324"/>
    <mergeCell ref="EI323:EI324"/>
    <mergeCell ref="EJ323:EJ324"/>
    <mergeCell ref="EK323:EK324"/>
    <mergeCell ref="FU297:FU298"/>
    <mergeCell ref="AN297:AN298"/>
    <mergeCell ref="AO297:AO298"/>
    <mergeCell ref="AP297:AP298"/>
    <mergeCell ref="F293:F318"/>
    <mergeCell ref="V293:AF293"/>
    <mergeCell ref="AG293:FT293"/>
    <mergeCell ref="G294:G305"/>
    <mergeCell ref="V294:AF294"/>
    <mergeCell ref="AG294:FT294"/>
    <mergeCell ref="H295:H305"/>
    <mergeCell ref="I295:I304"/>
    <mergeCell ref="P295:P304"/>
    <mergeCell ref="V295:AF295"/>
    <mergeCell ref="AG295:FT295"/>
    <mergeCell ref="J296:J299"/>
    <mergeCell ref="Q296:Q299"/>
    <mergeCell ref="V296:AF296"/>
    <mergeCell ref="AG296:FT296"/>
    <mergeCell ref="K297:K298"/>
    <mergeCell ref="AQ297:AQ298"/>
    <mergeCell ref="FU309:FU310"/>
    <mergeCell ref="AN309:AN310"/>
    <mergeCell ref="AO309:AO310"/>
    <mergeCell ref="AP309:AP310"/>
    <mergeCell ref="G306:G317"/>
    <mergeCell ref="V306:AF306"/>
    <mergeCell ref="AG306:FT306"/>
    <mergeCell ref="H307:H317"/>
    <mergeCell ref="I307:I316"/>
    <mergeCell ref="P307:P316"/>
    <mergeCell ref="V307:AF307"/>
    <mergeCell ref="FU283:FU284"/>
    <mergeCell ref="AN283:AN284"/>
    <mergeCell ref="AO283:AO284"/>
    <mergeCell ref="AP283:AP284"/>
    <mergeCell ref="F279:F292"/>
    <mergeCell ref="V279:AF279"/>
    <mergeCell ref="AG279:FT279"/>
    <mergeCell ref="G280:G291"/>
    <mergeCell ref="V280:AF280"/>
    <mergeCell ref="AG280:FT280"/>
    <mergeCell ref="H281:H291"/>
    <mergeCell ref="I281:I290"/>
    <mergeCell ref="P281:P290"/>
    <mergeCell ref="V281:AF281"/>
    <mergeCell ref="AG281:FT281"/>
    <mergeCell ref="J282:J285"/>
    <mergeCell ref="Q282:Q285"/>
    <mergeCell ref="V282:AF282"/>
    <mergeCell ref="AG282:FT282"/>
    <mergeCell ref="K283:K284"/>
    <mergeCell ref="AQ283:AQ284"/>
    <mergeCell ref="AY283:AY284"/>
    <mergeCell ref="AZ283:AZ284"/>
    <mergeCell ref="BA283:BA284"/>
    <mergeCell ref="BB283:BB284"/>
    <mergeCell ref="BJ283:BJ284"/>
    <mergeCell ref="BK283:BK284"/>
    <mergeCell ref="BL283:BL284"/>
    <mergeCell ref="BM283:BM284"/>
    <mergeCell ref="BU283:BU284"/>
    <mergeCell ref="BV283:BV284"/>
    <mergeCell ref="BW283:BW284"/>
    <mergeCell ref="FU269:FU270"/>
    <mergeCell ref="AN269:AN270"/>
    <mergeCell ref="AO269:AO270"/>
    <mergeCell ref="AP269:AP270"/>
    <mergeCell ref="F265:F278"/>
    <mergeCell ref="V265:AF265"/>
    <mergeCell ref="AG265:FT265"/>
    <mergeCell ref="G266:G277"/>
    <mergeCell ref="V266:AF266"/>
    <mergeCell ref="AG266:FT266"/>
    <mergeCell ref="H267:H277"/>
    <mergeCell ref="I267:I276"/>
    <mergeCell ref="P267:P276"/>
    <mergeCell ref="V267:AF267"/>
    <mergeCell ref="AG267:FT267"/>
    <mergeCell ref="J268:J271"/>
    <mergeCell ref="Q268:Q271"/>
    <mergeCell ref="V268:AF268"/>
    <mergeCell ref="AG268:FT268"/>
    <mergeCell ref="K269:K270"/>
    <mergeCell ref="AQ269:AQ270"/>
    <mergeCell ref="BJ269:BJ270"/>
    <mergeCell ref="BK269:BK270"/>
    <mergeCell ref="BL269:BL270"/>
    <mergeCell ref="BM269:BM270"/>
    <mergeCell ref="BU269:BU270"/>
    <mergeCell ref="BV269:BV270"/>
    <mergeCell ref="BW269:BW270"/>
    <mergeCell ref="BX269:BX270"/>
    <mergeCell ref="CF269:CF270"/>
    <mergeCell ref="CG269:CG270"/>
    <mergeCell ref="CH269:CH270"/>
    <mergeCell ref="FU255:FU256"/>
    <mergeCell ref="AN255:AN256"/>
    <mergeCell ref="AO255:AO256"/>
    <mergeCell ref="AP255:AP256"/>
    <mergeCell ref="F251:F264"/>
    <mergeCell ref="V251:AF251"/>
    <mergeCell ref="AG251:FT251"/>
    <mergeCell ref="G252:G263"/>
    <mergeCell ref="V252:AF252"/>
    <mergeCell ref="AG252:FT252"/>
    <mergeCell ref="H253:H263"/>
    <mergeCell ref="I253:I262"/>
    <mergeCell ref="P253:P262"/>
    <mergeCell ref="V253:AF253"/>
    <mergeCell ref="AG253:FT253"/>
    <mergeCell ref="J254:J257"/>
    <mergeCell ref="Q254:Q257"/>
    <mergeCell ref="V254:AF254"/>
    <mergeCell ref="AG254:FT254"/>
    <mergeCell ref="K255:K256"/>
    <mergeCell ref="AQ255:AQ256"/>
    <mergeCell ref="CF255:CF256"/>
    <mergeCell ref="CG255:CG256"/>
    <mergeCell ref="CH255:CH256"/>
    <mergeCell ref="CI255:CI256"/>
    <mergeCell ref="CQ255:CQ256"/>
    <mergeCell ref="CR255:CR256"/>
    <mergeCell ref="CS255:CS256"/>
    <mergeCell ref="CT255:CT256"/>
    <mergeCell ref="DB255:DB256"/>
    <mergeCell ref="DC255:DC256"/>
    <mergeCell ref="DD255:DD256"/>
    <mergeCell ref="FU241:FU242"/>
    <mergeCell ref="AN241:AN242"/>
    <mergeCell ref="AO241:AO242"/>
    <mergeCell ref="AP241:AP242"/>
    <mergeCell ref="F237:F250"/>
    <mergeCell ref="V237:AF237"/>
    <mergeCell ref="AG237:FT237"/>
    <mergeCell ref="G238:G249"/>
    <mergeCell ref="V238:AF238"/>
    <mergeCell ref="AG238:FT238"/>
    <mergeCell ref="H239:H249"/>
    <mergeCell ref="I239:I248"/>
    <mergeCell ref="P239:P248"/>
    <mergeCell ref="V239:AF239"/>
    <mergeCell ref="AG239:FT239"/>
    <mergeCell ref="J240:J243"/>
    <mergeCell ref="Q240:Q243"/>
    <mergeCell ref="V240:AF240"/>
    <mergeCell ref="AG240:FT240"/>
    <mergeCell ref="K241:K242"/>
    <mergeCell ref="AQ241:AQ242"/>
    <mergeCell ref="DC245:DC246"/>
    <mergeCell ref="DD245:DD246"/>
    <mergeCell ref="DE245:DE246"/>
    <mergeCell ref="DX245:DX246"/>
    <mergeCell ref="DY245:DY246"/>
    <mergeCell ref="DZ245:DZ246"/>
    <mergeCell ref="EA245:EA246"/>
    <mergeCell ref="EI245:EI246"/>
    <mergeCell ref="EJ245:EJ246"/>
    <mergeCell ref="EK245:EK246"/>
    <mergeCell ref="EL245:EL246"/>
    <mergeCell ref="FU227:FU228"/>
    <mergeCell ref="AN227:AN228"/>
    <mergeCell ref="AO227:AO228"/>
    <mergeCell ref="AP227:AP228"/>
    <mergeCell ref="F223:F236"/>
    <mergeCell ref="V223:AF223"/>
    <mergeCell ref="AG223:FT223"/>
    <mergeCell ref="G224:G235"/>
    <mergeCell ref="V224:AF224"/>
    <mergeCell ref="AG224:FT224"/>
    <mergeCell ref="H225:H235"/>
    <mergeCell ref="I225:I234"/>
    <mergeCell ref="P225:P234"/>
    <mergeCell ref="V225:AF225"/>
    <mergeCell ref="AG225:FT225"/>
    <mergeCell ref="J226:J229"/>
    <mergeCell ref="Q226:Q229"/>
    <mergeCell ref="V226:AF226"/>
    <mergeCell ref="AG226:FT226"/>
    <mergeCell ref="K227:K228"/>
    <mergeCell ref="AQ227:AQ228"/>
    <mergeCell ref="FU231:FU232"/>
    <mergeCell ref="AN231:AN232"/>
    <mergeCell ref="AO231:AO232"/>
    <mergeCell ref="AP231:AP232"/>
    <mergeCell ref="J230:J233"/>
    <mergeCell ref="Q230:Q233"/>
    <mergeCell ref="V230:AF230"/>
    <mergeCell ref="K231:K232"/>
    <mergeCell ref="EI231:EI232"/>
    <mergeCell ref="EJ231:EJ232"/>
    <mergeCell ref="EK231:EK232"/>
    <mergeCell ref="FU193:FU194"/>
    <mergeCell ref="AN193:AN194"/>
    <mergeCell ref="AO193:AO194"/>
    <mergeCell ref="AP193:AP194"/>
    <mergeCell ref="F189:F222"/>
    <mergeCell ref="V189:AF189"/>
    <mergeCell ref="AG189:FT189"/>
    <mergeCell ref="G190:G201"/>
    <mergeCell ref="V190:AF190"/>
    <mergeCell ref="AG190:FT190"/>
    <mergeCell ref="H191:H201"/>
    <mergeCell ref="I191:I200"/>
    <mergeCell ref="P191:P200"/>
    <mergeCell ref="V191:AF191"/>
    <mergeCell ref="AG191:FT191"/>
    <mergeCell ref="J192:J195"/>
    <mergeCell ref="Q192:Q195"/>
    <mergeCell ref="V192:AF192"/>
    <mergeCell ref="AG192:FT192"/>
    <mergeCell ref="K193:K194"/>
    <mergeCell ref="AQ193:AQ194"/>
    <mergeCell ref="FU205:FU206"/>
    <mergeCell ref="AN205:AN206"/>
    <mergeCell ref="AO205:AO206"/>
    <mergeCell ref="AP205:AP206"/>
    <mergeCell ref="G202:G213"/>
    <mergeCell ref="V202:AF202"/>
    <mergeCell ref="AG202:FT202"/>
    <mergeCell ref="H203:H213"/>
    <mergeCell ref="I203:I212"/>
    <mergeCell ref="P203:P212"/>
    <mergeCell ref="V203:AF203"/>
    <mergeCell ref="FU179:FU180"/>
    <mergeCell ref="AN179:AN180"/>
    <mergeCell ref="AO179:AO180"/>
    <mergeCell ref="AP179:AP180"/>
    <mergeCell ref="F175:F188"/>
    <mergeCell ref="V175:AF175"/>
    <mergeCell ref="AG175:FT175"/>
    <mergeCell ref="G176:G187"/>
    <mergeCell ref="V176:AF176"/>
    <mergeCell ref="AG176:FT176"/>
    <mergeCell ref="H177:H187"/>
    <mergeCell ref="I177:I186"/>
    <mergeCell ref="P177:P186"/>
    <mergeCell ref="V177:AF177"/>
    <mergeCell ref="AG177:FT177"/>
    <mergeCell ref="J178:J181"/>
    <mergeCell ref="Q178:Q181"/>
    <mergeCell ref="V178:AF178"/>
    <mergeCell ref="AG178:FT178"/>
    <mergeCell ref="K179:K180"/>
    <mergeCell ref="AQ179:AQ180"/>
    <mergeCell ref="DB179:DB180"/>
    <mergeCell ref="DC179:DC180"/>
    <mergeCell ref="DD179:DD180"/>
    <mergeCell ref="DE179:DE180"/>
    <mergeCell ref="J182:J185"/>
    <mergeCell ref="Q182:Q185"/>
    <mergeCell ref="V182:AF182"/>
    <mergeCell ref="K183:K184"/>
    <mergeCell ref="CF183:CF184"/>
    <mergeCell ref="CG183:CG184"/>
    <mergeCell ref="CH183:CH184"/>
    <mergeCell ref="FU145:FU146"/>
    <mergeCell ref="AN145:AN146"/>
    <mergeCell ref="AO145:AO146"/>
    <mergeCell ref="AP145:AP146"/>
    <mergeCell ref="F141:F174"/>
    <mergeCell ref="V141:AF141"/>
    <mergeCell ref="AG141:FT141"/>
    <mergeCell ref="G142:G153"/>
    <mergeCell ref="V142:AF142"/>
    <mergeCell ref="AG142:FT142"/>
    <mergeCell ref="H143:H153"/>
    <mergeCell ref="I143:I152"/>
    <mergeCell ref="P143:P152"/>
    <mergeCell ref="V143:AF143"/>
    <mergeCell ref="AG143:FT143"/>
    <mergeCell ref="J144:J147"/>
    <mergeCell ref="Q144:Q147"/>
    <mergeCell ref="V144:AF144"/>
    <mergeCell ref="AG144:FT144"/>
    <mergeCell ref="K145:K146"/>
    <mergeCell ref="AQ145:AQ146"/>
    <mergeCell ref="FU157:FU158"/>
    <mergeCell ref="AN157:AN158"/>
    <mergeCell ref="AO157:AO158"/>
    <mergeCell ref="AP157:AP158"/>
    <mergeCell ref="G154:G161"/>
    <mergeCell ref="V154:AF154"/>
    <mergeCell ref="AG154:FT154"/>
    <mergeCell ref="H155:H161"/>
    <mergeCell ref="I155:I160"/>
    <mergeCell ref="P155:P160"/>
    <mergeCell ref="V155:AF155"/>
    <mergeCell ref="FU131:FU132"/>
    <mergeCell ref="AN131:AN132"/>
    <mergeCell ref="AO131:AO132"/>
    <mergeCell ref="AP131:AP132"/>
    <mergeCell ref="F127:F140"/>
    <mergeCell ref="V127:AF127"/>
    <mergeCell ref="AG127:FT127"/>
    <mergeCell ref="G128:G139"/>
    <mergeCell ref="V128:AF128"/>
    <mergeCell ref="AG128:FT128"/>
    <mergeCell ref="H129:H139"/>
    <mergeCell ref="I129:I138"/>
    <mergeCell ref="P129:P138"/>
    <mergeCell ref="V129:AF129"/>
    <mergeCell ref="AG129:FT129"/>
    <mergeCell ref="J130:J133"/>
    <mergeCell ref="Q130:Q133"/>
    <mergeCell ref="V130:AF130"/>
    <mergeCell ref="AG130:FT130"/>
    <mergeCell ref="K131:K132"/>
    <mergeCell ref="AQ131:AQ132"/>
    <mergeCell ref="BJ131:BJ132"/>
    <mergeCell ref="BK131:BK132"/>
    <mergeCell ref="BL131:BL132"/>
    <mergeCell ref="BM131:BM132"/>
    <mergeCell ref="BU131:BU132"/>
    <mergeCell ref="BV131:BV132"/>
    <mergeCell ref="BW131:BW132"/>
    <mergeCell ref="BX131:BX132"/>
    <mergeCell ref="CF131:CF132"/>
    <mergeCell ref="CG131:CG132"/>
    <mergeCell ref="CH131:CH132"/>
    <mergeCell ref="W38:Y38"/>
    <mergeCell ref="Z38:AB38"/>
    <mergeCell ref="FU117:FU118"/>
    <mergeCell ref="AN117:AN118"/>
    <mergeCell ref="AO117:AO118"/>
    <mergeCell ref="AP117:AP118"/>
    <mergeCell ref="F113:F126"/>
    <mergeCell ref="V113:AF113"/>
    <mergeCell ref="AG113:FT113"/>
    <mergeCell ref="G114:G125"/>
    <mergeCell ref="V114:AF114"/>
    <mergeCell ref="AG114:FT114"/>
    <mergeCell ref="H115:H125"/>
    <mergeCell ref="I115:I124"/>
    <mergeCell ref="P115:P124"/>
    <mergeCell ref="V115:AF115"/>
    <mergeCell ref="AG115:FT115"/>
    <mergeCell ref="J116:J119"/>
    <mergeCell ref="Q116:Q119"/>
    <mergeCell ref="V116:AF116"/>
    <mergeCell ref="AG116:FT116"/>
    <mergeCell ref="K117:K118"/>
    <mergeCell ref="AQ117:AQ118"/>
    <mergeCell ref="FU59:FU60"/>
    <mergeCell ref="AN59:AN60"/>
    <mergeCell ref="AO59:AO60"/>
    <mergeCell ref="AP59:AP60"/>
    <mergeCell ref="G56:G67"/>
    <mergeCell ref="V56:AF56"/>
    <mergeCell ref="AG56:FT56"/>
    <mergeCell ref="H57:H67"/>
    <mergeCell ref="I57:I66"/>
    <mergeCell ref="E2:E13"/>
    <mergeCell ref="V2:AF2"/>
    <mergeCell ref="AG2:FT2"/>
    <mergeCell ref="F3:F12"/>
    <mergeCell ref="V3:AF3"/>
    <mergeCell ref="AG3:FT3"/>
    <mergeCell ref="G4:G11"/>
    <mergeCell ref="V4:AF4"/>
    <mergeCell ref="AG4:FT4"/>
    <mergeCell ref="H5:H11"/>
    <mergeCell ref="I5:I10"/>
    <mergeCell ref="P5:P10"/>
    <mergeCell ref="V5:AF5"/>
    <mergeCell ref="AG5:FT5"/>
    <mergeCell ref="J6:J9"/>
    <mergeCell ref="Q6:Q9"/>
    <mergeCell ref="V6:AF6"/>
    <mergeCell ref="AG6:FT6"/>
    <mergeCell ref="K7:K8"/>
    <mergeCell ref="AC7:AC8"/>
    <mergeCell ref="AQ7:AQ8"/>
    <mergeCell ref="FU7:FU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FU36:FU40"/>
    <mergeCell ref="S37:S40"/>
    <mergeCell ref="T37:T40"/>
    <mergeCell ref="V37:AE37"/>
    <mergeCell ref="AF37:AF40"/>
    <mergeCell ref="AG37:AP37"/>
    <mergeCell ref="AQ37:AQ40"/>
    <mergeCell ref="S32:T32"/>
    <mergeCell ref="V32:AE32"/>
    <mergeCell ref="AG32:AP32"/>
    <mergeCell ref="S33:T33"/>
    <mergeCell ref="V33:AE33"/>
    <mergeCell ref="AG33:AP33"/>
    <mergeCell ref="FT37:FT40"/>
    <mergeCell ref="AD40:AE40"/>
    <mergeCell ref="AO40:AP40"/>
    <mergeCell ref="V35:AF35"/>
    <mergeCell ref="AG35:AQ35"/>
    <mergeCell ref="S36:FT36"/>
    <mergeCell ref="AN38:AP39"/>
    <mergeCell ref="AC38:AE39"/>
    <mergeCell ref="AL39:AM39"/>
    <mergeCell ref="S29:T29"/>
    <mergeCell ref="AG38:AG40"/>
    <mergeCell ref="AH38:AJ38"/>
    <mergeCell ref="AK38:AM38"/>
    <mergeCell ref="AH39:AH40"/>
    <mergeCell ref="AI39:AJ39"/>
    <mergeCell ref="AK39:AK40"/>
    <mergeCell ref="X39:Y39"/>
    <mergeCell ref="FU47:FU48"/>
    <mergeCell ref="T498:FU498"/>
    <mergeCell ref="T500:FU500"/>
    <mergeCell ref="K47:K48"/>
    <mergeCell ref="AN47:AN48"/>
    <mergeCell ref="V38:V40"/>
    <mergeCell ref="AD41:AE41"/>
    <mergeCell ref="AO41:AP41"/>
    <mergeCell ref="E42:E495"/>
    <mergeCell ref="V42:AF42"/>
    <mergeCell ref="AG42:FT42"/>
    <mergeCell ref="F43:F112"/>
    <mergeCell ref="V43:AF43"/>
    <mergeCell ref="AG43:FT43"/>
    <mergeCell ref="G44:G55"/>
    <mergeCell ref="V44:AF44"/>
    <mergeCell ref="AG44:FT44"/>
    <mergeCell ref="H45:H55"/>
    <mergeCell ref="I45:I54"/>
    <mergeCell ref="P45:P54"/>
    <mergeCell ref="V45:AF45"/>
    <mergeCell ref="AG45:FT45"/>
    <mergeCell ref="J46:J49"/>
    <mergeCell ref="Q46:Q49"/>
    <mergeCell ref="V46:AF46"/>
    <mergeCell ref="AG46:FT46"/>
    <mergeCell ref="AO47:AO48"/>
    <mergeCell ref="AP47:AP48"/>
    <mergeCell ref="AQ47:AQ48"/>
    <mergeCell ref="W39:W40"/>
    <mergeCell ref="Z39:Z40"/>
    <mergeCell ref="AA39:AB39"/>
  </mergeCells>
  <dataValidations count="7">
    <dataValidation allowBlank="1" showInputMessage="1" showErrorMessage="1" prompt="Для выбора выполните двойной щелчок левой клавиши мыши по соответствующей ячейке." sqref="AD66021 AD131557 AD197093 AD262629 AD328165 AD393701 AD459237 AD524773 AD590309 AD655845 AD721381 AD786917 AD852453 AD917989 AD983525 AF131557 AF459237 AF197093 AF262629 AF328165 AF393701 AF524773 AF590309 AF655845 AF721381 AF786917 AF852453 AF917989 AF983525 AF66021 AO66021 AO131557 AO197093 AO262629 AO328165 AO393701 AO459237 AO524773 AO590309 AO655845 AO721381 AO786917 AO852453 AO917989 AO983525 AQ524773:FS524773 AQ197093:FS197093 AQ590309:FS590309 AQ655845:FS655845 AQ15 AQ721381:FS721381 AQ786917:FS786917 AQ852453:FS852453 AQ917989:FS917989 AQ983525:FS983525 AQ66021:FS66021 AQ131557:FS131557 AQ459237:FS459237 AQ262629:FS262629 AQ7 AZ7 BB7 BK7 BM7 BV7 BX7 CG7 CI7 CR7 CT7 DC7 DE7 DN7 DP7 DY7 EA7 EJ7 EL7 EU7 EW7 FF7 FH7 FQ7 FS7 AO47 AQ328165:FS328165 AO15 AO7 AD7 AF7 AQ393701:FS393701 AQ47 AZ47 BB47 BK47 BM47 BV47 BX47 CG47 CI47 CR47 CT47 DC47 DE47 DN47 DP47 DY47 EA47 EJ47 EL47 EU47 EW47 FF47 FH47 FQ47 FS47 AD47 AF47 AD117 AF117 AO117 AQ117 AZ117 BB117 BK117 BM117 BV117 BX117 CG117 CI117 CR117 CT117 DC117 DE117 DN117 DP117 DY117 EA117 EJ117 EL117 EU117 EW117 FF117 FH117 FQ117 FS117 AD131 AF131 AO131 AQ131 AZ131 BB131 BK131 BM131 BV131 BX131 CG131 CI131 CR131 CT131 DC131 DE131 DN131 DP131 DY131 EA131 EJ131 EL131 EU131 EW131 FF131 FH131 FQ131 FS131 AD145 AF145 AO145 AQ145 AZ145 BB145 BK145 BM145 BV145 BX145 CG145 CI145 CR145 CT145 DC145 DE145 DN145 DP145 DY145 EA145 EJ145 EL145 EU145 EW145 FF145 FH145 FQ145 FS145 AD179 AF179 AO179 AQ179 AZ179 BB179 BK179 BM179 BV179 BX179 CG179 CI179 CR179 CT179 DC179 DE179 DN179 DP179 DY179 EA179 EJ179 EL179 EU179 EW179 FF179 FH179 FQ179 FS179 AD193 AF193 AO193 AQ193 AZ193 BB193 BK193 BM193 BV193 BX193 CG193 CI193 CR193 CT193 DC193 DE193 DN193 DP193 DY193 EA193 EJ193 EL193 EU193 EW193 FF193 FH193 FQ193 FS193 AD227 AF227 AO227 AQ227 AZ227 BB227 BK227 BM227 BV227 BX227 CG227 CI227 CR227 CT227 DC227 DE227 DN227 DP227 DY227 EA227 EJ227 EL227 EU227 EW227 FF227 FH227 FQ227 FS227 AD241 AF241 AO241 AQ241 AZ241 BB241 BK241 BM241 BV241 BX241 CG241 CI241 CR241 CT241 DC241 DE241 DN241 DP241 DY241 EA241 EJ241 EL241 EU241 EW241 FF241 FH241 FQ241 FS241 AD255 AF255 AO255 AQ255 AZ255 BB255 BK255 BM255 BV255 BX255 CG255 CI255 CR255 CT255 DC255 DE255 DN255 DP255 DY255 EA255 EJ255 EL255 EU255 EW255 FF255 FH255 FQ255 FS255 AD269 AF269 AO269 AQ269 AZ269 BB269 BK269 BM269 BV269 BX269 CG269 CI269 CR269 CT269 DC269 DE269 DN269 DP269 DY269 EA269 EJ269 EL269 EU269 EW269 FF269 FH269 FQ269 FS269 AD283 AF283 AO283 AQ283 AZ283 BB283 BK283 BM283 BV283 BX283 CG283 CI283 CR283 CT283 DC283 DE283 DN283 DP283 DY283 EA283 EJ283 EL283 EU283 EW283 FF283 FH283 FQ283 FS283 AD297 AF297 AO297 AQ297 AZ297 BB297 BK297 BM297 BV297 BX297 CG297 CI297 CR297 CT297 DC297 DE297 DN297 DP297 DY297 EA297 EJ297 EL297 EU297 EW297 FF297 FH297 FQ297 FS297 AD323 AF323 AO323 AQ323 AZ323 BB323 BK323 BM323 BV323 BX323 CG323 CI323 CR323 CT323 DC323 DE323 DN323 DP323 DY323 EA323 EJ323 EL323 EU323 EW323 FF323 FH323 FQ323 FS323 AD337 AF337 AO337 AQ337 AZ337 BB337 BK337 BM337 BV337 BX337 CG337 CI337 CR337 CT337 DC337 DE337 DN337 DP337 DY337 EA337 EJ337 EL337 EU337 EW337 FF337 FH337 FQ337 FS337 AD351 AF351 AO351 AQ351 AZ351 BB351 BK351 BM351 BV351 BX351 CG351 CI351 CR351 CT351 DC351 DE351 DN351 DP351 DY351 EA351 EJ351 EL351 EU351 EW351 FF351 FH351 FQ351 FS351 AD365 AF365 AO365 AQ365 AZ365 BB365 BK365 BM365 BV365 BX365 CG365 CI365 CR365 CT365 DC365 DE365 DN365 DP365 DY365 EA365 EJ365 EL365 EU365 EW365 FF365 FH365 FQ365 FS365 AD379 AF379 AO379 AQ379 AZ379 BB379 BK379 BM379 BV379 BX379 CG379 CI379 CR379 CT379 DC379 DE379 DN379 DP379 DY379 EA379 EJ379 EL379 EU379 EW379 FF379 FH379 FQ379 FS379 AD393 AF393 AO393 AQ393 AZ393 BB393 BK393 BM393 BV393 BX393 CG393 CI393 CR393 CT393 DC393 DE393 DN393 DP393 DY393 EA393 EJ393 EL393 EU393 EW393 FF393 FH393 FQ393 FS393 AD407 AF407 AO407 AQ407 AZ407 BB407 BK407 BM407 BV407 BX407 CG407 CI407 CR407 CT407 DC407 DE407 DN407 DP407 DY407 EA407 EJ407 EL407 EU407 EW407 FF407 FH407 FQ407 FS407 AD421 AF421 AO421 AQ421 AZ421 BB421 BK421 BM421 BV421 BX421 CG421 CI421 CR421 CT421 DC421 DE421 DN421 DP421 DY421 EA421 EJ421 EL421 EU421 EW421 FF421 FH421 FQ421 FS421 AD59 AF59 AO59 AQ59 AZ59 BB59 BK59 BM59 BV59 BX59 CG59 CI59 CR59 CT59 DC59 DE59 DN59 DP59 DY59 EA59 EJ59 EL59 EU59 EW59 FF59 FH59 FQ59 FS59 AD71 AF71 AO71 AQ71 AZ71 BB71 BK71 BM71 BV71 BX71 CG71 CI71 CR71 CT71 DC71 DE71 DN71 DP71 DY71 EA71 EJ71 EL71 EU71 EW71 FF71 FH71 FQ71 FS71 AD83 AF83 AO83 AQ83 AZ83 BB83 BK83 BM83 BV83 BX83 CG83 CI83 CR83 CT83 DC83 DE83 DN83 DP83 DY83 EA83 EJ83 EL83 EU83 EW83 FF83 FH83 FQ83 FS83 AD91 AF91 AO91 AQ91 AZ91 BB91 BK91 BM91 BV91 BX91 CG91 CI91 CR91 CT91 DC91 DE91 DN91 DP91 DY91 EA91 EJ91 EL91 EU91 EW91 FF91 FH91 FQ91 FS91 AD157 AF157 AO157 AQ157 AZ157 BB157 BK157 BM157 BV157 BX157 CG157 CI157 CR157 CT157 DC157 DE157 DN157 DP157 DY157 EA157 EJ157 EL157 EU157 EW157 FF157 FH157 FQ157 FS157 AD165 AF165 AO165 AQ165 AZ165 BB165 BK165 BM165 BV165 BX165 CG165 CI165 CR165 CT165 DC165 DE165 DN165 DP165 DY165 EA165 EJ165 EL165 EU165 EW165 FF165 FH165 FQ165 FS165 AD205 AF205 AO205 AQ205 AZ205 BB205 BK205 BM205 BV205 BX205 CG205 CI205 CR205 CT205 DC205 DE205 DN205 DP205 DY205 EA205 EJ205 EL205 EU205 EW205 FF205 FH205 FQ205 FS205 AD217 AF217 AO217 AQ217 AZ217 BB217 BK217 BM217 BV217 BX217 CG217 CI217 CR217 CT217 DC217 DE217 DN217 DP217 DY217 EA217 EJ217 EL217 EU217 EW217 FF217 FH217 FQ217 FS217 AD309 AF309 AO309 AQ309 AZ309 BB309 BK309 BM309 BV309 BX309 CG309 CI309 CR309 CT309 DC309 DE309 DN309 DP309 DY309 EA309 EJ309 EL309 EU309 EW309 FF309 FH309 FQ309 FS309 AD51 AF51 AO51 AQ51 AZ51 BB51 BK51 BM51 BV51 BX51 CG51 CI51 CR51 CT51 DC51 DE51 DN51 DP51 DY51 EA51 EJ51 EL51 EU51 EW51 FF51 FH51 FQ51 FS51 AD63 AF63 AO63 AQ63 AZ63 BB63 BK63 BM63 BV63 BX63 CG63 CI63 CR63 CT63 DC63 DE63 DN63 DP63 DY63 EA63 EJ63 EL63 EU63 EW63 FF63 FH63 FQ63 FS63 AD75 AF75 AO75 AQ75 AZ75 BB75 BK75 BM75 BV75 BX75 CG75 CI75 CR75 CT75 DC75 DE75 DN75 DP75 DY75 EA75 EJ75 EL75 EU75 EW75 FF75 FH75 FQ75 FS75 AD95 AF95 AO95 AQ95 AZ95 BB95 BK95 BM95 BV95 BX95 CG95 CI95 CR95 CT95 DC95 DE95 DN95 DP95 DY95 EA95 EJ95 EL95 EU95 EW95 FF95 FH95 FQ95 FS95 AD121 AF121 AO121 AQ121 AZ121 BB121 BK121 BM121 BV121 BX121 CG121 CI121 CR121 CT121 DC121 DE121 DN121 DP121 DY121 EA121 EJ121 EL121 EU121 EW121 FF121 FH121 FQ121 FS121 AD135 AF135 AO135 AQ135 AZ135 BB135 BK135 BM135 BV135 BX135 CG135 CI135 CR135 CT135 DC135 DE135 DN135 DP135 DY135 EA135 EJ135 EL135 EU135 EW135 FF135 FH135 FQ135 FS135 AD149 AF149 AO149 AQ149 AZ149 BB149 BK149 BM149 BV149 BX149 CG149 CI149 CR149 CT149 DC149 DE149 DN149 DP149 DY149 EA149 EJ149 EL149 EU149 EW149 FF149 FH149 FQ149 FS149 AD169 AF169 AO169 AQ169 AZ169 BB169 BK169 BM169 BV169 BX169 CG169 CI169 CR169 CT169 DC169 DE169 DN169 DP169 DY169 EA169 EJ169 EL169 EU169 EW169 FF169 FH169 FQ169 FS169 AD183 AF183 AO183 AQ183 AZ183 BB183 BK183 BM183 BV183 BX183 CG183 CI183 CR183 CT183 DC183 DE183 DN183 DP183 DY183 EA183 EJ183 EL183 EU183 EW183 FF183 FH183 FQ183 FS183 AD197 AF197 AO197 AQ197 AZ197 BB197 BK197 BM197 BV197 BX197 CG197 CI197 CR197 CT197 DC197 DE197 DN197 DP197 DY197 EA197 EJ197 EL197 EU197 EW197 FF197 FH197 FQ197 FS197 AD209 AF209 AO209 AQ209 AZ209 BB209 BK209 BM209 BV209 BX209 CG209 CI209 CR209 CT209 DC209 DE209 DN209 DP209 DY209 EA209 EJ209 EL209 EU209 EW209 FF209 FH209 FQ209 FS209 AD231 AF231 AO231 AQ231 AZ231 BB231 BK231 BM231 BV231 BX231 CG231 CI231 CR231 CT231 DC231 DE231 DN231 DP231 DY231 EA231 EJ231 EL231 EU231 EW231 FF231 FH231 FQ231 FS231 AD245 AF245 AO245 AQ245 AZ245 BB245 BK245 BM245 BV245 BX245 CG245 CI245 CR245 CT245 DC245 DE245 DN245 DP245 DY245 EA245 EJ245 EL245 EU245 EW245 FF245 FH245 FQ245 FS245 AD259 AF259 AO259 AQ259 AZ259 BB259 BK259 BM259 BV259 BX259 CG259 CI259 CR259 CT259 DC259 DE259 DN259 DP259 DY259 EA259 EJ259 EL259 EU259 EW259 FF259 FH259 FQ259 FS259 AD273 AF273 AO273 AQ273 AZ273 BB273 BK273 BM273 BV273 BX273 CG273 CI273 CR273 CT273 DC273 DE273 DN273 DP273 DY273 EA273 EJ273 EL273 EU273 EW273 FF273 FH273 FQ273 FS273 AD287 AF287 AO287 AQ287 AZ287 BB287 BK287 BM287 BV287 BX287 CG287 CI287 CR287 CT287 DC287 DE287 DN287 DP287 DY287 EA287 EJ287 EL287 EU287 EW287 FF287 FH287 FQ287 FS287 AD301 AF301 AO301 AQ301 AZ301 BB301 BK301 BM301 BV301 BX301 CG301 CI301 CR301 CT301 DC301 DE301 DN301 DP301 DY301 EA301 EJ301 EL301 EU301 EW301 FF301 FH301 FQ301 FS301 AD313 AF313 AO313 AQ313 AZ313 BB313 BK313 BM313 BV313 BX313 CG313 CI313 CR313 CT313 DC313 DE313 DN313 DP313 DY313 EA313 EJ313 EL313 EU313 EW313 FF313 FH313 FQ313 FS313 AD327 AF327 AO327 AQ327 AZ327 BB327 BK327 BM327 BV327 BX327 CG327 CI327 CR327 CT327 DC327 DE327 DN327 DP327 DY327 EA327 EJ327 EL327 EU327 EW327 FF327 FH327 FQ327 FS327 AD341 AF341 AO341 AQ341 AZ341 BB341 BK341 BM341 BV341 BX341 CG341 CI341 CR341 CT341 DC341 DE341 DN341 DP341 DY341 EA341 EJ341 EL341 EU341 EW341 FF341 FH341 FQ341 FS341 AD355 AF355 AO355 AQ355 AZ355 BB355 BK355 BM355 BV355 BX355 CG355 CI355 CR355 CT355 DC355 DE355 DN355 DP355 DY355 EA355 EJ355 EL355 EU355 EW355 FF355 FH355 FQ355 FS355 AD369 AF369 AO369 AQ369 AZ369 BB369 BK369 BM369 BV369 BX369 CG369 CI369 CR369 CT369 DC369 DE369 DN369 DP369 DY369 EA369 EJ369 EL369 EU369 EW369 FF369 FH369 FQ369 FS369 AD383 AF383 AO383 AQ383 AZ383 BB383 BK383 BM383 BV383 BX383 CG383 CI383 CR383 CT383 DC383 DE383 DN383 DP383 DY383 EA383 EJ383 EL383 EU383 EW383 FF383 FH383 FQ383 FS383 AD397 AF397 AO397 AQ397 AZ397 BB397 BK397 BM397 BV397 BX397 CG397 CI397 CR397 CT397 DC397 DE397 DN397 DP397 DY397 EA397 EJ397 EL397 EU397 EW397 FF397 FH397 FQ397 FS397 AD411 AF411 AO411 AQ411 AZ411 BB411 BK411 BM411 BV411 BX411 CG411 CI411 CR411 CT411 DC411 DE411 DN411 DP411 DY411 EA411 EJ411 EL411 EU411 EW411 FF411 FH411 FQ411 FS411 AD425 AF425 AO425 AQ425 AZ425 BB425 BK425 BM425 BV425 BX425 CG425 CI425 CR425 CT425 DC425 DE425 DN425 DP425 DY425 EA425 EJ425 EL425 EU425 EW425 FF425 FH425 FQ425 FS425 AD435 AF435 AO435 AQ435 AZ435 BB435 BK435 BM435 BV435 BX435 CG435 CI435 CR435 CT435 DC435 DE435 DN435 DP435 DY435 EA435 EJ435 EL435 EU435 EW435 FF435 FH435 FQ435 FS435 AD439 AF439 AO439 AQ439 AZ439 BB439 BK439 BM439 BV439 BX439 CG439 CI439 CR439 CT439 DC439 DE439 DN439 DP439 DY439 EA439 EJ439 EL439 EU439 EW439 FF439 FH439 FQ439 FS439 AD449 AF449 AO449 AQ449 AZ449 BB449 BK449 BM449 BV449 BX449 CG449 CI449 CR449 CT449 DC449 DE449 DN449 DP449 DY449 EA449 EJ449 EL449 EU449 EW449 FF449 FH449 FQ449 FS449 AD453 AF453 AO453 AQ453 AZ453 BB453 BK453 BM453 BV453 BX453 CG453 CI453 CR453 CT453 DC453 DE453 DN453 DP453 DY453 EA453 EJ453 EL453 EU453 EW453 FF453 FH453 FQ453 FS453 AD463 AF463 AO463 AQ463 AZ463 BB463 BK463 BM463 BV463 BX463 CG463 CI463 CR463 CT463 DC463 DE463 DN463 DP463 DY463 EA463 EJ463 EL463 EU463 EW463 FF463 FH463 FQ463 FS463 AD467 AF467 AO467 AQ467 AZ467 BB467 BK467 BM467 BV467 BX467 CG467 CI467 CR467 CT467 DC467 DE467 DN467 DP467 DY467 EA467 EJ467 EL467 EU467 EW467 FF467 FH467 FQ467 FS467 AD477 AF477 AO477 AQ477 AZ477 BB477 BK477 BM477 BV477 BX477 CG477 CI477 CR477 CT477 DC477 DE477 DN477 DP477 DY477 EA477 EJ477 EL477 EU477 EW477 FF477 FH477 FQ477 FS477 AD481 AF481 AO481 AQ481 AZ481 BB481 BK481 BM481 BV481 BX481 CG481 CI481 CR481 CT481 DC481 DE481 DN481 DP481 DY481 EA481 EJ481 EL481 EU481 EW481 FF481 FH481 FQ481 FS481 AD103 AF103 AO103 AQ103 AZ103 BB103 BK103 BM103 BV103 BX103 CG103 CI103 CR103 CT103 DC103 DE103 DN103 DP103 DY103 EA103 EJ103 EL103 EU103 EW103 FF103 FH103 FQ103 FS103 AD107 AF107 AO107 AQ107 AZ107 BB107 BK107 BM107 BV107 BX107 CG107 CI107 CR107 CT107 DC107 DE107 DN107 DP107 DY107 EA107 EJ107 EL107 EU107 EW107 FF107 FH107 FQ107 FS107 AD489 AF489 AO489 AQ489 AZ489 BB489 BK489 BM489 BV489 BX489 CG489 CI489 CR489 CT489 DC489 DE489 DN489 DP489 DY489 EA489 EJ489 EL489 EU489 EW489 FF489 FH489 FQ489 FS4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6021 AC131557 AC197093 AC262629 AC328165 AC393701 AC459237 AC524773 AC590309 AC655845 AC721381 AC786917 AC852453 AC917989 AC983525 AE66021 AE131557 AE197093 AE262629 AE328165 AE393701 AE459237 AE524773 AE590309 AE655845 AE721381 AE786917 AE852453 AE917989 AE983525 AN15 AN66021 AN131557 AN197093 AN262629 AN328165 AN393701 AN459237 AN524773 AN590309 AN655845 AN721381 AN786917 AN852453 AN917989 AN983525 AP66021 AP131557 AP197093 AP262629 AP328165 AP393701 AP459237 AP524773 AP590309 AP655845 AP721381 AP786917 AP852453 AP917989 AP983525 AP47 AN47 AP15 AP7 AN7 AC7 AE7 AC47 AE47 AC117 AE117 AN117 AP117 AC131 AE131 AN131 AP131 AC145 AE145 AN145 AP145 AC179 AE179 AN179 AP179 AC193 AE193 AN193 AP193 AC227 AE227 AN227 AP227 AC241 AE241 AN241 AP241 AC255 AE255 AN255 AP255 AC269 AE269 AN269 AP269 AC283 AE283 AN283 AP283 AC297 AE297 AN297 AP297 AC323 AE323 AN323 AP323 AC337 AE337 AN337 AP337 AC351 AE351 AN351 AP351 AC365 AE365 AN365 AP365 AC379 AE379 AN379 AP379 AC393 AE393 AN393 AP393 AC407 AE407 AN407 AP407 AC421 AE421 AN421 AP421 AC59 AE59 AN59 AP59 AC71 AE71 AN71 AP71 AC83 AE83 AN83 AP83 AC91 AE91 AN91 AP91 AC157 AE157 AN157 AP157 AC165 AE165 AN165 AP165 AC205 AE205 AN205 AP205 AC217 AE217 AN217 AP217 AC309 AE309 AN309 AP309 AY7 BA7 AY47 BA47 AY59 BA59 AY71 BA71 AY83 BA83 AY91 BA91 AY117 BA117 AY131 BA131 AY145 BA145 AY157 BA157 AY165 BA165 AY179 BA179 AY193 BA193 AY205 BA205 AY217 BA217 AY227 BA227 AY241 BA241 AY255 BA255 AY269 BA269 AY283 BA283 AY297 BA297 AY309 BA309 AY323 BA323 AY337 BA337 AY351 BA351 AY365 BA365 AY379 BA379 AY393 BA393 AY407 BA407 AY421 BA421 BJ7 BL7 BJ47 BL47 BJ59 BL59 BJ71 BL71 BJ83 BL83 BJ91 BL91 BJ117 BL117 BJ131 BL131 BJ145 BL145 BJ157 BL157 BJ165 BL165 BJ179 BL179 BJ193 BL193 BJ205 BL205 BJ217 BL217 BJ227 BL227 BJ241 BL241 BJ255 BL255 BJ269 BL269 BJ283 BL283 BJ297 BL297 BJ309 BL309 BJ323 BL323 BJ337 BL337 BJ351 BL351 BJ365 BL365 BJ379 BL379 BJ393 BL393 BJ407 BL407 BJ421 BL421 BU7 BW7 BU47 BW47 BU59 BW59 BU71 BW71 BU83 BW83 BU91 BW91 BU117 BW117 BU131 BW131 BU145 BW145 BU157 BW157 BU165 BW165 BU179 BW179 BU193 BW193 BU205 BW205 BU217 BW217 BU227 BW227 BU241 BW241 BU255 BW255 BU269 BW269 BU283 BW283 BU297 BW297 BU309 BW309 BU323 BW323 BU337 BW337 BU351 BW351 BU365 BW365 BU379 BW379 BU393 BW393 BU407 BW407 BU421 BW421 CF7 CH7 CF47 CH47 CF59 CH59 CF71 CH71 CF83 CH83 CF91 CH91 CF117 CH117 CF131 CH131 CF145 CH145 CF157 CH157 CF165 CH165 CF179 CH179 CF193 CH193 CF205 CH205 CF217 CH217 CF227 CH227 CF241 CH241 CF255 CH255 CF269 CH269 CF283 CH283 CF297 CH297 CF309 CH309 CF323 CH323 CF337 CH337 CF351 CH351 CF365 CH365 CF379 CH379 CF393 CH393 CF407 CH407 CF421 CH421 CQ7 CS7 CQ47 CS47 CQ59 CS59 CQ71 CS71 CQ83 CS83 CQ91 CS91 CQ117 CS117 CQ131 CS131 CQ145 CS145 CQ157 CS157 CQ165 CS165 CQ179 CS179 CQ193 CS193 CQ205 CS205 CQ217 CS217 CQ227 CS227 CQ241 CS241 CQ255 CS255 CQ269 CS269 CQ283 CS283 CQ297 CS297 CQ309 CS309 CQ323 CS323 CQ337 CS337 CQ351 CS351 CQ365 CS365 CQ379 CS379 CQ393 CS393 CQ407 CS407 CQ421 CS421 DB7 DD7 DB47 DD47 DB59 DD59 DB71 DD71 DB83 DD83 DB91 DD91 DB117 DD117 DB131 DD131 DB145 DD145 DB157 DD157 DB165 DD165 DB179 DD179 DB193 DD193 DB205 DD205 DB217 DD217 DB227 DD227 DB241 DD241 DB255 DD255 DB269 DD269 DB283 DD283 DB297 DD297 DB309 DD309 DB323 DD323 DB337 DD337 DB351 DD351 DB365 DD365 DB379 DD379 DB393 DD393 DB407 DD407 DB421 DD421 DM7 DO7 DM47 DO47 DM59 DO59 DM71 DO71 DM83 DO83 DM91 DO91 DM117 DO117 DM131 DO131 DM145 DO145 DM157 DO157 DM165 DO165 DM179 DO179 DM193 DO193 DM205 DO205 DM217 DO217 DM227 DO227 DM241 DO241 DM255 DO255 DM269 DO269 DM283 DO283 DM297 DO297 DM309 DO309 DM323 DO323 DM337 DO337 DM351 DO351 DM365 DO365 DM379 DO379 DM393 DO393 DM407 DO407 DM421 DO421 DX7 DZ7 DX47 DZ47 DX59 DZ59 DX71 DZ71 DX83 DZ83 DX91 DZ91 DX117 DZ117 DX131 DZ131 DX145 DZ145 DX157 DZ157 DX165 DZ165 DX179 DZ179 DX193 DZ193 DX205 DZ205 DX217 DZ217 DX227 DZ227 DX241 DZ241 DX255 DZ255 DX269 DZ269 DX283 DZ283 DX297 DZ297 DX309 DZ309 DX323 DZ323 DX337 DZ337 DX351 DZ351 DX365 DZ365 DX379 DZ379 DX393 DZ393 DX407 DZ407 DX421 DZ421 EI7 EK7 EI47 EK47 EI59 EK59 EI71 EK71 EI83 EK83 EI91 EK91 EI117 EK117 EI131 EK131 EI145 EK145 EI157 EK157 EI165 EK165 EI179 EK179 EI193 EK193 EI205 EK205 EI217 EK217 EI227 EK227 EI241 EK241 EI255 EK255 EI269 EK269 EI283 EK283 EI297 EK297 EI309 EK309 EI323 EK323 EI337 EK337 EI351 EK351 EI365 EK365 EI379 EK379 EI393 EK393 EI407 EK407 EI421 EK421 ET7 EV7 ET47 EV47 ET59 EV59 ET71 EV71 ET83 EV83 ET91 EV91 ET117 EV117 ET131 EV131 ET145 EV145 ET157 EV157 ET165 EV165 ET179 EV179 ET193 EV193 ET205 EV205 ET217 EV217 ET227 EV227 ET241 EV241 ET255 EV255 ET269 EV269 ET283 EV283 ET297 EV297 ET309 EV309 ET323 EV323 ET337 EV337 ET351 EV351 ET365 EV365 ET379 EV379 ET393 EV393 ET407 EV407 ET421 EV421 FE7 FG7 FE47 FG47 FE59 FG59 FE71 FG71 FE83 FG83 FE91 FG91 FE117 FG117 FE131 FG131 FE145 FG145 FE157 FG157 FE165 FG165 FE179 FG179 FE193 FG193 FE205 FG205 FE217 FG217 FE227 FG227 FE241 FG241 FE255 FG255 FE269 FG269 FE283 FG283 FE297 FG297 FE309 FG309 FE323 FG323 FE337 FG337 FE351 FG351 FE365 FG365 FE379 FG379 FE393 FG393 FE407 FG407 FE421 FG421 AC51 AE51 AN51 AP51 AY51 BA51 BJ51 BL51 BU51 BW51 CF51 CH51 CQ51 CS51 DB51 DD51 DM51 DO51 DX51 DZ51 EI51 EK51 ET51 EV51 FE51 FG51 AC63 AE63 AN63 AP63 AY63 BA63 BJ63 BL63 BU63 BW63 CF63 CH63 CQ63 CS63 DB63 DD63 DM63 DO63 DX63 DZ63 EI63 EK63 ET63 EV63 FE63 FG63 AC75 AE75 AN75 AP75 AY75 BA75 BJ75 BL75 BU75 BW75 CF75 CH75 CQ75 CS75 DB75 DD75 DM75 DO75 DX75 DZ75 EI75 EK75 ET75 EV75 FE75 FG75 AC95 AE95 AN95 AP95 AY95 BA95 BJ95 BL95 BU95 BW95 CF95 CH95 CQ95 CS95 DB95 DD95 DM95 DO95 DX95 DZ95 EI95 EK95 ET95 EV95 FE95 FG95 AC121 AE121 AN121 AP121 AY121 BA121 BJ121 BL121 BU121 BW121 CF121 CH121 CQ121 CS121 DB121 DD121 DM121 DO121 DX121 DZ121 EI121 EK121 ET121 EV121 FE121 FG121 AC135 AE135 AN135 AP135 AY135 BA135 BJ135 BL135 BU135 BW135 CF135 CH135 CQ135 CS135 DB135 DD135 DM135 DO135 DX135 DZ135 EI135 EK135 ET135 EV135 FE135 FG135 AC149 AE149 AN149 AP149 AY149 BA149 BJ149 BL149 BU149 BW149 CF149 CH149 CQ149 CS149 DB149 DD149 DM149 DO149 DX149 DZ149 EI149 EK149 ET149 EV149 FE149 FG149 AC169 AE169 AN169 AP169 AY169 BA169 BJ169 BL169 BU169 BW169 CF169 CH169 CQ169 CS169 DB169 DD169 DM169 DO169 DX169 DZ169 EI169 EK169 ET169 EV169 FE169 FG169 AC183 AE183 AN183 AP183 AY183 BA183 BJ183 BL183 BU183 BW183 CF183 CH183 CQ183 CS183 DB183 DD183 DM183 DO183 DX183 DZ183 EI183 EK183 ET183 EV183 FE183 FG183 AC197 AE197 AN197 AP197 AY197 BA197 BJ197 BL197 BU197 BW197 CF197 CH197 CQ197 CS197 DB197 DD197 DM197 DO197 DX197 DZ197 EI197 EK197 ET197 EV197 FE197 FG197 AC209 AE209 AN209 AP209 AY209 BA209 BJ209 BL209 BU209 BW209 CF209 CH209 CQ209 CS209 DB209 DD209 DM209 DO209 DX209 DZ209 EI209 EK209 ET209 EV209 FE209 FG209 AC231 AE231 AN231 AP231 AY231 BA231 BJ231 BL231 BU231 BW231 CF231 CH231 CQ231 CS231 DB231 DD231 DM231 DO231 DX231 DZ231 EI231 EK231 ET231 EV231 FE231 FG231 AC245 AE245 AN245 AP245 AY245 BA245 BJ245 BL245 BU245 BW245 CF245 CH245 CQ245 CS245 DB245 DD245 DM245 DO245 DX245 DZ245 EI245 EK245 ET245 EV245 FE245 FG245 AC259 AE259 AN259 AP259 AY259 BA259 BJ259 BL259 BU259 BW259 CF259 CH259 CQ259 CS259 DB259 DD259 DM259 DO259 DX259 DZ259 EI259 EK259 ET259 EV259 FE259 FG259 AC273 AE273 AN273 AP273 AY273 BA273 BJ273 BL273 BU273 BW273 CF273 CH273 CQ273 CS273 DB273 DD273 DM273 DO273 DX273 DZ273 EI273 EK273 ET273 EV273 FE273 FG273 AC287 AE287 AN287 AP287 AY287 BA287 BJ287 BL287 BU287 BW287 CF287 CH287 CQ287 CS287 DB287 DD287 DM287 DO287 DX287 DZ287 EI287 EK287 ET287 EV287 FE287 FG287 AC301 AE301 AN301 AP301 AY301 BA301 BJ301 BL301 BU301 BW301 CF301 CH301 CQ301 CS301 DB301 DD301 DM301 DO301 DX301 DZ301 EI301 EK301 ET301 EV301 FE301 FG301 AC313 AE313 AN313 AP313 AY313 BA313 BJ313 BL313 BU313 BW313 CF313 CH313 CQ313 CS313 DB313 DD313 DM313 DO313 DX313 DZ313 EI313 EK313 ET313 EV313 FE313 FG313 AC327 AE327 AN327 AP327 AY327 BA327 BJ327 BL327 BU327 BW327 CF327 CH327 CQ327 CS327 DB327 DD327 DM327 DO327 DX327 DZ327 EI327 EK327 ET327 EV327 FE327 FG327 AC341 AE341 AN341 AP341 AY341 BA341 BJ341 BL341 BU341 BW341 CF341 CH341 CQ341 CS341 DB341 DD341 DM341 DO341 DX341 DZ341 EI341 EK341 ET341 EV341 FE341 FG341 AC355 AE355 AN355 AP355 AY355 BA355 BJ355 BL355 BU355 BW355 CF355 CH355 CQ355 CS355 DB355 DD355 DM355 DO355 DX355 DZ355 EI355 EK355 ET355 EV355 FE355 FG355 AC369 AE369 AN369 AP369 AY369 BA369 BJ369 BL369 BU369 BW369 CF369 CH369 CQ369 CS369 DB369 DD369 DM369 DO369 DX369 DZ369 EI369 EK369 ET369 EV369 FE369 FG369 AC383 AE383 AN383 AP383 AY383 BA383 BJ383 BL383 BU383 BW383 CF383 CH383 CQ383 CS383 DB383 DD383 DM383 DO383 DX383 DZ383 EI383 EK383 ET383 EV383 FE383 FG383 AC397 AE397 AN397 AP397 AY397 BA397 BJ397 BL397 BU397 BW397 CF397 CH397 CQ397 CS397 DB397 DD397 DM397 DO397 DX397 DZ397 EI397 EK397 ET397 EV397 FE397 FG397 AC411 AE411 AN411 AP411 AY411 BA411 BJ411 BL411 BU411 BW411 CF411 CH411 CQ411 CS411 DB411 DD411 DM411 DO411 DX411 DZ411 EI411 EK411 ET411 EV411 FE411 FG411 AC425 AE425 AN425 AP425 AY425 BA425 BJ425 BL425 BU425 BW425 CF425 CH425 CQ425 CS425 DB425 DD425 DM425 DO425 DX425 DZ425 EI425 EK425 ET425 EV425 FE425 FG425 AC435 AE435 AN435 AP435 AY435 BA435 BJ435 BL435 BU435 BW435 CF435 CH435 CQ435 CS435 DB435 DD435 DM435 DO435 DX435 DZ435 EI435 EK435 ET435 EV435 FE435 FG435 AC439 AE439 AN439 AP439 AY439 BA439 BJ439 BL439 BU439 BW439 CF439 CH439 CQ439 CS439 DB439 DD439 DM439 DO439 DX439 DZ439 EI439 EK439 ET439 EV439 FE439 FG439 AC449 AE449 AN449 AP449 AY449 BA449 BJ449 BL449 BU449 BW449 CF449 CH449 CQ449 CS449 DB449 DD449 DM449 DO449 DX449 DZ449 EI449 EK449 ET449 EV449 FE449 FG449 AC453 AE453 AN453 AP453 AY453 BA453 BJ453 BL453 BU453 BW453 CF453 CH453 CQ453 CS453 DB453 DD453 DM453 DO453 DX453 DZ453 EI453 EK453 ET453 EV453 FE453 FG453 AC463 AE463 AN463 AP463 AY463 BA463 BJ463 BL463 BU463 BW463 CF463 CH463 CQ463 CS463 DB463 DD463 DM463 DO463 DX463 DZ463 EI463 EK463 ET463 EV463 FE463 FG463 AC467 AE467 AN467 AP467 AY467 BA467 BJ467 BL467 BU467 BW467 CF467 CH467 CQ467 CS467 DB467 DD467 DM467 DO467 DX467 DZ467 EI467 EK467 ET467 EV467 FE467 FG467 AC477 AE477 AN477 AP477 AY477 BA477 BJ477 BL477 BU477 BW477 CF477 CH477 CQ477 CS477 DB477 DD477 DM477 DO477 DX477 DZ477 EI477 EK477 ET477 EV477 FE477 FG477 AC481 AE481 AN481 AP481 AY481 BA481 BJ481 BL481 BU481 BW481 CF481 CH481 CQ481 CS481 DB481 DD481 DM481 DO481 DX481 DZ481 EI481 EK481 ET481 EV481 FE481 FG481 AC103 AE103 AN103 AP103 AY103 BA103 BJ103 BL103 BU103 BW103 CF103 CH103 CQ103 CS103 DB103 DD103 DM103 DO103 DX103 DZ103 EI103 EK103 ET103 EV103 FE103 FG103 AC107 AE107 AN107 AP107 AY107 BA107 BJ107 BL107 BU107 BW107 CF107 CH107 CQ107 CS107 DB107 DD107 DM107 DO107 DX107 DZ107 EI107 EK107 ET107 EV107 FE107 FG107 AC489 AE489 AN489 AP489 AY489 BA489 BJ489 BL489 BU489 BW489 CF489 CH489 CQ489 CS489 DB489 DD489 DM489 DO489 DX489 DZ489 EI489 EK489 ET489 EV489 FE489 FG489 FP7 FR7 FP47 FR47 FP51 FR51 FP59 FR59 FP63 FR63 FP71 FR71 FP75 FR75 FP83 FR83 FP91 FR91 FP95 FR95 FP103 FR103 FP107 FR107 FP117 FR117 FP121 FR121 FP131 FR131 FP135 FR135 FP145 FR145 FP149 FR149 FP157 FR157 FP165 FR165 FP169 FR169 FP179 FR179 FP183 FR183 FP193 FR193 FP197 FR197 FP205 FR205 FP209 FR209 FP217 FR217 FP227 FR227 FP231 FR231 FP241 FR241 FP245 FR245 FP255 FR255 FP259 FR259 FP269 FR269 FP273 FR273 FP283 FR283 FP287 FR287 FP297 FR297 FP301 FR301 FP309 FR309 FP313 FR313 FP323 FR323 FP327 FR327 FP337 FR337 FP341 FR341 FP351 FR351 FP355 FR355 FP365 FR365 FP369 FR369 FP379 FR379 FP383 FR383 FP393 FR393 FP397 FR397 FP407 FR407 FP411 FR411 FP421 FR421 FP425 FR425 FP435 FR435 FP439 FR439 FP449 FR449 FP453 FR453 FP463 FR463 FP467 FR467 FP477 FR477 FP481 FR481 FP489 FR489"/>
    <dataValidation type="list" allowBlank="1" showInputMessage="1" showErrorMessage="1" errorTitle="Ошибка" error="Выберите значение из списка" sqref="T66021 T131557 T197093 T262629 T328165 T393701 T459237 T524773 T590309 T655845 T721381 T786917 T852453 T917989 T983525">
      <formula1>kind_of_heat_transfer</formula1>
    </dataValidation>
    <dataValidation type="textLength" operator="lessThanOrEqual" allowBlank="1" showInputMessage="1" showErrorMessage="1" errorTitle="Ошибка" error="Допускается ввод не более 900 символов!" sqref="FU66015:FU66022 FU131551:FU131558 FU197087:FU197094 FU262623:FU262630 FU328159:FU328166 FU393695:FU393702 FU459231:FU459238 FU524767:FU524774 FU590303:FU590310 FU655839:FU655846 FU721375:FU721382 FU786911:FU786918 FU852447:FU852454 FU917983:FU917990 FU983519:FU983526 T47 T7 AG45:AQ45 FT45 AG5:AQ5 FT5 AG115 AH115 AI115 AJ115 AK115 AL115 AM115 AN115 AO115 AP115 AQ115 FT115 T117 AG129 AH129 AI129 AJ129 AK129 AL129 AM129 AN129 AO129 AP129 AQ129 FT129 T131 AG143 AH143 AI143 AJ143 AK143 AL143 AM143 AN143 AO143 AP143 AQ143 FT143 T145 AG177 AH177 AI177 AJ177 AK177 AL177 AM177 AN177 AO177 AP177 AQ177 FT177 T179 AG191 AH191 AI191 AJ191 AK191 AL191 AM191 AN191 AO191 AP191 AQ191 FT191 T193 AG225 AH225 AI225 AJ225 AK225 AL225 AM225 AN225 AO225 AP225 AQ225 FT225 T227 AG239 AH239 AI239 AJ239 AK239 AL239 AM239 AN239 AO239 AP239 AQ239 FT239 T241 AG253 AH253 AI253 AJ253 AK253 AL253 AM253 AN253 AO253 AP253 AQ253 FT253 T255 AG267 AH267 AI267 AJ267 AK267 AL267 AM267 AN267 AO267 AP267 AQ267 FT267 T269 AG281 AH281 AI281 AJ281 AK281 AL281 AM281 AN281 AO281 AP281 AQ281 FT281 T283 AG295 AH295 AI295 AJ295 AK295 AL295 AM295 AN295 AO295 AP295 AQ295 FT295 T297 AG321 AH321 AI321 AJ321 AK321 AL321 AM321 AN321 AO321 AP321 AQ321 FT321 T323 AG335 AH335 AI335 AJ335 AK335 AL335 AM335 AN335 AO335 AP335 AQ335 FT335 T337 AG349 AH349 AI349 AJ349 AK349 AL349 AM349 AN349 AO349 AP349 AQ349 FT349 T351 AG363 AH363 AI363 AJ363 AK363 AL363 AM363 AN363 AO363 AP363 AQ363 FT363 T365 AG377 AH377 AI377 AJ377 AK377 AL377 AM377 AN377 AO377 AP377 AQ377 FT377 T379 AG391 AH391 AI391 AJ391 AK391 AL391 AM391 AN391 AO391 AP391 AQ391 FT391 T393 AG405 AH405 AI405 AJ405 AK405 AL405 AM405 AN405 AO405 AP405 AQ405 FT405 T407 AG419 AH419 AI419 AJ419 AK419 AL419 AM419 AN419 AO419 AP419 AQ419 FT419 T421 AG57 AH57 AI57 AJ57 AK57 AL57 AM57 AN57 AO57 AP57 AQ57 FT57 T59 AG69 AH69 AI69 AJ69 AK69 AL69 AM69 AN69 AO69 AP69 AQ69 FT69 T71 AG81 AH81 AI81 AJ81 AK81 AL81 AM81 AN81 AO81 AP81 AQ81 FT81 T83 AG89 AH89 AI89 AJ89 AK89 AL89 AM89 AN89 AO89 AP89 AQ89 FT89 T91 AG155 AH155 AI155 AJ155 AK155 AL155 AM155 AN155 AO155 AP155 AQ155 FT155 T157 AG163 AH163 AI163 AJ163 AK163 AL163 AM163 AN163 AO163 AP163 AQ163 FT163 T165 AG203 AH203 AI203 AJ203 AK203 AL203 AM203 AN203 AO203 AP203 AQ203 FT203 T205 AG215 AH215 AI215 AJ215 AK215 AL215 AM215 AN215 AO215 AP215 AQ215 FT215 T217 AG307 AH307 AI307 AJ307 AK307 AL307 AM307 AN307 AO307 AP307 AQ307 FT307 T309 T51 T63 T75 T95 T121 T135 T149 T169 T183 T197 T209 T231 T245 T259 T273 T287 T301 T313 T327 T341 T355 T369 T383 T397 T411 T425 AG433 AH433 AI433 AJ433 AK433 AL433 AM433 AN433 AO433 AP433 AQ433 FT433 T435 T439 AG447 AH447 AI447 AJ447 AK447 AL447 AM447 AN447 AO447 AP447 AQ447 FT447 T449 T453 AG461 AH461 AI461 AJ461 AK461 AL461 AM461 AN461 AO461 AP461 AQ461 FT461 T463 T467 AG475 AH475 AI475 AJ475 AK475 AL475 AM475 AN475 AO475 AP475 AQ475 FT475 T477 T481 AG101 AH101 AI101 AJ101 AK101 AL101 AM101 AN101 AO101 AP101 AQ101 FT101 T103 T107 AG487 AH487 AI487 AJ487 AK487 AL487 AM487 AN487 AO487 AP487 AQ487 FT487 T489">
      <formula1>900</formula1>
    </dataValidation>
    <dataValidation type="list" allowBlank="1" showInputMessage="1" showErrorMessage="1" errorTitle="Ошибка" error="Выберите значение из списка" sqref="AG917987:AL917987 AG852451:AL852451 AG786915:AL786915 AG721379:AL721379 AG655843:AL655843 AG590307:AL590307 AG524771:AL524771 AG459235:AL459235 AG393699:AL393699 AG328163:AL328163 AG262627:AL262627 AG197091:AL197091 AG131555:AL131555 AG66019:AL66019 AG983523:AL983523 V983523:AB983523 V66019:AB66019 V131555:AB131555 V197091:AB197091 V262627:AB262627 V328163:AB328163 V393699:AB393699 V459235:AB459235 V524771:AB524771 V590307:AB590307 V655843:AB655843 V721379:AB721379 V786915:AB786915 V852451:AB852451 V917987:AB917987">
      <formula1>kind_of_scheme_in</formula1>
    </dataValidation>
    <dataValidation type="list" allowBlank="1" showInputMessage="1" errorTitle="Ошибка" error="Выберите значение из списка" prompt="Выберите значение из списка" sqref="V983524:FT983524 V66020:FT66020 V131556:FT131556 V197092:FT197092 V262628:FT262628 V328164:FT328164 V393700:FT393700 V459236:FT459236 V524772:FT524772 V590308:FT590308 V655844:FT655844 V721380:FT721380 V786916:FT786916 V852452:FT852452 V917988:FT917988">
      <formula1>kind_of_cons</formula1>
    </dataValidation>
    <dataValidation allowBlank="1" sqref="S131559:FU131565 S197095:FU197101 S262631:FU262637 S328167:FU328173 S393703:FU393709 S459239:FU459245 S524775:FU524781 S590311:FU590317 S655847:FU655853 S721383:FU721389 S786919:FU786925 S852455:FU852461 S917991:FU917997 S983527:FU983533 S66023:FU660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50" hidden="1" customWidth="1"/>
    <col min="2" max="2" width="2" style="1750" hidden="1" customWidth="1"/>
    <col min="3" max="3" width="3" style="1750" customWidth="1"/>
    <col min="4" max="4" width="4" style="1750" customWidth="1"/>
    <col min="5" max="5" width="44" style="1750" customWidth="1"/>
    <col min="6" max="6" width="6.42578125" style="1750" customWidth="1"/>
    <col min="7" max="7" width="4" style="1750" customWidth="1"/>
    <col min="8" max="8" width="5" style="1750" customWidth="1"/>
    <col min="9" max="9" width="52" style="1750" customWidth="1"/>
    <col min="10" max="10" width="7" style="1750" customWidth="1"/>
    <col min="11" max="11" width="3" style="1750" customWidth="1"/>
    <col min="12" max="12" width="6" style="1750" customWidth="1"/>
    <col min="13" max="13" width="56" style="1750"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50" hidden="1"/>
  </cols>
  <sheetData>
    <row r="1" spans="1:39" ht="11.25" hidden="1" customHeight="1">
      <c r="AM1" s="519" t="s">
        <v>1</v>
      </c>
    </row>
    <row r="2" spans="1:39" ht="11.25" hidden="1" customHeight="1">
      <c r="AM2" s="519">
        <v>0</v>
      </c>
    </row>
    <row r="3" spans="1:39" ht="11.45" customHeight="1">
      <c r="AM3" s="519">
        <v>11</v>
      </c>
    </row>
    <row r="4" spans="1:39" ht="35.65" customHeight="1">
      <c r="A4" s="521"/>
      <c r="B4" s="521"/>
      <c r="D4" s="23940" t="str">
        <f>Титульный!E5</f>
        <v>Показатели, подлежащие раскрытию в сфере горячего водоснабжения (цены и тарифы)</v>
      </c>
      <c r="E4" s="23941"/>
      <c r="F4" s="23941"/>
      <c r="G4" s="23941"/>
      <c r="H4" s="23941"/>
      <c r="I4" s="23942"/>
      <c r="J4" s="520"/>
      <c r="K4" s="520"/>
      <c r="L4" s="520"/>
      <c r="M4" s="520"/>
      <c r="AM4" s="519">
        <v>34</v>
      </c>
    </row>
    <row r="5" spans="1:39" s="525" customFormat="1" ht="14.65" customHeight="1">
      <c r="A5" s="521"/>
      <c r="B5" s="521"/>
      <c r="C5" s="521"/>
      <c r="D5" s="23943" t="str">
        <f>IF(org=0,"Не определено",org)</f>
        <v>ООО "Смоленскрегионтеплоэнерго"</v>
      </c>
      <c r="E5" s="23944"/>
      <c r="F5" s="23944"/>
      <c r="G5" s="23944"/>
      <c r="H5" s="23944"/>
      <c r="I5" s="23945"/>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3931"/>
      <c r="B6" s="23931"/>
      <c r="C6" s="23931"/>
      <c r="D6" s="23931"/>
      <c r="E6" s="23931"/>
      <c r="F6" s="23931"/>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3950"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951"/>
      <c r="G7" s="23951"/>
      <c r="H7" s="23951"/>
      <c r="I7" s="23951"/>
      <c r="J7" s="23951"/>
      <c r="K7" s="23951"/>
      <c r="L7" s="23951"/>
      <c r="M7" s="23951"/>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3946"/>
      <c r="B9" s="259"/>
      <c r="C9" s="259"/>
      <c r="D9" s="23947" t="s">
        <v>214</v>
      </c>
      <c r="E9" s="23947"/>
      <c r="F9" s="23948" t="s">
        <v>215</v>
      </c>
      <c r="G9" s="23949"/>
      <c r="H9" s="23949"/>
      <c r="I9" s="23949"/>
      <c r="J9" s="23952" t="s">
        <v>216</v>
      </c>
      <c r="K9" s="23952"/>
      <c r="L9" s="23952"/>
      <c r="M9" s="23952"/>
      <c r="AM9" s="519">
        <v>18</v>
      </c>
    </row>
    <row r="10" spans="1:39" ht="24" customHeight="1">
      <c r="A10" s="23946"/>
      <c r="B10" s="528"/>
      <c r="C10" s="461"/>
      <c r="D10" s="459" t="s">
        <v>79</v>
      </c>
      <c r="E10" s="459" t="s">
        <v>80</v>
      </c>
      <c r="F10" s="459" t="s">
        <v>217</v>
      </c>
      <c r="G10" s="23953" t="s">
        <v>79</v>
      </c>
      <c r="H10" s="23954"/>
      <c r="I10" s="459" t="s">
        <v>80</v>
      </c>
      <c r="J10" s="459" t="s">
        <v>217</v>
      </c>
      <c r="K10" s="23953" t="s">
        <v>79</v>
      </c>
      <c r="L10" s="23954"/>
      <c r="M10" s="459" t="s">
        <v>80</v>
      </c>
      <c r="N10" s="1553"/>
      <c r="AM10" s="519">
        <v>23</v>
      </c>
    </row>
    <row r="11" spans="1:39" s="1750" customFormat="1" ht="11.25" hidden="1" customHeight="1">
      <c r="A11" s="529"/>
      <c r="B11" s="529"/>
      <c r="C11" s="529"/>
      <c r="D11" s="530" t="s">
        <v>218</v>
      </c>
      <c r="E11" s="530" t="s">
        <v>95</v>
      </c>
      <c r="F11" s="530" t="s">
        <v>81</v>
      </c>
      <c r="G11" s="23936" t="s">
        <v>82</v>
      </c>
      <c r="H11" s="23937"/>
      <c r="I11" s="530" t="s">
        <v>109</v>
      </c>
      <c r="J11" s="530" t="s">
        <v>83</v>
      </c>
      <c r="K11" s="23938" t="s">
        <v>84</v>
      </c>
      <c r="L11" s="23939"/>
      <c r="M11" s="530" t="s">
        <v>90</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219</v>
      </c>
      <c r="P12" s="1339" t="s">
        <v>220</v>
      </c>
      <c r="Q12" s="1339" t="s">
        <v>221</v>
      </c>
      <c r="R12" s="1339" t="s">
        <v>222</v>
      </c>
      <c r="AM12" s="519">
        <v>1</v>
      </c>
    </row>
    <row r="13" spans="1:39" s="1750" customFormat="1" ht="15.75" customHeight="1">
      <c r="A13" s="229"/>
      <c r="B13" s="229"/>
      <c r="C13" s="462"/>
      <c r="D13" s="23958" t="s">
        <v>218</v>
      </c>
      <c r="E13" s="23959"/>
      <c r="F13" s="23962" t="s">
        <v>59</v>
      </c>
      <c r="G13" s="23963"/>
      <c r="H13" s="23964">
        <v>1</v>
      </c>
      <c r="I13" s="23955" t="str">
        <f>IF(U13="","",INDEX(TERRITORY_MR_LIST,MATCH(U13,TERRITORY_LIST_ID,0)))</f>
        <v/>
      </c>
      <c r="J13" s="23957" t="s">
        <v>6</v>
      </c>
      <c r="K13" s="538"/>
      <c r="L13" s="463" t="s">
        <v>218</v>
      </c>
      <c r="M13" s="539" t="s">
        <v>17</v>
      </c>
      <c r="N13" s="742"/>
      <c r="O13" s="1342" t="s">
        <v>223</v>
      </c>
      <c r="P13" s="1339">
        <f>$E$13</f>
        <v>0</v>
      </c>
      <c r="Q13" s="1339" t="str">
        <f>IF($F$13="нет","без дифференциации",$I$13)</f>
        <v/>
      </c>
      <c r="R13" s="1339" t="str">
        <f>IF($J$13="нет","без дифференциации",M13)</f>
        <v>без дифференциации</v>
      </c>
      <c r="S13" s="1342"/>
      <c r="T13" s="1342"/>
      <c r="U13" s="1192"/>
      <c r="V13" s="1192"/>
      <c r="W13" s="1192"/>
      <c r="X13" s="1192"/>
      <c r="Y13" s="540" t="s">
        <v>224</v>
      </c>
      <c r="Z13" s="540">
        <v>1705000</v>
      </c>
      <c r="AA13" s="540"/>
      <c r="AB13" s="540"/>
      <c r="AC13" s="540"/>
      <c r="AD13" s="540"/>
      <c r="AE13" s="540"/>
      <c r="AF13" s="540"/>
      <c r="AG13" s="540"/>
      <c r="AH13" s="540"/>
      <c r="AI13" s="540"/>
      <c r="AJ13" s="540"/>
      <c r="AK13" s="540"/>
      <c r="AL13" s="540"/>
      <c r="AM13" s="542">
        <v>15</v>
      </c>
    </row>
    <row r="14" spans="1:39" s="1750" customFormat="1" ht="15.75" customHeight="1">
      <c r="A14" s="229"/>
      <c r="B14" s="229"/>
      <c r="C14" s="113"/>
      <c r="D14" s="23958"/>
      <c r="E14" s="23960"/>
      <c r="F14" s="23957"/>
      <c r="G14" s="23963"/>
      <c r="H14" s="23964"/>
      <c r="I14" s="23956"/>
      <c r="J14" s="23957"/>
      <c r="K14" s="357"/>
      <c r="L14" s="114"/>
      <c r="M14" s="543" t="s">
        <v>225</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50" customFormat="1" ht="15.75" customHeight="1">
      <c r="A15" s="229"/>
      <c r="B15" s="229"/>
      <c r="C15" s="113"/>
      <c r="D15" s="23958"/>
      <c r="E15" s="23961"/>
      <c r="F15" s="23957"/>
      <c r="G15" s="989"/>
      <c r="H15" s="990"/>
      <c r="I15" s="516" t="s">
        <v>226</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75" customHeight="1">
      <c r="A16" s="545"/>
      <c r="B16" s="73"/>
      <c r="C16" s="736"/>
      <c r="D16" s="357"/>
      <c r="E16" s="507" t="s">
        <v>227</v>
      </c>
      <c r="F16" s="114"/>
      <c r="G16" s="114"/>
      <c r="H16" s="114"/>
      <c r="I16" s="114"/>
      <c r="J16" s="114"/>
      <c r="K16" s="114" t="s">
        <v>17</v>
      </c>
      <c r="L16" s="114"/>
      <c r="M16" s="544"/>
      <c r="N16" s="1553"/>
      <c r="AM16" s="519">
        <v>15</v>
      </c>
    </row>
    <row r="17" spans="1:39" ht="11.25" hidden="1" customHeight="1">
      <c r="A17" s="519" t="s">
        <v>73</v>
      </c>
      <c r="B17" s="519">
        <v>0</v>
      </c>
      <c r="C17" s="519">
        <v>3</v>
      </c>
      <c r="D17" s="519">
        <v>4</v>
      </c>
      <c r="E17" s="519">
        <v>44</v>
      </c>
      <c r="F17" s="519">
        <v>6</v>
      </c>
      <c r="G17" s="519">
        <v>4</v>
      </c>
      <c r="H17" s="519">
        <v>5</v>
      </c>
      <c r="I17" s="519">
        <v>52</v>
      </c>
      <c r="J17" s="519">
        <v>6</v>
      </c>
      <c r="K17" s="519">
        <v>3</v>
      </c>
      <c r="L17" s="519">
        <v>6</v>
      </c>
      <c r="M17" s="519">
        <v>56</v>
      </c>
      <c r="N17" s="520">
        <v>8</v>
      </c>
      <c r="O17" s="1339">
        <v>0</v>
      </c>
      <c r="P17" s="1339">
        <v>0</v>
      </c>
      <c r="Q17" s="1339">
        <v>0</v>
      </c>
      <c r="R17" s="1339">
        <v>0</v>
      </c>
      <c r="S17" s="1339">
        <v>0</v>
      </c>
      <c r="T17" s="1339">
        <v>0</v>
      </c>
      <c r="U17" s="1189">
        <v>0</v>
      </c>
      <c r="V17" s="1189">
        <v>0</v>
      </c>
      <c r="W17" s="1189">
        <v>0</v>
      </c>
      <c r="X17" s="1189">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1986" hidden="1" customWidth="1"/>
    <col min="13" max="14" width="12.28515625" style="1674" hidden="1" customWidth="1"/>
    <col min="15" max="15" width="23.42578125" style="1674" hidden="1" customWidth="1"/>
    <col min="16" max="16" width="3" style="1979" customWidth="1"/>
    <col min="17" max="18" width="3" style="280" customWidth="1"/>
    <col min="19" max="19" width="12" style="1981"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3"/>
      <c r="AC1" s="263"/>
      <c r="AM1" s="263"/>
      <c r="AN1" s="263"/>
      <c r="AY1" s="1081" t="s">
        <v>1</v>
      </c>
    </row>
    <row r="2" spans="1:51" ht="23.25" hidden="1" customHeight="1">
      <c r="A2" s="1289"/>
      <c r="B2" s="1289"/>
      <c r="C2" s="1289"/>
      <c r="D2" s="1289"/>
      <c r="E2" s="24088">
        <v>1</v>
      </c>
      <c r="F2" s="1289"/>
      <c r="G2" s="1289"/>
      <c r="H2" s="1289"/>
      <c r="I2" s="1289"/>
      <c r="J2" s="1289"/>
      <c r="K2" s="1289"/>
      <c r="L2" s="1290"/>
      <c r="M2" s="1291"/>
      <c r="N2" s="1291"/>
      <c r="O2" s="1291"/>
      <c r="P2" s="297"/>
      <c r="Q2" s="296"/>
      <c r="R2" s="291"/>
      <c r="S2" s="1419" t="e">
        <f>INDEX(PT_DIFFERENTIATION_NUM_NTAR,MATCH(A2,PT_DIFFERENTIATION_NTAR_ID,0))</f>
        <v>#N/A</v>
      </c>
      <c r="T2" s="234" t="s">
        <v>229</v>
      </c>
      <c r="U2" s="236"/>
      <c r="V2" s="24082"/>
      <c r="W2" s="24083"/>
      <c r="X2" s="24083"/>
      <c r="Y2" s="24083"/>
      <c r="Z2" s="24083"/>
      <c r="AA2" s="24083"/>
      <c r="AB2" s="24083"/>
      <c r="AC2" s="24083"/>
      <c r="AD2" s="24083"/>
      <c r="AE2" s="24083"/>
      <c r="AF2" s="24084"/>
      <c r="AG2" s="24082" t="e">
        <f>INDEX(PT_DIFFERENTIATION_NTAR,MATCH(A2,PT_DIFFERENTIATION_NTAR_ID,0))</f>
        <v>#N/A</v>
      </c>
      <c r="AH2" s="24083"/>
      <c r="AI2" s="24083"/>
      <c r="AJ2" s="24083"/>
      <c r="AK2" s="24083"/>
      <c r="AL2" s="24083"/>
      <c r="AM2" s="24083"/>
      <c r="AN2" s="24083"/>
      <c r="AO2" s="24083"/>
      <c r="AP2" s="24083"/>
      <c r="AQ2" s="24083"/>
      <c r="AR2" s="2408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4089"/>
      <c r="F3" s="24088">
        <v>1</v>
      </c>
      <c r="G3" s="1289"/>
      <c r="H3" s="1289"/>
      <c r="I3" s="1289"/>
      <c r="J3" s="1289"/>
      <c r="K3" s="1289"/>
      <c r="L3" s="1290"/>
      <c r="M3" s="1291"/>
      <c r="N3" s="1291"/>
      <c r="O3" s="1291"/>
      <c r="P3" s="1413"/>
      <c r="Q3" s="288"/>
      <c r="R3" s="289"/>
      <c r="S3" s="1419" t="e">
        <f>INDEX(PT_DIFFERENTIATION_NUM_TER,MATCH(B3,PT_DIFFERENTIATION_TER_ID,0))</f>
        <v>#N/A</v>
      </c>
      <c r="T3" s="244" t="s">
        <v>626</v>
      </c>
      <c r="U3" s="236"/>
      <c r="V3" s="24082"/>
      <c r="W3" s="24083"/>
      <c r="X3" s="24083"/>
      <c r="Y3" s="24083"/>
      <c r="Z3" s="24083"/>
      <c r="AA3" s="24083"/>
      <c r="AB3" s="24083"/>
      <c r="AC3" s="24083"/>
      <c r="AD3" s="24083"/>
      <c r="AE3" s="24083"/>
      <c r="AF3" s="24084"/>
      <c r="AG3" s="24082" t="e">
        <f>INDEX(PT_DIFFERENTIATION_TER,MATCH(B3,PT_DIFFERENTIATION_TER_ID,0))</f>
        <v>#N/A</v>
      </c>
      <c r="AH3" s="24083"/>
      <c r="AI3" s="24083"/>
      <c r="AJ3" s="24083"/>
      <c r="AK3" s="24083"/>
      <c r="AL3" s="24083"/>
      <c r="AM3" s="24083"/>
      <c r="AN3" s="24083"/>
      <c r="AO3" s="24083"/>
      <c r="AP3" s="24083"/>
      <c r="AQ3" s="24083"/>
      <c r="AR3" s="24084"/>
      <c r="AS3" s="1184" t="s">
        <v>627</v>
      </c>
      <c r="AU3" s="436"/>
      <c r="AV3" s="436" t="str">
        <f t="shared" si="0"/>
        <v>Территория действия тарифа</v>
      </c>
      <c r="AW3" s="436"/>
      <c r="AX3" s="436"/>
      <c r="AY3" s="1081">
        <v>0</v>
      </c>
    </row>
    <row r="4" spans="1:51" ht="23.25" hidden="1" customHeight="1">
      <c r="A4" s="1289"/>
      <c r="B4" s="1289"/>
      <c r="C4" s="1289"/>
      <c r="D4" s="1289"/>
      <c r="E4" s="24089"/>
      <c r="F4" s="24089"/>
      <c r="G4" s="24088">
        <v>1</v>
      </c>
      <c r="H4" s="1289"/>
      <c r="I4" s="1289"/>
      <c r="J4" s="1289"/>
      <c r="K4" s="1289"/>
      <c r="L4" s="1290"/>
      <c r="M4" s="1291"/>
      <c r="N4" s="1291"/>
      <c r="O4" s="1291"/>
      <c r="P4" s="290"/>
      <c r="Q4" s="288"/>
      <c r="R4" s="289"/>
      <c r="S4" s="1419" t="e">
        <f>INDEX(PT_DIFFERENTIATION_NUM_CS,MATCH(C4,PT_DIFFERENTIATION_CS_ID,0))</f>
        <v>#N/A</v>
      </c>
      <c r="T4" s="245" t="s">
        <v>756</v>
      </c>
      <c r="U4" s="236"/>
      <c r="V4" s="24082"/>
      <c r="W4" s="24083"/>
      <c r="X4" s="24083"/>
      <c r="Y4" s="24083"/>
      <c r="Z4" s="24083"/>
      <c r="AA4" s="24083"/>
      <c r="AB4" s="24083"/>
      <c r="AC4" s="24083"/>
      <c r="AD4" s="24083"/>
      <c r="AE4" s="24083"/>
      <c r="AF4" s="24084"/>
      <c r="AG4" s="24082" t="e">
        <f>INDEX(PT_DIFFERENTIATION_CS,MATCH(C4,PT_DIFFERENTIATION_CS_ID,0))</f>
        <v>#N/A</v>
      </c>
      <c r="AH4" s="24083"/>
      <c r="AI4" s="24083"/>
      <c r="AJ4" s="24083"/>
      <c r="AK4" s="24083"/>
      <c r="AL4" s="24083"/>
      <c r="AM4" s="24083"/>
      <c r="AN4" s="24083"/>
      <c r="AO4" s="24083"/>
      <c r="AP4" s="24083"/>
      <c r="AQ4" s="24083"/>
      <c r="AR4" s="24084"/>
      <c r="AS4" s="1184" t="s">
        <v>757</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4089"/>
      <c r="F5" s="24089"/>
      <c r="G5" s="24089"/>
      <c r="H5" s="24089"/>
      <c r="I5" s="24090" t="e">
        <f>S4&amp;".1"</f>
        <v>#N/A</v>
      </c>
      <c r="J5" s="1289"/>
      <c r="K5" s="1289"/>
      <c r="L5" s="1290"/>
      <c r="P5" s="24092">
        <v>1</v>
      </c>
      <c r="Q5" s="1407"/>
      <c r="R5" s="292"/>
      <c r="S5" s="1419" t="e">
        <f>$I5</f>
        <v>#N/A</v>
      </c>
      <c r="T5" s="221" t="s">
        <v>709</v>
      </c>
      <c r="U5" s="236"/>
      <c r="V5" s="24156"/>
      <c r="W5" s="24157"/>
      <c r="X5" s="24157"/>
      <c r="Y5" s="24157"/>
      <c r="Z5" s="24157"/>
      <c r="AA5" s="24157"/>
      <c r="AB5" s="24157"/>
      <c r="AC5" s="24157"/>
      <c r="AD5" s="24157"/>
      <c r="AE5" s="24157"/>
      <c r="AF5" s="24158"/>
      <c r="AG5" s="24159"/>
      <c r="AH5" s="24160"/>
      <c r="AI5" s="24160"/>
      <c r="AJ5" s="24160"/>
      <c r="AK5" s="24160"/>
      <c r="AL5" s="24160"/>
      <c r="AM5" s="24160"/>
      <c r="AN5" s="24160"/>
      <c r="AO5" s="24160"/>
      <c r="AP5" s="24160"/>
      <c r="AQ5" s="24160"/>
      <c r="AR5" s="24161"/>
      <c r="AS5" s="1184" t="s">
        <v>710</v>
      </c>
      <c r="AU5" s="436"/>
      <c r="AV5" s="436" t="str">
        <f t="shared" si="0"/>
        <v>Наименование признака дифференциации</v>
      </c>
      <c r="AW5" s="436"/>
      <c r="AX5" s="436"/>
      <c r="AY5" s="1081">
        <v>0</v>
      </c>
    </row>
    <row r="6" spans="1:51" ht="23.25" hidden="1" customHeight="1">
      <c r="A6" s="1289"/>
      <c r="B6" s="1289"/>
      <c r="C6" s="1289"/>
      <c r="D6" s="1289"/>
      <c r="E6" s="24089"/>
      <c r="F6" s="24089"/>
      <c r="G6" s="24089"/>
      <c r="H6" s="24089"/>
      <c r="I6" s="24091"/>
      <c r="J6" s="24090" t="e">
        <f>I5&amp;".1"</f>
        <v>#N/A</v>
      </c>
      <c r="K6" s="1289"/>
      <c r="L6" s="1290" t="s">
        <v>635</v>
      </c>
      <c r="P6" s="24092"/>
      <c r="Q6" s="24092">
        <v>1</v>
      </c>
      <c r="R6" s="293"/>
      <c r="S6" s="1419" t="e">
        <f>$J6</f>
        <v>#N/A</v>
      </c>
      <c r="T6" s="222" t="s">
        <v>636</v>
      </c>
      <c r="U6" s="236"/>
      <c r="V6" s="24076"/>
      <c r="W6" s="24077"/>
      <c r="X6" s="24077"/>
      <c r="Y6" s="24077"/>
      <c r="Z6" s="24077"/>
      <c r="AA6" s="24077"/>
      <c r="AB6" s="24077"/>
      <c r="AC6" s="24077"/>
      <c r="AD6" s="24077"/>
      <c r="AE6" s="24077"/>
      <c r="AF6" s="24078"/>
      <c r="AG6" s="24076"/>
      <c r="AH6" s="24077"/>
      <c r="AI6" s="24077"/>
      <c r="AJ6" s="24077"/>
      <c r="AK6" s="24077"/>
      <c r="AL6" s="24077"/>
      <c r="AM6" s="24077"/>
      <c r="AN6" s="24077"/>
      <c r="AO6" s="24077"/>
      <c r="AP6" s="24077"/>
      <c r="AQ6" s="24077"/>
      <c r="AR6" s="24078"/>
      <c r="AS6" s="1233" t="s">
        <v>711</v>
      </c>
      <c r="AU6" s="436"/>
      <c r="AV6" s="436" t="str">
        <f t="shared" si="0"/>
        <v>Группа потребителей</v>
      </c>
      <c r="AW6" s="436"/>
      <c r="AX6" s="436"/>
      <c r="AY6" s="1081">
        <v>0</v>
      </c>
    </row>
    <row r="7" spans="1:51" ht="23.25" hidden="1" customHeight="1">
      <c r="A7" s="1289"/>
      <c r="B7" s="1289"/>
      <c r="C7" s="1289"/>
      <c r="D7" s="1289"/>
      <c r="E7" s="24089"/>
      <c r="F7" s="24089"/>
      <c r="G7" s="24089"/>
      <c r="H7" s="24089"/>
      <c r="I7" s="24091"/>
      <c r="J7" s="24091"/>
      <c r="K7" s="24090" t="e">
        <f>J6&amp;".1"</f>
        <v>#N/A</v>
      </c>
      <c r="L7" s="1290"/>
      <c r="P7" s="24092"/>
      <c r="Q7" s="24092"/>
      <c r="R7" s="293">
        <v>1</v>
      </c>
      <c r="S7" s="1419" t="e">
        <f>$K7</f>
        <v>#N/A</v>
      </c>
      <c r="T7" s="1363"/>
      <c r="U7" s="236"/>
      <c r="V7" s="687"/>
      <c r="W7" s="687"/>
      <c r="X7" s="687"/>
      <c r="Y7" s="687"/>
      <c r="Z7" s="687"/>
      <c r="AA7" s="687"/>
      <c r="AB7" s="1183"/>
      <c r="AC7" s="24093"/>
      <c r="AD7" s="23957" t="s">
        <v>59</v>
      </c>
      <c r="AE7" s="24093"/>
      <c r="AF7" s="23957" t="s">
        <v>59</v>
      </c>
      <c r="AG7" s="687"/>
      <c r="AH7" s="687"/>
      <c r="AI7" s="687"/>
      <c r="AJ7" s="687"/>
      <c r="AK7" s="687"/>
      <c r="AL7" s="687"/>
      <c r="AM7" s="1183"/>
      <c r="AN7" s="24093"/>
      <c r="AO7" s="23957" t="s">
        <v>59</v>
      </c>
      <c r="AP7" s="24095"/>
      <c r="AQ7" s="23957" t="s">
        <v>59</v>
      </c>
      <c r="AR7" s="1364"/>
      <c r="AS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4089"/>
      <c r="F8" s="24089"/>
      <c r="G8" s="24089"/>
      <c r="H8" s="24089"/>
      <c r="I8" s="24091"/>
      <c r="J8" s="24091"/>
      <c r="K8" s="24090"/>
      <c r="L8" s="1290"/>
      <c r="P8" s="24092"/>
      <c r="Q8" s="24092"/>
      <c r="R8" s="293"/>
      <c r="S8" s="1416"/>
      <c r="T8" s="236"/>
      <c r="U8" s="236"/>
      <c r="V8" s="261"/>
      <c r="W8" s="261"/>
      <c r="X8" s="261"/>
      <c r="Y8" s="261"/>
      <c r="Z8" s="261"/>
      <c r="AA8" s="261"/>
      <c r="AB8" s="264" t="str">
        <f>AC7&amp;"-"&amp;AE7</f>
        <v>-</v>
      </c>
      <c r="AC8" s="24094"/>
      <c r="AD8" s="23957"/>
      <c r="AE8" s="24094"/>
      <c r="AF8" s="23957"/>
      <c r="AG8" s="261"/>
      <c r="AH8" s="261"/>
      <c r="AI8" s="261"/>
      <c r="AJ8" s="261"/>
      <c r="AK8" s="261"/>
      <c r="AL8" s="261"/>
      <c r="AM8" s="264" t="str">
        <f>AN7&amp;"-"&amp;AP7</f>
        <v>-</v>
      </c>
      <c r="AN8" s="24094"/>
      <c r="AO8" s="23957"/>
      <c r="AP8" s="24096"/>
      <c r="AQ8" s="23957"/>
      <c r="AR8" s="1365"/>
      <c r="AS8" s="24162"/>
      <c r="AU8" s="436"/>
      <c r="AV8" s="436" t="str">
        <f t="shared" si="0"/>
        <v/>
      </c>
      <c r="AW8" s="436"/>
      <c r="AX8" s="436"/>
      <c r="AY8" s="1081">
        <v>0</v>
      </c>
    </row>
    <row r="9" spans="1:51" ht="21" hidden="1" customHeight="1">
      <c r="A9" s="1289"/>
      <c r="B9" s="1289"/>
      <c r="C9" s="1289"/>
      <c r="D9" s="1289"/>
      <c r="E9" s="24089"/>
      <c r="F9" s="24089"/>
      <c r="G9" s="24089"/>
      <c r="H9" s="24089"/>
      <c r="I9" s="24091"/>
      <c r="J9" s="24090"/>
      <c r="K9" s="1289"/>
      <c r="L9" s="1290"/>
      <c r="P9" s="24092"/>
      <c r="Q9" s="24092"/>
      <c r="R9" s="292"/>
      <c r="S9" s="1204"/>
      <c r="T9" s="223" t="s">
        <v>712</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713</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4089"/>
      <c r="F10" s="24089"/>
      <c r="G10" s="24089"/>
      <c r="H10" s="24089"/>
      <c r="I10" s="24090"/>
      <c r="J10" s="1289"/>
      <c r="K10" s="1289"/>
      <c r="L10" s="1290"/>
      <c r="P10" s="24092"/>
      <c r="Q10" s="1407"/>
      <c r="R10" s="292"/>
      <c r="S10" s="1204"/>
      <c r="T10" s="301" t="s">
        <v>641</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4089"/>
      <c r="F11" s="24089"/>
      <c r="G11" s="24089"/>
      <c r="H11" s="24088"/>
      <c r="I11" s="1289"/>
      <c r="J11" s="1289"/>
      <c r="K11" s="1289"/>
      <c r="L11" s="1290"/>
      <c r="M11" s="1291"/>
      <c r="N11" s="1291"/>
      <c r="O11" s="473"/>
      <c r="P11" s="296"/>
      <c r="Q11" s="311"/>
      <c r="R11" s="291"/>
      <c r="S11" s="1204"/>
      <c r="T11" s="308" t="s">
        <v>714</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39"/>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4089"/>
      <c r="F12" s="24088"/>
      <c r="G12" s="1240"/>
      <c r="H12" s="1240"/>
      <c r="I12" s="1240"/>
      <c r="J12" s="1240"/>
      <c r="K12" s="1240"/>
      <c r="L12" s="1420"/>
      <c r="M12" s="1247"/>
      <c r="N12" s="1247"/>
      <c r="P12" s="1242"/>
      <c r="Q12" s="1243"/>
      <c r="R12" s="1242"/>
      <c r="S12" s="1248"/>
      <c r="T12" s="1251" t="s">
        <v>370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4088"/>
      <c r="F13" s="1269"/>
      <c r="G13" s="1269"/>
      <c r="H13" s="1269"/>
      <c r="I13" s="1269"/>
      <c r="J13" s="1269"/>
      <c r="K13" s="1269"/>
      <c r="L13" s="1272"/>
      <c r="M13" s="1247"/>
      <c r="N13" s="1247"/>
      <c r="O13" s="454"/>
      <c r="P13" s="316"/>
      <c r="Q13" s="1270"/>
      <c r="R13" s="316"/>
      <c r="S13" s="1248"/>
      <c r="T13" s="1251" t="s">
        <v>481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3"/>
      <c r="AQ14" s="263"/>
      <c r="AY14" s="1081">
        <v>0</v>
      </c>
    </row>
    <row r="15" spans="1:51" ht="14.25" hidden="1" customHeight="1">
      <c r="AG15" s="1286"/>
      <c r="AH15" s="1286"/>
      <c r="AI15" s="1286"/>
      <c r="AJ15" s="1286"/>
      <c r="AK15" s="1286"/>
      <c r="AL15" s="1286"/>
      <c r="AM15" s="1287"/>
      <c r="AN15" s="24086"/>
      <c r="AO15" s="24085" t="s">
        <v>59</v>
      </c>
      <c r="AP15" s="24086"/>
      <c r="AQ15" s="24085" t="s">
        <v>59</v>
      </c>
      <c r="AY15" s="1081">
        <v>0</v>
      </c>
    </row>
    <row r="16" spans="1:51" ht="14.25" hidden="1" customHeight="1">
      <c r="AG16" s="1286"/>
      <c r="AH16" s="1286"/>
      <c r="AI16" s="1286"/>
      <c r="AJ16" s="1286"/>
      <c r="AK16" s="1286"/>
      <c r="AL16" s="1286"/>
      <c r="AM16" s="264" t="str">
        <f>AN15&amp;"-"&amp;AP15</f>
        <v>-</v>
      </c>
      <c r="AN16" s="24085"/>
      <c r="AO16" s="24085"/>
      <c r="AP16" s="24085"/>
      <c r="AQ16" s="24085"/>
      <c r="AY16" s="1081">
        <v>0</v>
      </c>
    </row>
    <row r="17" spans="1:51" ht="14.25" hidden="1" customHeight="1">
      <c r="AQ17" s="263"/>
      <c r="AY17" s="1081">
        <v>0</v>
      </c>
    </row>
    <row r="18" spans="1:51" s="1292" customFormat="1" ht="22.5" hidden="1" customHeight="1">
      <c r="L18" s="1404"/>
      <c r="M18" s="1288"/>
      <c r="N18" s="1288"/>
      <c r="O18" s="1293" t="s">
        <v>644</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645</v>
      </c>
      <c r="P20" s="1288"/>
      <c r="Q20" s="1368"/>
      <c r="R20" s="1368"/>
      <c r="S20" s="665"/>
      <c r="T20" s="1086" t="s">
        <v>646</v>
      </c>
      <c r="AD20" s="123" t="s">
        <v>647</v>
      </c>
      <c r="AF20" s="123" t="s">
        <v>648</v>
      </c>
      <c r="AG20" s="1086" t="s">
        <v>646</v>
      </c>
      <c r="AO20" s="123" t="s">
        <v>649</v>
      </c>
      <c r="AQ20" s="123" t="s">
        <v>648</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4069"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4069"/>
      <c r="U24" s="24069"/>
      <c r="V24" s="24069"/>
      <c r="W24" s="24069"/>
      <c r="X24" s="24069"/>
      <c r="Y24" s="24069"/>
      <c r="Z24" s="24069"/>
      <c r="AA24" s="24069"/>
      <c r="AB24" s="24069"/>
      <c r="AC24" s="24069"/>
      <c r="AD24" s="24069"/>
      <c r="AE24" s="24069"/>
      <c r="AF24" s="24069"/>
      <c r="AG24" s="24069"/>
      <c r="AH24" s="24069"/>
      <c r="AI24" s="24069"/>
      <c r="AJ24" s="24069"/>
      <c r="AK24" s="24069"/>
      <c r="AL24" s="24069"/>
      <c r="AM24" s="24069"/>
      <c r="AN24" s="24069"/>
      <c r="AO24" s="24069"/>
      <c r="AP24" s="24069"/>
      <c r="AQ24" s="1169"/>
      <c r="AY24" s="1081">
        <v>25</v>
      </c>
    </row>
    <row r="25" spans="1:51" ht="14.65" customHeight="1">
      <c r="Q25" s="312"/>
      <c r="R25" s="312"/>
      <c r="S25" s="24042" t="str">
        <f>IF(org=0,"Не определено",org)</f>
        <v>ООО "Смоленскрегионтеплоэнерго"</v>
      </c>
      <c r="T25" s="24042"/>
      <c r="U25" s="24042"/>
      <c r="V25" s="24042"/>
      <c r="W25" s="24042"/>
      <c r="X25" s="24042"/>
      <c r="Y25" s="24042"/>
      <c r="Z25" s="24042"/>
      <c r="AA25" s="24042"/>
      <c r="AB25" s="24042"/>
      <c r="AC25" s="24042"/>
      <c r="AD25" s="24042"/>
      <c r="AE25" s="24042"/>
      <c r="AF25" s="24042"/>
      <c r="AG25" s="24042"/>
      <c r="AH25" s="24042"/>
      <c r="AI25" s="24042"/>
      <c r="AJ25" s="24042"/>
      <c r="AK25" s="24042"/>
      <c r="AL25" s="24042"/>
      <c r="AM25" s="24042"/>
      <c r="AN25" s="24042"/>
      <c r="AO25" s="24042"/>
      <c r="AP25" s="24042"/>
      <c r="AQ25" s="1169"/>
      <c r="AY25" s="1081">
        <v>14</v>
      </c>
    </row>
    <row r="26" spans="1:51" ht="14.25" customHeight="1">
      <c r="Q26" s="312"/>
      <c r="R26" s="312"/>
      <c r="S26" s="1201"/>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81">
        <v>0</v>
      </c>
    </row>
    <row r="27" spans="1:51" s="1750" customFormat="1" ht="25.5" customHeight="1">
      <c r="A27" s="1294"/>
      <c r="B27" s="1294"/>
      <c r="C27" s="1294"/>
      <c r="D27" s="1294"/>
      <c r="E27" s="1294"/>
      <c r="F27" s="1294"/>
      <c r="G27" s="1294"/>
      <c r="H27" s="1294"/>
      <c r="I27" s="1294"/>
      <c r="J27" s="1294"/>
      <c r="K27" s="1294"/>
      <c r="L27" s="1295"/>
      <c r="M27" s="1294"/>
      <c r="N27" s="1294"/>
      <c r="O27" s="1294"/>
      <c r="S27" s="24079" t="s">
        <v>31</v>
      </c>
      <c r="T27" s="24079"/>
      <c r="U27" s="1298"/>
      <c r="V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27" s="24081"/>
      <c r="X27" s="24081"/>
      <c r="Y27" s="24081"/>
      <c r="Z27" s="24081"/>
      <c r="AA27" s="24081"/>
      <c r="AB27" s="24081"/>
      <c r="AC27" s="24081"/>
      <c r="AD27" s="24081"/>
      <c r="AE27" s="24081"/>
      <c r="AF27" s="262"/>
      <c r="AG27"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H27" s="24081"/>
      <c r="AI27" s="24081"/>
      <c r="AJ27" s="24081"/>
      <c r="AK27" s="24081"/>
      <c r="AL27" s="24081"/>
      <c r="AM27" s="24081"/>
      <c r="AN27" s="24081"/>
      <c r="AO27" s="24081"/>
      <c r="AP27" s="24081"/>
      <c r="AQ27" s="262"/>
      <c r="AR27" s="262"/>
      <c r="AS27" s="216"/>
      <c r="AT27" s="304"/>
      <c r="AU27" s="304"/>
      <c r="AV27" s="304"/>
      <c r="AW27" s="304"/>
      <c r="AX27" s="304"/>
      <c r="AY27" s="354">
        <v>0</v>
      </c>
    </row>
    <row r="28" spans="1:51" s="1750" customFormat="1" ht="18.75" customHeight="1">
      <c r="A28" s="1294"/>
      <c r="B28" s="1294"/>
      <c r="C28" s="1294"/>
      <c r="D28" s="1294"/>
      <c r="E28" s="1294"/>
      <c r="F28" s="1294"/>
      <c r="G28" s="1294"/>
      <c r="H28" s="1294"/>
      <c r="I28" s="1294"/>
      <c r="J28" s="1294"/>
      <c r="K28" s="1294"/>
      <c r="L28" s="1295"/>
      <c r="M28" s="1294"/>
      <c r="N28" s="1294"/>
      <c r="O28" s="1294"/>
      <c r="S28" s="24079" t="s">
        <v>650</v>
      </c>
      <c r="T28" s="24079"/>
      <c r="U28" s="1298"/>
      <c r="V28" s="24080" t="str">
        <f>IF(TITLE_DATE_PR_CHANGE="",IF(TITLE_DATE_PR="","",TITLE_DATE_PR),TITLE_DATE_PR_CHANGE)</f>
        <v>20.12.2024</v>
      </c>
      <c r="W28" s="24080"/>
      <c r="X28" s="24080"/>
      <c r="Y28" s="24080"/>
      <c r="Z28" s="24080"/>
      <c r="AA28" s="24080"/>
      <c r="AB28" s="24080"/>
      <c r="AC28" s="24080"/>
      <c r="AD28" s="24080"/>
      <c r="AE28" s="24080"/>
      <c r="AF28" s="262"/>
      <c r="AG28" s="24080" t="str">
        <f>IF(TITLE_DATE_PR_CHANGE="",IF(TITLE_DATE_PR="","",TITLE_DATE_PR),TITLE_DATE_PR_CHANGE)</f>
        <v>20.12.2024</v>
      </c>
      <c r="AH28" s="24080"/>
      <c r="AI28" s="24080"/>
      <c r="AJ28" s="24080"/>
      <c r="AK28" s="24080"/>
      <c r="AL28" s="24080"/>
      <c r="AM28" s="24080"/>
      <c r="AN28" s="24080"/>
      <c r="AO28" s="24080"/>
      <c r="AP28" s="24080"/>
      <c r="AQ28" s="262"/>
      <c r="AR28" s="262"/>
      <c r="AS28" s="216"/>
      <c r="AT28" s="304"/>
      <c r="AU28" s="304"/>
      <c r="AV28" s="304"/>
      <c r="AW28" s="304"/>
      <c r="AX28" s="304"/>
      <c r="AY28" s="354">
        <v>0</v>
      </c>
    </row>
    <row r="29" spans="1:51" s="1750" customFormat="1" ht="18.75" customHeight="1">
      <c r="A29" s="1294"/>
      <c r="B29" s="1294"/>
      <c r="C29" s="1294"/>
      <c r="D29" s="1294"/>
      <c r="E29" s="1294"/>
      <c r="F29" s="1294"/>
      <c r="G29" s="1294"/>
      <c r="H29" s="1294"/>
      <c r="I29" s="1294"/>
      <c r="J29" s="1294"/>
      <c r="K29" s="1294"/>
      <c r="L29" s="1295"/>
      <c r="M29" s="1294"/>
      <c r="N29" s="1294"/>
      <c r="O29" s="1294"/>
      <c r="S29" s="24079" t="s">
        <v>651</v>
      </c>
      <c r="T29" s="24079"/>
      <c r="U29" s="1298"/>
      <c r="V29" s="24081" t="str">
        <f>IF(TITLE_NUMBER_PR_CHANGE="",IF(TITLE_NUMBER_PR="","",TITLE_NUMBER_PR),TITLE_NUMBER_PR_CHANGE)</f>
        <v>403, 404</v>
      </c>
      <c r="W29" s="24081"/>
      <c r="X29" s="24081"/>
      <c r="Y29" s="24081"/>
      <c r="Z29" s="24081"/>
      <c r="AA29" s="24081"/>
      <c r="AB29" s="24081"/>
      <c r="AC29" s="24081"/>
      <c r="AD29" s="24081"/>
      <c r="AE29" s="24081"/>
      <c r="AF29" s="262"/>
      <c r="AG29" s="24081" t="str">
        <f>IF(TITLE_NUMBER_PR_CHANGE="",IF(TITLE_NUMBER_PR="","",TITLE_NUMBER_PR),TITLE_NUMBER_PR_CHANGE)</f>
        <v>403, 404</v>
      </c>
      <c r="AH29" s="24081"/>
      <c r="AI29" s="24081"/>
      <c r="AJ29" s="24081"/>
      <c r="AK29" s="24081"/>
      <c r="AL29" s="24081"/>
      <c r="AM29" s="24081"/>
      <c r="AN29" s="24081"/>
      <c r="AO29" s="24081"/>
      <c r="AP29" s="24081"/>
      <c r="AQ29" s="262"/>
      <c r="AR29" s="262"/>
      <c r="AS29" s="216"/>
      <c r="AT29" s="304"/>
      <c r="AU29" s="304"/>
      <c r="AV29" s="304"/>
      <c r="AW29" s="304"/>
      <c r="AX29" s="304"/>
      <c r="AY29" s="354">
        <v>0</v>
      </c>
    </row>
    <row r="30" spans="1:51" s="1750" customFormat="1" ht="18.75" customHeight="1">
      <c r="A30" s="1294"/>
      <c r="B30" s="1294"/>
      <c r="C30" s="1294"/>
      <c r="D30" s="1294"/>
      <c r="E30" s="1294"/>
      <c r="F30" s="1294"/>
      <c r="G30" s="1294"/>
      <c r="H30" s="1294"/>
      <c r="I30" s="1294"/>
      <c r="J30" s="1294"/>
      <c r="K30" s="1294"/>
      <c r="L30" s="1295"/>
      <c r="M30" s="1294"/>
      <c r="N30" s="1294"/>
      <c r="O30" s="1294"/>
      <c r="S30" s="24079" t="s">
        <v>33</v>
      </c>
      <c r="T30" s="24079"/>
      <c r="U30" s="1298"/>
      <c r="V30" s="24081" t="str">
        <f>IF(TITLE_IST_PUB_CHANGE="",IF(TITLE_IST_PUB="","",TITLE_IST_PUB),TITLE_IST_PUB_CHANGE)</f>
        <v>Смоленская газета</v>
      </c>
      <c r="W30" s="24081"/>
      <c r="X30" s="24081"/>
      <c r="Y30" s="24081"/>
      <c r="Z30" s="24081"/>
      <c r="AA30" s="24081"/>
      <c r="AB30" s="24081"/>
      <c r="AC30" s="24081"/>
      <c r="AD30" s="24081"/>
      <c r="AE30" s="24081"/>
      <c r="AF30" s="262"/>
      <c r="AG30" s="24081" t="str">
        <f>IF(TITLE_IST_PUB_CHANGE="",IF(TITLE_IST_PUB="","",TITLE_IST_PUB),TITLE_IST_PUB_CHANGE)</f>
        <v>Смоленская газета</v>
      </c>
      <c r="AH30" s="24081"/>
      <c r="AI30" s="24081"/>
      <c r="AJ30" s="24081"/>
      <c r="AK30" s="24081"/>
      <c r="AL30" s="24081"/>
      <c r="AM30" s="24081"/>
      <c r="AN30" s="24081"/>
      <c r="AO30" s="24081"/>
      <c r="AP30" s="24081"/>
      <c r="AQ30" s="262"/>
      <c r="AR30" s="262"/>
      <c r="AS30" s="216"/>
      <c r="AT30" s="304"/>
      <c r="AU30" s="304"/>
      <c r="AV30" s="304"/>
      <c r="AW30" s="304"/>
      <c r="AX30" s="304"/>
      <c r="AY30" s="354">
        <v>0</v>
      </c>
    </row>
    <row r="31" spans="1:51" ht="14.25" hidden="1" customHeight="1">
      <c r="Q31" s="312"/>
      <c r="R31" s="312"/>
      <c r="S31" s="1201"/>
      <c r="T31" s="299"/>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81">
        <v>0</v>
      </c>
    </row>
    <row r="32" spans="1:51" s="1750" customFormat="1" ht="18.75" hidden="1" customHeight="1">
      <c r="A32" s="1294"/>
      <c r="B32" s="1294"/>
      <c r="C32" s="1294"/>
      <c r="D32" s="1294"/>
      <c r="E32" s="1294"/>
      <c r="F32" s="1294"/>
      <c r="G32" s="1294"/>
      <c r="H32" s="1294"/>
      <c r="I32" s="1294"/>
      <c r="J32" s="1294"/>
      <c r="K32" s="1294"/>
      <c r="L32" s="1295"/>
      <c r="M32" s="1294"/>
      <c r="N32" s="1294"/>
      <c r="O32" s="1294"/>
      <c r="S32" s="24079" t="s">
        <v>652</v>
      </c>
      <c r="T32" s="24079"/>
      <c r="U32" s="1298"/>
      <c r="V32" s="24080" t="str">
        <f>IF(TITLE_DATE_PR_CHANGE="",IF(TITLE_DATE_PR="","",TITLE_DATE_PR),TITLE_DATE_PR_CHANGE)</f>
        <v>20.12.2024</v>
      </c>
      <c r="W32" s="24080"/>
      <c r="X32" s="24080"/>
      <c r="Y32" s="24080"/>
      <c r="Z32" s="24080"/>
      <c r="AA32" s="24080"/>
      <c r="AB32" s="24080"/>
      <c r="AC32" s="24080"/>
      <c r="AD32" s="24080"/>
      <c r="AE32" s="24080"/>
      <c r="AF32" s="262"/>
      <c r="AG32" s="24080" t="str">
        <f>IF(TITLE_DATE_PR_CHANGE="",IF(TITLE_DATE_PR="","",TITLE_DATE_PR),TITLE_DATE_PR_CHANGE)</f>
        <v>20.12.2024</v>
      </c>
      <c r="AH32" s="24080"/>
      <c r="AI32" s="24080"/>
      <c r="AJ32" s="24080"/>
      <c r="AK32" s="24080"/>
      <c r="AL32" s="24080"/>
      <c r="AM32" s="24080"/>
      <c r="AN32" s="24080"/>
      <c r="AO32" s="24080"/>
      <c r="AP32" s="24080"/>
      <c r="AQ32" s="262"/>
      <c r="AR32" s="262"/>
      <c r="AS32" s="216"/>
      <c r="AT32" s="304"/>
      <c r="AU32" s="304"/>
      <c r="AV32" s="304"/>
      <c r="AW32" s="304"/>
      <c r="AX32" s="304"/>
      <c r="AY32" s="354">
        <v>0</v>
      </c>
    </row>
    <row r="33" spans="1:51" s="1750" customFormat="1" ht="18.75" hidden="1" customHeight="1">
      <c r="A33" s="1294"/>
      <c r="B33" s="1294"/>
      <c r="C33" s="1294"/>
      <c r="D33" s="1294"/>
      <c r="E33" s="1294"/>
      <c r="F33" s="1294"/>
      <c r="G33" s="1294"/>
      <c r="H33" s="1294"/>
      <c r="I33" s="1294"/>
      <c r="J33" s="1294"/>
      <c r="K33" s="1294"/>
      <c r="L33" s="1295"/>
      <c r="M33" s="1294"/>
      <c r="N33" s="1294"/>
      <c r="O33" s="1294"/>
      <c r="S33" s="24079" t="s">
        <v>653</v>
      </c>
      <c r="T33" s="24079"/>
      <c r="U33" s="1298"/>
      <c r="V33" s="24081" t="str">
        <f>IF(TITLE_NUMBER_PR_CHANGE="",IF(TITLE_NUMBER_PR="","",TITLE_NUMBER_PR),TITLE_NUMBER_PR_CHANGE)</f>
        <v>403, 404</v>
      </c>
      <c r="W33" s="24081"/>
      <c r="X33" s="24081"/>
      <c r="Y33" s="24081"/>
      <c r="Z33" s="24081"/>
      <c r="AA33" s="24081"/>
      <c r="AB33" s="24081"/>
      <c r="AC33" s="24081"/>
      <c r="AD33" s="24081"/>
      <c r="AE33" s="24081"/>
      <c r="AF33" s="262"/>
      <c r="AG33" s="24081" t="str">
        <f>IF(TITLE_NUMBER_PR_CHANGE="",IF(TITLE_NUMBER_PR="","",TITLE_NUMBER_PR),TITLE_NUMBER_PR_CHANGE)</f>
        <v>403, 404</v>
      </c>
      <c r="AH33" s="24081"/>
      <c r="AI33" s="24081"/>
      <c r="AJ33" s="24081"/>
      <c r="AK33" s="24081"/>
      <c r="AL33" s="24081"/>
      <c r="AM33" s="24081"/>
      <c r="AN33" s="24081"/>
      <c r="AO33" s="24081"/>
      <c r="AP33" s="24081"/>
      <c r="AQ33" s="262"/>
      <c r="AR33" s="262"/>
      <c r="AS33" s="216"/>
      <c r="AT33" s="304"/>
      <c r="AU33" s="304"/>
      <c r="AV33" s="304"/>
      <c r="AW33" s="304"/>
      <c r="AX33" s="304"/>
      <c r="AY33" s="354">
        <v>0</v>
      </c>
    </row>
    <row r="34" spans="1:51" s="1750" customFormat="1" ht="1.1499999999999999" customHeight="1">
      <c r="A34" s="1294"/>
      <c r="B34" s="1294"/>
      <c r="C34" s="1294"/>
      <c r="D34" s="1294"/>
      <c r="E34" s="1294"/>
      <c r="F34" s="1294"/>
      <c r="G34" s="1294"/>
      <c r="H34" s="1294"/>
      <c r="I34" s="1294"/>
      <c r="J34" s="1294"/>
      <c r="K34" s="1294"/>
      <c r="L34" s="1295"/>
      <c r="M34" s="1294"/>
      <c r="N34" s="1294"/>
      <c r="O34" s="1294"/>
      <c r="S34" s="259"/>
      <c r="T34" s="259"/>
      <c r="U34" s="1414"/>
      <c r="V34" s="262"/>
      <c r="W34" s="1561"/>
      <c r="X34" s="1561"/>
      <c r="Y34" s="1561"/>
      <c r="Z34" s="1561"/>
      <c r="AA34" s="1561"/>
      <c r="AB34" s="262"/>
      <c r="AC34" s="262"/>
      <c r="AD34" s="262"/>
      <c r="AE34" s="262"/>
      <c r="AF34" s="214" t="s">
        <v>654</v>
      </c>
      <c r="AG34" s="262"/>
      <c r="AH34" s="1561"/>
      <c r="AI34" s="1561"/>
      <c r="AJ34" s="1561"/>
      <c r="AK34" s="1561"/>
      <c r="AL34" s="1561"/>
      <c r="AM34" s="262"/>
      <c r="AN34" s="262"/>
      <c r="AO34" s="262"/>
      <c r="AP34" s="262"/>
      <c r="AQ34" s="214" t="s">
        <v>654</v>
      </c>
      <c r="AT34" s="304"/>
      <c r="AU34" s="304"/>
      <c r="AV34" s="304"/>
      <c r="AW34" s="304"/>
      <c r="AX34" s="304"/>
      <c r="AY34" s="354">
        <v>1</v>
      </c>
    </row>
    <row r="35" spans="1:51" ht="14.65" customHeight="1">
      <c r="Q35" s="312"/>
      <c r="R35" s="312"/>
      <c r="S35" s="1201"/>
      <c r="T35" s="299"/>
      <c r="U35" s="1170"/>
      <c r="V35" s="24100"/>
      <c r="W35" s="24100"/>
      <c r="X35" s="24100"/>
      <c r="Y35" s="24100"/>
      <c r="Z35" s="24100"/>
      <c r="AA35" s="24100"/>
      <c r="AB35" s="24100"/>
      <c r="AC35" s="24100"/>
      <c r="AD35" s="24100"/>
      <c r="AE35" s="24100"/>
      <c r="AF35" s="24100"/>
      <c r="AG35" s="24100"/>
      <c r="AH35" s="24100"/>
      <c r="AI35" s="24100"/>
      <c r="AJ35" s="24100"/>
      <c r="AK35" s="24100"/>
      <c r="AL35" s="24100"/>
      <c r="AM35" s="24100"/>
      <c r="AN35" s="24100"/>
      <c r="AO35" s="24100"/>
      <c r="AP35" s="24100"/>
      <c r="AQ35" s="24100"/>
      <c r="AY35" s="1081">
        <v>14</v>
      </c>
    </row>
    <row r="36" spans="1:51" ht="14.65" customHeight="1">
      <c r="Q36" s="312"/>
      <c r="R36" s="312"/>
      <c r="S36" s="23947" t="s">
        <v>529</v>
      </c>
      <c r="T36" s="23947"/>
      <c r="U36" s="23947"/>
      <c r="V36" s="23947"/>
      <c r="W36" s="23947"/>
      <c r="X36" s="23947"/>
      <c r="Y36" s="23947"/>
      <c r="Z36" s="23947"/>
      <c r="AA36" s="23947"/>
      <c r="AB36" s="23947"/>
      <c r="AC36" s="23947"/>
      <c r="AD36" s="23947"/>
      <c r="AE36" s="23947"/>
      <c r="AF36" s="23947"/>
      <c r="AG36" s="23947"/>
      <c r="AH36" s="23947"/>
      <c r="AI36" s="23947"/>
      <c r="AJ36" s="23947"/>
      <c r="AK36" s="23947"/>
      <c r="AL36" s="23947"/>
      <c r="AM36" s="23947"/>
      <c r="AN36" s="23947"/>
      <c r="AO36" s="23947"/>
      <c r="AP36" s="23947"/>
      <c r="AQ36" s="23947"/>
      <c r="AR36" s="23947"/>
      <c r="AS36" s="23947" t="s">
        <v>530</v>
      </c>
      <c r="AY36" s="1081">
        <v>14</v>
      </c>
    </row>
    <row r="37" spans="1:51" ht="14.65" customHeight="1">
      <c r="Q37" s="312"/>
      <c r="R37" s="312"/>
      <c r="S37" s="24101" t="s">
        <v>79</v>
      </c>
      <c r="T37" s="24050" t="s">
        <v>655</v>
      </c>
      <c r="U37" s="237"/>
      <c r="V37" s="24102" t="s">
        <v>656</v>
      </c>
      <c r="W37" s="24103"/>
      <c r="X37" s="24103"/>
      <c r="Y37" s="24103"/>
      <c r="Z37" s="24103"/>
      <c r="AA37" s="24103"/>
      <c r="AB37" s="24103"/>
      <c r="AC37" s="24103"/>
      <c r="AD37" s="24103"/>
      <c r="AE37" s="24104"/>
      <c r="AF37" s="24105" t="s">
        <v>657</v>
      </c>
      <c r="AG37" s="24102" t="s">
        <v>656</v>
      </c>
      <c r="AH37" s="24103"/>
      <c r="AI37" s="24103"/>
      <c r="AJ37" s="24103"/>
      <c r="AK37" s="24103"/>
      <c r="AL37" s="24103"/>
      <c r="AM37" s="24103"/>
      <c r="AN37" s="24103"/>
      <c r="AO37" s="24103"/>
      <c r="AP37" s="24104"/>
      <c r="AQ37" s="24105" t="s">
        <v>658</v>
      </c>
      <c r="AR37" s="24108" t="s">
        <v>659</v>
      </c>
      <c r="AS37" s="23947"/>
      <c r="AY37" s="1081">
        <v>14</v>
      </c>
    </row>
    <row r="38" spans="1:51" s="1561" customFormat="1" ht="19.899999999999999" customHeight="1">
      <c r="A38" s="1292"/>
      <c r="B38" s="1292"/>
      <c r="C38" s="1292"/>
      <c r="D38" s="1292"/>
      <c r="E38" s="1292"/>
      <c r="F38" s="1292"/>
      <c r="G38" s="1292"/>
      <c r="H38" s="1292"/>
      <c r="I38" s="1292"/>
      <c r="J38" s="1292"/>
      <c r="K38" s="1292"/>
      <c r="L38" s="1874"/>
      <c r="M38" s="1288"/>
      <c r="N38" s="1288"/>
      <c r="O38" s="1288"/>
      <c r="P38" s="1875"/>
      <c r="Q38" s="312"/>
      <c r="R38" s="312"/>
      <c r="S38" s="24101"/>
      <c r="T38" s="24050"/>
      <c r="U38" s="960"/>
      <c r="V38" s="23947" t="s">
        <v>758</v>
      </c>
      <c r="W38" s="24183" t="s">
        <v>759</v>
      </c>
      <c r="X38" s="24183"/>
      <c r="Y38" s="24183"/>
      <c r="Z38" s="24183" t="s">
        <v>760</v>
      </c>
      <c r="AA38" s="24183"/>
      <c r="AB38" s="24183"/>
      <c r="AC38" s="24023" t="s">
        <v>663</v>
      </c>
      <c r="AD38" s="24130"/>
      <c r="AE38" s="24024"/>
      <c r="AF38" s="24106"/>
      <c r="AG38" s="23947" t="s">
        <v>758</v>
      </c>
      <c r="AH38" s="24183" t="s">
        <v>759</v>
      </c>
      <c r="AI38" s="24183"/>
      <c r="AJ38" s="24183"/>
      <c r="AK38" s="24183" t="s">
        <v>760</v>
      </c>
      <c r="AL38" s="24183"/>
      <c r="AM38" s="24183"/>
      <c r="AN38" s="24023" t="s">
        <v>663</v>
      </c>
      <c r="AO38" s="24130"/>
      <c r="AP38" s="24024"/>
      <c r="AQ38" s="24106"/>
      <c r="AR38" s="24109"/>
      <c r="AS38" s="23947"/>
      <c r="AT38" s="1562"/>
      <c r="AU38" s="1562"/>
      <c r="AV38" s="1562"/>
      <c r="AW38" s="1562"/>
      <c r="AX38" s="1562"/>
      <c r="AY38" s="1557">
        <v>19</v>
      </c>
    </row>
    <row r="39" spans="1:51" ht="19.899999999999999" customHeight="1">
      <c r="Q39" s="312"/>
      <c r="R39" s="312"/>
      <c r="S39" s="24101"/>
      <c r="T39" s="24050"/>
      <c r="U39" s="960"/>
      <c r="V39" s="23947"/>
      <c r="W39" s="24183" t="s">
        <v>761</v>
      </c>
      <c r="X39" s="24183" t="s">
        <v>762</v>
      </c>
      <c r="Y39" s="24183"/>
      <c r="Z39" s="24183" t="s">
        <v>763</v>
      </c>
      <c r="AA39" s="24183" t="s">
        <v>762</v>
      </c>
      <c r="AB39" s="24183"/>
      <c r="AC39" s="24028"/>
      <c r="AD39" s="24131"/>
      <c r="AE39" s="24029"/>
      <c r="AF39" s="24106"/>
      <c r="AG39" s="23947"/>
      <c r="AH39" s="24183" t="s">
        <v>761</v>
      </c>
      <c r="AI39" s="24183" t="s">
        <v>762</v>
      </c>
      <c r="AJ39" s="24183"/>
      <c r="AK39" s="24183" t="s">
        <v>763</v>
      </c>
      <c r="AL39" s="24183" t="s">
        <v>762</v>
      </c>
      <c r="AM39" s="24183"/>
      <c r="AN39" s="24028"/>
      <c r="AO39" s="24131"/>
      <c r="AP39" s="24029"/>
      <c r="AQ39" s="24106"/>
      <c r="AR39" s="24109"/>
      <c r="AS39" s="23947"/>
      <c r="AY39" s="1081">
        <v>19</v>
      </c>
    </row>
    <row r="40" spans="1:51" ht="61.9" customHeight="1">
      <c r="A40" s="1296"/>
      <c r="B40" s="1296" t="s">
        <v>241</v>
      </c>
      <c r="C40" s="1296" t="s">
        <v>242</v>
      </c>
      <c r="D40" s="1296" t="s">
        <v>243</v>
      </c>
      <c r="E40" s="1290" t="s">
        <v>664</v>
      </c>
      <c r="F40" s="1290" t="s">
        <v>665</v>
      </c>
      <c r="G40" s="1290" t="s">
        <v>666</v>
      </c>
      <c r="H40" s="1290"/>
      <c r="I40" s="1290" t="s">
        <v>716</v>
      </c>
      <c r="J40" s="1290" t="s">
        <v>669</v>
      </c>
      <c r="K40" s="1290" t="s">
        <v>717</v>
      </c>
      <c r="L40" s="1290" t="s">
        <v>645</v>
      </c>
      <c r="Q40" s="312"/>
      <c r="R40" s="312"/>
      <c r="S40" s="24101"/>
      <c r="T40" s="24050"/>
      <c r="U40" s="238"/>
      <c r="V40" s="23947"/>
      <c r="W40" s="24183"/>
      <c r="X40" s="1877" t="s">
        <v>764</v>
      </c>
      <c r="Y40" s="1877" t="s">
        <v>765</v>
      </c>
      <c r="Z40" s="24183"/>
      <c r="AA40" s="1877" t="s">
        <v>766</v>
      </c>
      <c r="AB40" s="1877" t="s">
        <v>767</v>
      </c>
      <c r="AC40" s="1415" t="s">
        <v>673</v>
      </c>
      <c r="AD40" s="24055" t="s">
        <v>674</v>
      </c>
      <c r="AE40" s="24068"/>
      <c r="AF40" s="24107"/>
      <c r="AG40" s="23947"/>
      <c r="AH40" s="24183"/>
      <c r="AI40" s="1877" t="s">
        <v>764</v>
      </c>
      <c r="AJ40" s="1877" t="s">
        <v>765</v>
      </c>
      <c r="AK40" s="24183"/>
      <c r="AL40" s="1877" t="s">
        <v>766</v>
      </c>
      <c r="AM40" s="1877" t="s">
        <v>767</v>
      </c>
      <c r="AN40" s="1415" t="s">
        <v>673</v>
      </c>
      <c r="AO40" s="24055" t="s">
        <v>674</v>
      </c>
      <c r="AP40" s="24068"/>
      <c r="AQ40" s="24107"/>
      <c r="AR40" s="24110"/>
      <c r="AS40" s="23947"/>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218</v>
      </c>
      <c r="T41" s="1181" t="s">
        <v>95</v>
      </c>
      <c r="U41" s="1171" t="str">
        <f ca="1">OFFSET(U41,0,-1)</f>
        <v>2</v>
      </c>
      <c r="V41" s="1408">
        <f ca="1">OFFSET(V41,0,-1)+1</f>
        <v>3</v>
      </c>
      <c r="W41" s="1873"/>
      <c r="X41" s="1873"/>
      <c r="Y41" s="1873"/>
      <c r="Z41" s="1873"/>
      <c r="AA41" s="1873"/>
      <c r="AB41" s="1408">
        <f ca="1">OFFSET(AB41,0,-1)+1</f>
        <v>1</v>
      </c>
      <c r="AC41" s="1408">
        <f ca="1">OFFSET(AC41,0,-1)+1</f>
        <v>2</v>
      </c>
      <c r="AD41" s="24099">
        <f ca="1">OFFSET(AD41,0,-1)+1</f>
        <v>3</v>
      </c>
      <c r="AE41" s="24099"/>
      <c r="AF41" s="1408">
        <f ca="1">OFFSET(AF41,0,-2)+1</f>
        <v>4</v>
      </c>
      <c r="AG41" s="1408">
        <f ca="1">OFFSET(AG41,0,-1)+1</f>
        <v>5</v>
      </c>
      <c r="AH41" s="1873"/>
      <c r="AI41" s="1873"/>
      <c r="AJ41" s="1873"/>
      <c r="AK41" s="1873"/>
      <c r="AL41" s="1873"/>
      <c r="AM41" s="1408">
        <f ca="1">OFFSET(AM41,0,-1)+1</f>
        <v>1</v>
      </c>
      <c r="AN41" s="1408">
        <f ca="1">OFFSET(AN41,0,-1)+1</f>
        <v>2</v>
      </c>
      <c r="AO41" s="24099">
        <f ca="1">OFFSET(AO41,0,-1)+1</f>
        <v>3</v>
      </c>
      <c r="AP41" s="24099"/>
      <c r="AQ41" s="1408">
        <f ca="1">OFFSET(AQ41,0,-2)+1</f>
        <v>4</v>
      </c>
      <c r="AR41" s="1171">
        <f ca="1">OFFSET(AR41,0,-1)</f>
        <v>4</v>
      </c>
      <c r="AS41" s="1408">
        <f ca="1">OFFSET(AS41,0,-1)+1</f>
        <v>5</v>
      </c>
      <c r="AT41" s="447"/>
      <c r="AU41" s="447"/>
      <c r="AV41" s="447"/>
      <c r="AW41" s="447"/>
      <c r="AX41" s="447"/>
      <c r="AY41" s="432">
        <v>0</v>
      </c>
    </row>
    <row r="42" spans="1:51" ht="24" customHeight="1">
      <c r="A42" s="1289" t="s">
        <v>485</v>
      </c>
      <c r="B42" s="1289"/>
      <c r="C42" s="1289"/>
      <c r="D42" s="1289"/>
      <c r="E42" s="24088">
        <v>1</v>
      </c>
      <c r="F42" s="1289"/>
      <c r="G42" s="1289"/>
      <c r="H42" s="1289"/>
      <c r="I42" s="1289"/>
      <c r="J42" s="1289"/>
      <c r="K42" s="1289"/>
      <c r="L42" s="1290"/>
      <c r="M42" s="1291"/>
      <c r="N42" s="1291"/>
      <c r="O42" s="1291"/>
      <c r="P42" s="297"/>
      <c r="Q42" s="296"/>
      <c r="R42" s="291"/>
      <c r="S42" s="1419">
        <f>INDEX(PT_DIFFERENTIATION_NUM_NTAR,MATCH(A42,PT_DIFFERENTIATION_NTAR_ID,0))</f>
        <v>0</v>
      </c>
      <c r="T42" s="234" t="s">
        <v>229</v>
      </c>
      <c r="U42" s="236"/>
      <c r="V42" s="24082"/>
      <c r="W42" s="24083"/>
      <c r="X42" s="24083"/>
      <c r="Y42" s="24083"/>
      <c r="Z42" s="24083"/>
      <c r="AA42" s="24083"/>
      <c r="AB42" s="24083"/>
      <c r="AC42" s="24083"/>
      <c r="AD42" s="24083"/>
      <c r="AE42" s="24083"/>
      <c r="AF42" s="24084"/>
      <c r="AG42" s="24082" t="str">
        <f>INDEX(PT_DIFFERENTIATION_NTAR,MATCH(A42,PT_DIFFERENTIATION_NTAR_ID,0))</f>
        <v/>
      </c>
      <c r="AH42" s="24083"/>
      <c r="AI42" s="24083"/>
      <c r="AJ42" s="24083"/>
      <c r="AK42" s="24083"/>
      <c r="AL42" s="24083"/>
      <c r="AM42" s="24083"/>
      <c r="AN42" s="24083"/>
      <c r="AO42" s="24083"/>
      <c r="AP42" s="24083"/>
      <c r="AQ42" s="24083"/>
      <c r="AR42" s="2408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485</v>
      </c>
      <c r="B43" s="1289" t="s">
        <v>486</v>
      </c>
      <c r="C43" s="1289"/>
      <c r="D43" s="1289"/>
      <c r="E43" s="24089"/>
      <c r="F43" s="24088">
        <v>1</v>
      </c>
      <c r="G43" s="1289"/>
      <c r="H43" s="1289"/>
      <c r="I43" s="1289"/>
      <c r="J43" s="1289"/>
      <c r="K43" s="1289"/>
      <c r="L43" s="1290"/>
      <c r="M43" s="1291"/>
      <c r="N43" s="1291"/>
      <c r="O43" s="1291"/>
      <c r="P43" s="1413"/>
      <c r="Q43" s="288"/>
      <c r="R43" s="289"/>
      <c r="S43" s="1419" t="str">
        <f>INDEX(PT_DIFFERENTIATION_NUM_TER,MATCH(B43,PT_DIFFERENTIATION_TER_ID,0))</f>
        <v>.</v>
      </c>
      <c r="T43" s="244" t="s">
        <v>626</v>
      </c>
      <c r="U43" s="236"/>
      <c r="V43" s="24082"/>
      <c r="W43" s="24083"/>
      <c r="X43" s="24083"/>
      <c r="Y43" s="24083"/>
      <c r="Z43" s="24083"/>
      <c r="AA43" s="24083"/>
      <c r="AB43" s="24083"/>
      <c r="AC43" s="24083"/>
      <c r="AD43" s="24083"/>
      <c r="AE43" s="24083"/>
      <c r="AF43" s="24084"/>
      <c r="AG43" s="24082" t="str">
        <f>INDEX(PT_DIFFERENTIATION_TER,MATCH(B43,PT_DIFFERENTIATION_TER_ID,0))</f>
        <v/>
      </c>
      <c r="AH43" s="24083"/>
      <c r="AI43" s="24083"/>
      <c r="AJ43" s="24083"/>
      <c r="AK43" s="24083"/>
      <c r="AL43" s="24083"/>
      <c r="AM43" s="24083"/>
      <c r="AN43" s="24083"/>
      <c r="AO43" s="24083"/>
      <c r="AP43" s="24083"/>
      <c r="AQ43" s="24083"/>
      <c r="AR43" s="24084"/>
      <c r="AS43" s="1184" t="s">
        <v>627</v>
      </c>
      <c r="AU43" s="436"/>
      <c r="AV43" s="436" t="str">
        <f t="shared" si="1"/>
        <v>Территория действия тарифа</v>
      </c>
      <c r="AW43" s="436"/>
      <c r="AX43" s="436"/>
      <c r="AY43" s="1081">
        <v>23</v>
      </c>
    </row>
    <row r="44" spans="1:51" ht="24" customHeight="1">
      <c r="A44" s="1289" t="s">
        <v>485</v>
      </c>
      <c r="B44" s="1289" t="s">
        <v>486</v>
      </c>
      <c r="C44" s="1289" t="s">
        <v>487</v>
      </c>
      <c r="D44" s="1289"/>
      <c r="E44" s="24089"/>
      <c r="F44" s="24089"/>
      <c r="G44" s="24088">
        <v>1</v>
      </c>
      <c r="H44" s="1289"/>
      <c r="I44" s="1289"/>
      <c r="J44" s="1289"/>
      <c r="K44" s="1289"/>
      <c r="L44" s="1290"/>
      <c r="M44" s="1291"/>
      <c r="N44" s="1291"/>
      <c r="O44" s="1291"/>
      <c r="P44" s="290"/>
      <c r="Q44" s="288"/>
      <c r="R44" s="289"/>
      <c r="S44" s="1419" t="str">
        <f>INDEX(PT_DIFFERENTIATION_NUM_CS,MATCH(C44,PT_DIFFERENTIATION_CS_ID,0))</f>
        <v>..</v>
      </c>
      <c r="T44" s="245" t="s">
        <v>756</v>
      </c>
      <c r="U44" s="236"/>
      <c r="V44" s="24082"/>
      <c r="W44" s="24083"/>
      <c r="X44" s="24083"/>
      <c r="Y44" s="24083"/>
      <c r="Z44" s="24083"/>
      <c r="AA44" s="24083"/>
      <c r="AB44" s="24083"/>
      <c r="AC44" s="24083"/>
      <c r="AD44" s="24083"/>
      <c r="AE44" s="24083"/>
      <c r="AF44" s="24084"/>
      <c r="AG44" s="24082" t="str">
        <f>INDEX(PT_DIFFERENTIATION_CS,MATCH(C44,PT_DIFFERENTIATION_CS_ID,0))</f>
        <v/>
      </c>
      <c r="AH44" s="24083"/>
      <c r="AI44" s="24083"/>
      <c r="AJ44" s="24083"/>
      <c r="AK44" s="24083"/>
      <c r="AL44" s="24083"/>
      <c r="AM44" s="24083"/>
      <c r="AN44" s="24083"/>
      <c r="AO44" s="24083"/>
      <c r="AP44" s="24083"/>
      <c r="AQ44" s="24083"/>
      <c r="AR44" s="24084"/>
      <c r="AS44" s="1184" t="s">
        <v>757</v>
      </c>
      <c r="AU44" s="436"/>
      <c r="AV44" s="436" t="str">
        <f t="shared" si="1"/>
        <v>Наименование централизованной системы горячего водоснабжения</v>
      </c>
      <c r="AW44" s="436"/>
      <c r="AX44" s="436"/>
      <c r="AY44" s="1081">
        <v>23</v>
      </c>
    </row>
    <row r="45" spans="1:51" ht="24" customHeight="1">
      <c r="A45" s="1289" t="s">
        <v>485</v>
      </c>
      <c r="B45" s="1289" t="s">
        <v>486</v>
      </c>
      <c r="C45" s="1289" t="s">
        <v>487</v>
      </c>
      <c r="D45" s="1289" t="s">
        <v>793</v>
      </c>
      <c r="E45" s="24089"/>
      <c r="F45" s="24089"/>
      <c r="G45" s="24089"/>
      <c r="H45" s="24089"/>
      <c r="I45" s="24090" t="str">
        <f>S44&amp;".1"</f>
        <v>...1</v>
      </c>
      <c r="J45" s="1289"/>
      <c r="K45" s="1289"/>
      <c r="L45" s="1290"/>
      <c r="P45" s="24092">
        <v>1</v>
      </c>
      <c r="Q45" s="1407"/>
      <c r="R45" s="292"/>
      <c r="S45" s="1419" t="str">
        <f>$I45</f>
        <v>...1</v>
      </c>
      <c r="T45" s="221" t="s">
        <v>709</v>
      </c>
      <c r="U45" s="236"/>
      <c r="V45" s="24156"/>
      <c r="W45" s="24157"/>
      <c r="X45" s="24157"/>
      <c r="Y45" s="24157"/>
      <c r="Z45" s="24157"/>
      <c r="AA45" s="24157"/>
      <c r="AB45" s="24157"/>
      <c r="AC45" s="24157"/>
      <c r="AD45" s="24157"/>
      <c r="AE45" s="24157"/>
      <c r="AF45" s="24158"/>
      <c r="AG45" s="24159"/>
      <c r="AH45" s="24160"/>
      <c r="AI45" s="24160"/>
      <c r="AJ45" s="24160"/>
      <c r="AK45" s="24160"/>
      <c r="AL45" s="24160"/>
      <c r="AM45" s="24160"/>
      <c r="AN45" s="24160"/>
      <c r="AO45" s="24160"/>
      <c r="AP45" s="24160"/>
      <c r="AQ45" s="24160"/>
      <c r="AR45" s="24161"/>
      <c r="AS45" s="1184" t="s">
        <v>710</v>
      </c>
      <c r="AU45" s="436"/>
      <c r="AV45" s="436" t="str">
        <f t="shared" si="1"/>
        <v>Наименование признака дифференциации</v>
      </c>
      <c r="AW45" s="436"/>
      <c r="AX45" s="436"/>
      <c r="AY45" s="1081">
        <v>23</v>
      </c>
    </row>
    <row r="46" spans="1:51" ht="24" customHeight="1">
      <c r="A46" s="1289" t="s">
        <v>485</v>
      </c>
      <c r="B46" s="1289" t="s">
        <v>486</v>
      </c>
      <c r="C46" s="1289" t="s">
        <v>487</v>
      </c>
      <c r="D46" s="1289" t="s">
        <v>793</v>
      </c>
      <c r="E46" s="24089"/>
      <c r="F46" s="24089"/>
      <c r="G46" s="24089"/>
      <c r="H46" s="24089"/>
      <c r="I46" s="24091"/>
      <c r="J46" s="24090" t="str">
        <f>I45&amp;".1"</f>
        <v>...1.1</v>
      </c>
      <c r="K46" s="1289"/>
      <c r="L46" s="1290" t="s">
        <v>635</v>
      </c>
      <c r="P46" s="24092"/>
      <c r="Q46" s="24092">
        <v>1</v>
      </c>
      <c r="R46" s="293"/>
      <c r="S46" s="1419" t="str">
        <f>$J46</f>
        <v>...1.1</v>
      </c>
      <c r="T46" s="222" t="s">
        <v>636</v>
      </c>
      <c r="U46" s="236"/>
      <c r="V46" s="24076"/>
      <c r="W46" s="24077"/>
      <c r="X46" s="24077"/>
      <c r="Y46" s="24077"/>
      <c r="Z46" s="24077"/>
      <c r="AA46" s="24077"/>
      <c r="AB46" s="24077"/>
      <c r="AC46" s="24077"/>
      <c r="AD46" s="24077"/>
      <c r="AE46" s="24077"/>
      <c r="AF46" s="24078"/>
      <c r="AG46" s="24076"/>
      <c r="AH46" s="24077"/>
      <c r="AI46" s="24077"/>
      <c r="AJ46" s="24077"/>
      <c r="AK46" s="24077"/>
      <c r="AL46" s="24077"/>
      <c r="AM46" s="24077"/>
      <c r="AN46" s="24077"/>
      <c r="AO46" s="24077"/>
      <c r="AP46" s="24077"/>
      <c r="AQ46" s="24077"/>
      <c r="AR46" s="24078"/>
      <c r="AS46" s="1233" t="s">
        <v>711</v>
      </c>
      <c r="AU46" s="436"/>
      <c r="AV46" s="436" t="str">
        <f t="shared" si="1"/>
        <v>Группа потребителей</v>
      </c>
      <c r="AW46" s="436"/>
      <c r="AX46" s="436"/>
      <c r="AY46" s="1081">
        <v>23</v>
      </c>
    </row>
    <row r="47" spans="1:51" ht="24" customHeight="1">
      <c r="A47" s="1289" t="s">
        <v>485</v>
      </c>
      <c r="B47" s="1289" t="s">
        <v>486</v>
      </c>
      <c r="C47" s="1289" t="s">
        <v>487</v>
      </c>
      <c r="D47" s="1289" t="s">
        <v>793</v>
      </c>
      <c r="E47" s="24089"/>
      <c r="F47" s="24089"/>
      <c r="G47" s="24089"/>
      <c r="H47" s="24089"/>
      <c r="I47" s="24091"/>
      <c r="J47" s="24091"/>
      <c r="K47" s="24090" t="str">
        <f>J46&amp;".1"</f>
        <v>...1.1.1</v>
      </c>
      <c r="L47" s="1290"/>
      <c r="P47" s="24092"/>
      <c r="Q47" s="24092"/>
      <c r="R47" s="293">
        <v>1</v>
      </c>
      <c r="S47" s="1419" t="str">
        <f>$K47</f>
        <v>...1.1.1</v>
      </c>
      <c r="T47" s="1363"/>
      <c r="U47" s="236"/>
      <c r="V47" s="1286"/>
      <c r="W47" s="1286"/>
      <c r="X47" s="1286"/>
      <c r="Y47" s="1286"/>
      <c r="Z47" s="1286"/>
      <c r="AA47" s="1286"/>
      <c r="AB47" s="1287"/>
      <c r="AC47" s="24086"/>
      <c r="AD47" s="24085" t="s">
        <v>59</v>
      </c>
      <c r="AE47" s="24086"/>
      <c r="AF47" s="24085" t="s">
        <v>59</v>
      </c>
      <c r="AG47" s="687"/>
      <c r="AH47" s="687"/>
      <c r="AI47" s="687"/>
      <c r="AJ47" s="687"/>
      <c r="AK47" s="687"/>
      <c r="AL47" s="687"/>
      <c r="AM47" s="1183"/>
      <c r="AN47" s="24093"/>
      <c r="AO47" s="23957" t="s">
        <v>59</v>
      </c>
      <c r="AP47" s="24095"/>
      <c r="AQ47" s="23957" t="s">
        <v>6</v>
      </c>
      <c r="AR47" s="1364"/>
      <c r="AS47" s="2416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485</v>
      </c>
      <c r="B48" s="1289" t="s">
        <v>486</v>
      </c>
      <c r="C48" s="1289" t="s">
        <v>487</v>
      </c>
      <c r="D48" s="1289" t="s">
        <v>793</v>
      </c>
      <c r="E48" s="24089"/>
      <c r="F48" s="24089"/>
      <c r="G48" s="24089"/>
      <c r="H48" s="24089"/>
      <c r="I48" s="24091"/>
      <c r="J48" s="24091"/>
      <c r="K48" s="24090"/>
      <c r="L48" s="1290"/>
      <c r="P48" s="24092"/>
      <c r="Q48" s="24092"/>
      <c r="R48" s="293"/>
      <c r="S48" s="1416"/>
      <c r="T48" s="236"/>
      <c r="U48" s="236"/>
      <c r="V48" s="1286"/>
      <c r="W48" s="1286"/>
      <c r="X48" s="1286"/>
      <c r="Y48" s="1286"/>
      <c r="Z48" s="1286"/>
      <c r="AA48" s="1286"/>
      <c r="AB48" s="264" t="str">
        <f>AC47&amp;"-"&amp;AE47</f>
        <v>-</v>
      </c>
      <c r="AC48" s="24085"/>
      <c r="AD48" s="24085"/>
      <c r="AE48" s="24085"/>
      <c r="AF48" s="24085"/>
      <c r="AG48" s="261"/>
      <c r="AH48" s="261"/>
      <c r="AI48" s="261"/>
      <c r="AJ48" s="261"/>
      <c r="AK48" s="261"/>
      <c r="AL48" s="261"/>
      <c r="AM48" s="264" t="str">
        <f>AN47&amp;"-"&amp;AP47</f>
        <v>-</v>
      </c>
      <c r="AN48" s="24094"/>
      <c r="AO48" s="23957"/>
      <c r="AP48" s="24096"/>
      <c r="AQ48" s="23957"/>
      <c r="AR48" s="1365"/>
      <c r="AS48" s="24162"/>
      <c r="AU48" s="436"/>
      <c r="AV48" s="436" t="str">
        <f t="shared" si="1"/>
        <v/>
      </c>
      <c r="AW48" s="436"/>
      <c r="AX48" s="436"/>
      <c r="AY48" s="1081">
        <v>0</v>
      </c>
    </row>
    <row r="49" spans="1:51" ht="21" customHeight="1">
      <c r="A49" s="1289" t="s">
        <v>485</v>
      </c>
      <c r="B49" s="1289" t="s">
        <v>486</v>
      </c>
      <c r="C49" s="1289" t="s">
        <v>487</v>
      </c>
      <c r="D49" s="1289" t="s">
        <v>793</v>
      </c>
      <c r="E49" s="24089"/>
      <c r="F49" s="24089"/>
      <c r="G49" s="24089"/>
      <c r="H49" s="24089"/>
      <c r="I49" s="24091"/>
      <c r="J49" s="24090"/>
      <c r="K49" s="1289"/>
      <c r="L49" s="1290"/>
      <c r="P49" s="24092"/>
      <c r="Q49" s="24092"/>
      <c r="R49" s="292"/>
      <c r="S49" s="1204"/>
      <c r="T49" s="223" t="s">
        <v>712</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713</v>
      </c>
      <c r="AU49" s="436"/>
      <c r="AV49" s="436" t="str">
        <f t="shared" si="1"/>
        <v>Добавить значение признака дифференциации</v>
      </c>
      <c r="AW49" s="436"/>
      <c r="AX49" s="436"/>
      <c r="AY49" s="1081">
        <v>20</v>
      </c>
    </row>
    <row r="50" spans="1:51" ht="21.95" customHeight="1">
      <c r="A50" s="1289" t="s">
        <v>485</v>
      </c>
      <c r="B50" s="1289" t="s">
        <v>486</v>
      </c>
      <c r="C50" s="1289" t="s">
        <v>487</v>
      </c>
      <c r="D50" s="1289" t="s">
        <v>793</v>
      </c>
      <c r="E50" s="24089"/>
      <c r="F50" s="24089"/>
      <c r="G50" s="24089"/>
      <c r="H50" s="24089"/>
      <c r="I50" s="24090"/>
      <c r="J50" s="1289"/>
      <c r="K50" s="1289"/>
      <c r="L50" s="1290"/>
      <c r="P50" s="24092"/>
      <c r="Q50" s="1407"/>
      <c r="R50" s="292"/>
      <c r="S50" s="1204"/>
      <c r="T50" s="301" t="s">
        <v>641</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485</v>
      </c>
      <c r="B51" s="1289" t="s">
        <v>486</v>
      </c>
      <c r="C51" s="1289" t="s">
        <v>487</v>
      </c>
      <c r="D51" s="1289" t="s">
        <v>793</v>
      </c>
      <c r="E51" s="24089"/>
      <c r="F51" s="24089"/>
      <c r="G51" s="24089"/>
      <c r="H51" s="24088"/>
      <c r="I51" s="1289"/>
      <c r="J51" s="1289"/>
      <c r="K51" s="1289"/>
      <c r="L51" s="1290"/>
      <c r="M51" s="1291"/>
      <c r="N51" s="1291"/>
      <c r="O51" s="473"/>
      <c r="P51" s="296"/>
      <c r="Q51" s="311"/>
      <c r="R51" s="291"/>
      <c r="S51" s="1204"/>
      <c r="T51" s="308" t="s">
        <v>714</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39"/>
      <c r="AU51" s="436"/>
      <c r="AV51" s="436" t="str">
        <f t="shared" si="1"/>
        <v>Добавить наименование признака дифференциации</v>
      </c>
      <c r="AW51" s="436"/>
      <c r="AX51" s="436"/>
      <c r="AY51" s="1081">
        <v>21</v>
      </c>
    </row>
    <row r="52" spans="1:51" s="1568" customFormat="1" ht="0" hidden="1" customHeight="1">
      <c r="A52" s="1269" t="s">
        <v>485</v>
      </c>
      <c r="B52" s="1269" t="s">
        <v>486</v>
      </c>
      <c r="C52" s="1240"/>
      <c r="D52" s="1240"/>
      <c r="E52" s="24089"/>
      <c r="F52" s="24088"/>
      <c r="G52" s="1240"/>
      <c r="H52" s="1240"/>
      <c r="I52" s="1240"/>
      <c r="J52" s="1240"/>
      <c r="K52" s="1240"/>
      <c r="L52" s="1420"/>
      <c r="M52" s="1247"/>
      <c r="N52" s="1247"/>
      <c r="P52" s="1242"/>
      <c r="Q52" s="1243"/>
      <c r="R52" s="1242"/>
      <c r="S52" s="1248"/>
      <c r="T52" s="1251" t="s">
        <v>370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485</v>
      </c>
      <c r="B53" s="1269"/>
      <c r="C53" s="1269"/>
      <c r="D53" s="1269"/>
      <c r="E53" s="24088"/>
      <c r="F53" s="1269"/>
      <c r="G53" s="1269"/>
      <c r="H53" s="1269"/>
      <c r="I53" s="1269"/>
      <c r="J53" s="1269"/>
      <c r="K53" s="1269"/>
      <c r="L53" s="1272"/>
      <c r="M53" s="1247"/>
      <c r="N53" s="1247"/>
      <c r="O53" s="454"/>
      <c r="P53" s="316"/>
      <c r="Q53" s="1270"/>
      <c r="R53" s="316"/>
      <c r="S53" s="1248"/>
      <c r="T53" s="1251" t="s">
        <v>481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482</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4087"/>
      <c r="U56" s="24087"/>
      <c r="V56" s="24087"/>
      <c r="W56" s="24087"/>
      <c r="X56" s="24087"/>
      <c r="Y56" s="24087"/>
      <c r="Z56" s="24087"/>
      <c r="AA56" s="24087"/>
      <c r="AB56" s="24087"/>
      <c r="AC56" s="24087"/>
      <c r="AD56" s="24087"/>
      <c r="AE56" s="24087"/>
      <c r="AF56" s="24087"/>
      <c r="AG56" s="24087"/>
      <c r="AH56" s="24087"/>
      <c r="AI56" s="24087"/>
      <c r="AJ56" s="24087"/>
      <c r="AK56" s="24087"/>
      <c r="AL56" s="24087"/>
      <c r="AM56" s="24087"/>
      <c r="AN56" s="24087"/>
      <c r="AO56" s="24087"/>
      <c r="AP56" s="24087"/>
      <c r="AQ56" s="24087"/>
      <c r="AR56" s="24087"/>
      <c r="AS56" s="24087"/>
      <c r="AY56" s="1081">
        <v>14</v>
      </c>
    </row>
    <row r="57" spans="1:51" ht="14.65" customHeight="1">
      <c r="O57" s="473"/>
      <c r="AY57" s="1081">
        <v>14</v>
      </c>
    </row>
    <row r="58" spans="1:51" ht="14.65" customHeight="1">
      <c r="O58" s="473"/>
      <c r="S58" s="1179"/>
      <c r="T58" s="24087"/>
      <c r="U58" s="24087"/>
      <c r="V58" s="24087"/>
      <c r="W58" s="24087"/>
      <c r="X58" s="24087"/>
      <c r="Y58" s="24087"/>
      <c r="Z58" s="24087"/>
      <c r="AA58" s="24087"/>
      <c r="AB58" s="24087"/>
      <c r="AC58" s="24087"/>
      <c r="AD58" s="24087"/>
      <c r="AE58" s="24087"/>
      <c r="AF58" s="24087"/>
      <c r="AG58" s="24087"/>
      <c r="AH58" s="24087"/>
      <c r="AI58" s="24087"/>
      <c r="AJ58" s="24087"/>
      <c r="AK58" s="24087"/>
      <c r="AL58" s="24087"/>
      <c r="AM58" s="24087"/>
      <c r="AN58" s="24087"/>
      <c r="AO58" s="24087"/>
      <c r="AP58" s="24087"/>
      <c r="AQ58" s="24087"/>
      <c r="AR58" s="24087"/>
      <c r="AS58" s="24087"/>
      <c r="AY58" s="1081">
        <v>14</v>
      </c>
    </row>
    <row r="59" spans="1:51" ht="22.5" hidden="1" customHeight="1">
      <c r="A59" s="1086" t="s">
        <v>73</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0">
        <v>3</v>
      </c>
      <c r="R59" s="280">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1986" hidden="1" customWidth="1"/>
    <col min="13" max="14" width="12.28515625" style="1674" hidden="1" customWidth="1"/>
    <col min="15" max="15" width="23.42578125" style="1674" hidden="1" customWidth="1"/>
    <col min="16" max="16" width="3.7109375" style="1674" hidden="1" customWidth="1"/>
    <col min="17" max="17" width="3.7109375" style="1297" hidden="1" customWidth="1"/>
    <col min="18" max="18" width="3" style="280" customWidth="1"/>
    <col min="19" max="19" width="12" style="1981"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3"/>
      <c r="Y1" s="263"/>
      <c r="Z1" s="263"/>
      <c r="AW1" s="263"/>
      <c r="AX1" s="263"/>
      <c r="BI1" s="1081" t="s">
        <v>1</v>
      </c>
    </row>
    <row r="2" spans="1:61" ht="21" hidden="1" customHeight="1">
      <c r="A2" s="1289"/>
      <c r="B2" s="1289"/>
      <c r="C2" s="1289"/>
      <c r="D2" s="1289"/>
      <c r="E2" s="24088">
        <v>1</v>
      </c>
      <c r="F2" s="1289"/>
      <c r="G2" s="1289"/>
      <c r="H2" s="1289"/>
      <c r="I2" s="1289"/>
      <c r="J2" s="1289"/>
      <c r="K2" s="1289"/>
      <c r="L2" s="1290"/>
      <c r="M2" s="1291"/>
      <c r="N2" s="1291"/>
      <c r="O2" s="1291"/>
      <c r="P2" s="1335"/>
      <c r="Q2" s="803"/>
      <c r="R2" s="291"/>
      <c r="S2" s="1419" t="e">
        <f>INDEX(PT_DIFFERENTIATION_NUM_NTAR,MATCH(A2,PT_DIFFERENTIATION_NTAR_ID,0))</f>
        <v>#N/A</v>
      </c>
      <c r="T2" s="234" t="s">
        <v>229</v>
      </c>
      <c r="U2" s="236"/>
      <c r="V2" s="24083"/>
      <c r="W2" s="24083"/>
      <c r="X2" s="24083"/>
      <c r="Y2" s="24083"/>
      <c r="Z2" s="24083"/>
      <c r="AA2" s="24083"/>
      <c r="AB2" s="24083"/>
      <c r="AC2" s="24084"/>
      <c r="AD2" s="24082" t="e">
        <f>INDEX(PT_DIFFERENTIATION_NTAR,MATCH(A2,PT_DIFFERENTIATION_NTAR_ID,0))</f>
        <v>#N/A</v>
      </c>
      <c r="AE2" s="24083"/>
      <c r="AF2" s="24083"/>
      <c r="AG2" s="24083"/>
      <c r="AH2" s="24083"/>
      <c r="AI2" s="24083"/>
      <c r="AJ2" s="24083"/>
      <c r="AK2" s="24083"/>
      <c r="AL2" s="24083"/>
      <c r="AM2" s="24083"/>
      <c r="AN2" s="24083"/>
      <c r="AO2" s="24083"/>
      <c r="AP2" s="24083"/>
      <c r="AQ2" s="24083"/>
      <c r="AR2" s="24083"/>
      <c r="AS2" s="24083"/>
      <c r="AT2" s="24083"/>
      <c r="AU2" s="24083"/>
      <c r="AV2" s="24083"/>
      <c r="AW2" s="24083"/>
      <c r="AX2" s="24083"/>
      <c r="AY2" s="24083"/>
      <c r="AZ2" s="24083"/>
      <c r="BA2" s="24083"/>
      <c r="BB2" s="2408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4089"/>
      <c r="F3" s="24088">
        <v>1</v>
      </c>
      <c r="G3" s="1289"/>
      <c r="H3" s="1289"/>
      <c r="I3" s="1289"/>
      <c r="J3" s="1289"/>
      <c r="K3" s="1289"/>
      <c r="L3" s="1290"/>
      <c r="M3" s="1291"/>
      <c r="N3" s="1291"/>
      <c r="O3" s="1291"/>
      <c r="P3" s="1336"/>
      <c r="Q3" s="1337"/>
      <c r="R3" s="289"/>
      <c r="S3" s="1419" t="e">
        <f>INDEX(PT_DIFFERENTIATION_NUM_TER,MATCH(B3,PT_DIFFERENTIATION_TER_ID,0))</f>
        <v>#N/A</v>
      </c>
      <c r="T3" s="244" t="s">
        <v>626</v>
      </c>
      <c r="U3" s="236"/>
      <c r="V3" s="24083"/>
      <c r="W3" s="24083"/>
      <c r="X3" s="24083"/>
      <c r="Y3" s="24083"/>
      <c r="Z3" s="24083"/>
      <c r="AA3" s="24083"/>
      <c r="AB3" s="24083"/>
      <c r="AC3" s="24084"/>
      <c r="AD3" s="24082" t="e">
        <f>INDEX(PT_DIFFERENTIATION_TER,MATCH(B3,PT_DIFFERENTIATION_TER_ID,0))</f>
        <v>#N/A</v>
      </c>
      <c r="AE3" s="24083"/>
      <c r="AF3" s="24083"/>
      <c r="AG3" s="24083"/>
      <c r="AH3" s="24083"/>
      <c r="AI3" s="24083"/>
      <c r="AJ3" s="24083"/>
      <c r="AK3" s="24083"/>
      <c r="AL3" s="24083"/>
      <c r="AM3" s="24083"/>
      <c r="AN3" s="24083"/>
      <c r="AO3" s="24083"/>
      <c r="AP3" s="24083"/>
      <c r="AQ3" s="24083"/>
      <c r="AR3" s="24083"/>
      <c r="AS3" s="24083"/>
      <c r="AT3" s="24083"/>
      <c r="AU3" s="24083"/>
      <c r="AV3" s="24083"/>
      <c r="AW3" s="24083"/>
      <c r="AX3" s="24083"/>
      <c r="AY3" s="24083"/>
      <c r="AZ3" s="24083"/>
      <c r="BA3" s="24083"/>
      <c r="BB3" s="24084"/>
      <c r="BC3" s="1184" t="s">
        <v>627</v>
      </c>
      <c r="BE3" s="436"/>
      <c r="BF3" s="436" t="str">
        <f t="shared" si="0"/>
        <v>Территория действия тарифа</v>
      </c>
      <c r="BG3" s="436"/>
      <c r="BH3" s="436"/>
      <c r="BI3" s="1081">
        <v>0</v>
      </c>
    </row>
    <row r="4" spans="1:61" ht="33.75" hidden="1" customHeight="1">
      <c r="A4" s="1289"/>
      <c r="B4" s="1289"/>
      <c r="C4" s="1289"/>
      <c r="D4" s="1289"/>
      <c r="E4" s="24089"/>
      <c r="F4" s="24089"/>
      <c r="G4" s="24088">
        <v>1</v>
      </c>
      <c r="H4" s="1289"/>
      <c r="I4" s="1289"/>
      <c r="J4" s="1289"/>
      <c r="K4" s="1289"/>
      <c r="L4" s="1290"/>
      <c r="M4" s="1291"/>
      <c r="N4" s="1291"/>
      <c r="O4" s="1291"/>
      <c r="P4" s="1338"/>
      <c r="Q4" s="1337"/>
      <c r="R4" s="289"/>
      <c r="S4" s="1419" t="e">
        <f>INDEX(PT_DIFFERENTIATION_NUM_CS,MATCH(C4,PT_DIFFERENTIATION_CS_ID,0))</f>
        <v>#N/A</v>
      </c>
      <c r="T4" s="245" t="s">
        <v>756</v>
      </c>
      <c r="U4" s="236"/>
      <c r="V4" s="24083"/>
      <c r="W4" s="24083"/>
      <c r="X4" s="24083"/>
      <c r="Y4" s="24083"/>
      <c r="Z4" s="24083"/>
      <c r="AA4" s="24083"/>
      <c r="AB4" s="24083"/>
      <c r="AC4" s="24084"/>
      <c r="AD4" s="24082" t="e">
        <f>INDEX(PT_DIFFERENTIATION_CS,MATCH(C4,PT_DIFFERENTIATION_CS_ID,0))</f>
        <v>#N/A</v>
      </c>
      <c r="AE4" s="24083"/>
      <c r="AF4" s="24083"/>
      <c r="AG4" s="24083"/>
      <c r="AH4" s="24083"/>
      <c r="AI4" s="24083"/>
      <c r="AJ4" s="24083"/>
      <c r="AK4" s="24083"/>
      <c r="AL4" s="24083"/>
      <c r="AM4" s="24083"/>
      <c r="AN4" s="24083"/>
      <c r="AO4" s="24083"/>
      <c r="AP4" s="24083"/>
      <c r="AQ4" s="24083"/>
      <c r="AR4" s="24083"/>
      <c r="AS4" s="24083"/>
      <c r="AT4" s="24083"/>
      <c r="AU4" s="24083"/>
      <c r="AV4" s="24083"/>
      <c r="AW4" s="24083"/>
      <c r="AX4" s="24083"/>
      <c r="AY4" s="24083"/>
      <c r="AZ4" s="24083"/>
      <c r="BA4" s="24083"/>
      <c r="BB4" s="24084"/>
      <c r="BC4" s="1184" t="s">
        <v>757</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4089"/>
      <c r="F5" s="24089"/>
      <c r="G5" s="24089"/>
      <c r="H5" s="24088">
        <v>1</v>
      </c>
      <c r="I5" s="1269"/>
      <c r="J5" s="1269"/>
      <c r="K5" s="1269"/>
      <c r="L5" s="1272"/>
      <c r="M5" s="1241"/>
      <c r="N5" s="1241"/>
      <c r="O5" s="1241"/>
      <c r="P5" s="1423"/>
      <c r="Q5" s="1424"/>
      <c r="R5" s="293"/>
      <c r="S5" s="971"/>
      <c r="T5" s="1425"/>
      <c r="U5" s="1310"/>
      <c r="V5" s="24120"/>
      <c r="W5" s="24120"/>
      <c r="X5" s="24120"/>
      <c r="Y5" s="24120"/>
      <c r="Z5" s="24120"/>
      <c r="AA5" s="24120"/>
      <c r="AB5" s="24120"/>
      <c r="AC5" s="24121"/>
      <c r="AD5" s="24119"/>
      <c r="AE5" s="24120"/>
      <c r="AF5" s="24120"/>
      <c r="AG5" s="24120"/>
      <c r="AH5" s="24120"/>
      <c r="AI5" s="24120"/>
      <c r="AJ5" s="24120"/>
      <c r="AK5" s="24120"/>
      <c r="AL5" s="24120"/>
      <c r="AM5" s="24120"/>
      <c r="AN5" s="24120"/>
      <c r="AO5" s="24120"/>
      <c r="AP5" s="24120"/>
      <c r="AQ5" s="24120"/>
      <c r="AR5" s="24120"/>
      <c r="AS5" s="24120"/>
      <c r="AT5" s="24120"/>
      <c r="AU5" s="24120"/>
      <c r="AV5" s="24120"/>
      <c r="AW5" s="24120"/>
      <c r="AX5" s="24120"/>
      <c r="AY5" s="24120"/>
      <c r="AZ5" s="24120"/>
      <c r="BA5" s="24120"/>
      <c r="BB5" s="24121"/>
      <c r="BC5" s="1311" t="s">
        <v>631</v>
      </c>
      <c r="BE5" s="436"/>
      <c r="BF5" s="436" t="str">
        <f t="shared" si="0"/>
        <v/>
      </c>
      <c r="BG5" s="436"/>
      <c r="BH5" s="436"/>
      <c r="BI5" s="447">
        <v>0</v>
      </c>
    </row>
    <row r="6" spans="1:61" s="1568" customFormat="1" ht="14.25" hidden="1" customHeight="1">
      <c r="A6" s="1269"/>
      <c r="B6" s="1269"/>
      <c r="C6" s="1269"/>
      <c r="D6" s="1269"/>
      <c r="E6" s="24089"/>
      <c r="F6" s="24089"/>
      <c r="G6" s="24089"/>
      <c r="H6" s="24089"/>
      <c r="I6" s="24090" t="str">
        <f>S5&amp;".1"</f>
        <v>.1</v>
      </c>
      <c r="J6" s="1269"/>
      <c r="K6" s="1269"/>
      <c r="L6" s="1272" t="s">
        <v>632</v>
      </c>
      <c r="M6" s="446"/>
      <c r="N6" s="446"/>
      <c r="O6" s="446"/>
      <c r="P6" s="24092">
        <v>1</v>
      </c>
      <c r="Q6" s="1407"/>
      <c r="R6" s="292"/>
      <c r="S6" s="971"/>
      <c r="T6" s="1309"/>
      <c r="U6" s="1310"/>
      <c r="V6" s="24120"/>
      <c r="W6" s="24120"/>
      <c r="X6" s="24120"/>
      <c r="Y6" s="24120"/>
      <c r="Z6" s="24120"/>
      <c r="AA6" s="24120"/>
      <c r="AB6" s="24120"/>
      <c r="AC6" s="24121"/>
      <c r="AD6" s="24119"/>
      <c r="AE6" s="24120"/>
      <c r="AF6" s="24120"/>
      <c r="AG6" s="24120"/>
      <c r="AH6" s="24120"/>
      <c r="AI6" s="24120"/>
      <c r="AJ6" s="24120"/>
      <c r="AK6" s="24120"/>
      <c r="AL6" s="24120"/>
      <c r="AM6" s="24120"/>
      <c r="AN6" s="24120"/>
      <c r="AO6" s="24120"/>
      <c r="AP6" s="24120"/>
      <c r="AQ6" s="24120"/>
      <c r="AR6" s="24120"/>
      <c r="AS6" s="24120"/>
      <c r="AT6" s="24120"/>
      <c r="AU6" s="24120"/>
      <c r="AV6" s="24120"/>
      <c r="AW6" s="24120"/>
      <c r="AX6" s="24120"/>
      <c r="AY6" s="24120"/>
      <c r="AZ6" s="24120"/>
      <c r="BA6" s="24120"/>
      <c r="BB6" s="24121"/>
      <c r="BC6" s="1311"/>
      <c r="BE6" s="436"/>
      <c r="BF6" s="436" t="str">
        <f t="shared" si="0"/>
        <v/>
      </c>
      <c r="BG6" s="436"/>
      <c r="BH6" s="436"/>
      <c r="BI6" s="447">
        <v>0</v>
      </c>
    </row>
    <row r="7" spans="1:61" s="1568" customFormat="1" ht="14.25" hidden="1" customHeight="1">
      <c r="A7" s="1269"/>
      <c r="B7" s="1269"/>
      <c r="C7" s="1269"/>
      <c r="D7" s="1269"/>
      <c r="E7" s="24089"/>
      <c r="F7" s="24089"/>
      <c r="G7" s="24089"/>
      <c r="H7" s="24089"/>
      <c r="I7" s="24091"/>
      <c r="J7" s="24090" t="str">
        <f>S5&amp;".1"</f>
        <v>.1</v>
      </c>
      <c r="K7" s="1269"/>
      <c r="L7" s="1272"/>
      <c r="M7" s="446"/>
      <c r="N7" s="446"/>
      <c r="O7" s="446"/>
      <c r="P7" s="24092"/>
      <c r="Q7" s="24092">
        <v>1</v>
      </c>
      <c r="R7" s="293"/>
      <c r="S7" s="971"/>
      <c r="T7" s="1325"/>
      <c r="U7" s="1310"/>
      <c r="V7" s="24120"/>
      <c r="W7" s="24120"/>
      <c r="X7" s="24120"/>
      <c r="Y7" s="24120"/>
      <c r="Z7" s="24120"/>
      <c r="AA7" s="24120"/>
      <c r="AB7" s="24120"/>
      <c r="AC7" s="24121"/>
      <c r="AD7" s="24119"/>
      <c r="AE7" s="24120"/>
      <c r="AF7" s="24120"/>
      <c r="AG7" s="24120"/>
      <c r="AH7" s="24120"/>
      <c r="AI7" s="24120"/>
      <c r="AJ7" s="24120"/>
      <c r="AK7" s="24120"/>
      <c r="AL7" s="24120"/>
      <c r="AM7" s="24120"/>
      <c r="AN7" s="24120"/>
      <c r="AO7" s="24120"/>
      <c r="AP7" s="24120"/>
      <c r="AQ7" s="24120"/>
      <c r="AR7" s="24120"/>
      <c r="AS7" s="24120"/>
      <c r="AT7" s="24120"/>
      <c r="AU7" s="24120"/>
      <c r="AV7" s="24120"/>
      <c r="AW7" s="24120"/>
      <c r="AX7" s="24120"/>
      <c r="AY7" s="24120"/>
      <c r="AZ7" s="24120"/>
      <c r="BA7" s="24120"/>
      <c r="BB7" s="24121"/>
      <c r="BC7" s="1311"/>
      <c r="BE7" s="436"/>
      <c r="BF7" s="436" t="str">
        <f t="shared" si="0"/>
        <v/>
      </c>
      <c r="BG7" s="436"/>
      <c r="BH7" s="436"/>
      <c r="BI7" s="447">
        <v>0</v>
      </c>
    </row>
    <row r="8" spans="1:61" ht="11.25" hidden="1" customHeight="1">
      <c r="A8" s="1289"/>
      <c r="B8" s="1289"/>
      <c r="C8" s="1289"/>
      <c r="D8" s="1289"/>
      <c r="E8" s="24089"/>
      <c r="F8" s="24089"/>
      <c r="G8" s="24089"/>
      <c r="H8" s="24089"/>
      <c r="I8" s="24091"/>
      <c r="J8" s="24091"/>
      <c r="K8" s="24090" t="e">
        <f>S4&amp;".1"</f>
        <v>#N/A</v>
      </c>
      <c r="L8" s="1290"/>
      <c r="P8" s="24092"/>
      <c r="Q8" s="24092"/>
      <c r="R8" s="24148">
        <v>1</v>
      </c>
      <c r="S8" s="24145" t="e">
        <f>$K8</f>
        <v>#N/A</v>
      </c>
      <c r="T8" s="24165"/>
      <c r="U8" s="236"/>
      <c r="V8" s="687"/>
      <c r="W8" s="1183"/>
      <c r="X8" s="687"/>
      <c r="Y8" s="1183"/>
      <c r="Z8" s="1632"/>
      <c r="AA8" s="1395" t="s">
        <v>59</v>
      </c>
      <c r="AB8" s="1632"/>
      <c r="AC8" s="1395" t="s">
        <v>59</v>
      </c>
      <c r="AD8" s="24018" t="s">
        <v>59</v>
      </c>
      <c r="AE8" s="24141"/>
      <c r="AF8" s="24046">
        <v>1</v>
      </c>
      <c r="AG8" s="24164"/>
      <c r="AH8" s="23957" t="s">
        <v>59</v>
      </c>
      <c r="AI8" s="24141"/>
      <c r="AJ8" s="24046">
        <v>1</v>
      </c>
      <c r="AK8" s="24155" t="s">
        <v>17</v>
      </c>
      <c r="AL8" s="23957" t="s">
        <v>59</v>
      </c>
      <c r="AM8" s="24023"/>
      <c r="AN8" s="24046">
        <v>1</v>
      </c>
      <c r="AO8" s="24168"/>
      <c r="AP8" s="24169" t="s">
        <v>59</v>
      </c>
      <c r="AQ8" s="247"/>
      <c r="AR8" s="1412">
        <v>1</v>
      </c>
      <c r="AS8" s="1418" t="s">
        <v>17</v>
      </c>
      <c r="AT8" s="687"/>
      <c r="AU8" s="1183"/>
      <c r="AV8" s="687"/>
      <c r="AW8" s="1183"/>
      <c r="AX8" s="1632"/>
      <c r="AY8" s="1395" t="s">
        <v>59</v>
      </c>
      <c r="AZ8" s="1632"/>
      <c r="BA8" s="1395" t="s">
        <v>59</v>
      </c>
      <c r="BB8" s="1274"/>
      <c r="BC8" s="24111" t="s">
        <v>727</v>
      </c>
      <c r="BE8" s="436"/>
      <c r="BF8" s="436" t="str">
        <f t="shared" si="0"/>
        <v/>
      </c>
      <c r="BG8" s="436"/>
      <c r="BH8" s="436"/>
      <c r="BI8" s="1081">
        <v>0</v>
      </c>
    </row>
    <row r="9" spans="1:61" ht="11.25" hidden="1" customHeight="1">
      <c r="A9" s="1289"/>
      <c r="B9" s="1289"/>
      <c r="C9" s="1289"/>
      <c r="D9" s="1289"/>
      <c r="E9" s="24089"/>
      <c r="F9" s="24089"/>
      <c r="G9" s="24089"/>
      <c r="H9" s="24089"/>
      <c r="I9" s="24091"/>
      <c r="J9" s="24091"/>
      <c r="K9" s="24090"/>
      <c r="L9" s="1290"/>
      <c r="P9" s="24092"/>
      <c r="Q9" s="24092"/>
      <c r="R9" s="24148"/>
      <c r="S9" s="24146"/>
      <c r="T9" s="24166"/>
      <c r="U9" s="236"/>
      <c r="V9" s="1319"/>
      <c r="W9" s="1422"/>
      <c r="X9" s="1319"/>
      <c r="Y9" s="1422"/>
      <c r="Z9" s="1319"/>
      <c r="AA9" s="1319"/>
      <c r="AB9" s="1319"/>
      <c r="AC9" s="1319"/>
      <c r="AD9" s="24019"/>
      <c r="AE9" s="24141"/>
      <c r="AF9" s="24046"/>
      <c r="AG9" s="24164"/>
      <c r="AH9" s="23957"/>
      <c r="AI9" s="24141"/>
      <c r="AJ9" s="24046"/>
      <c r="AK9" s="24155"/>
      <c r="AL9" s="23957"/>
      <c r="AM9" s="24028"/>
      <c r="AN9" s="24046"/>
      <c r="AO9" s="24168"/>
      <c r="AP9" s="24170"/>
      <c r="AQ9" s="252"/>
      <c r="AR9" s="352"/>
      <c r="AS9" s="352" t="s">
        <v>728</v>
      </c>
      <c r="AT9" s="1319"/>
      <c r="AU9" s="1422"/>
      <c r="AV9" s="1319"/>
      <c r="AW9" s="1422"/>
      <c r="AX9" s="1319"/>
      <c r="AY9" s="1319"/>
      <c r="AZ9" s="1319"/>
      <c r="BA9" s="1319"/>
      <c r="BB9" s="1323"/>
      <c r="BC9" s="24112"/>
      <c r="BE9" s="436"/>
      <c r="BF9" s="436"/>
      <c r="BG9" s="436"/>
      <c r="BH9" s="436"/>
      <c r="BI9" s="1081">
        <v>0</v>
      </c>
    </row>
    <row r="10" spans="1:61" ht="11.25" hidden="1" customHeight="1">
      <c r="A10" s="1289"/>
      <c r="B10" s="1289"/>
      <c r="C10" s="1289"/>
      <c r="D10" s="1289"/>
      <c r="E10" s="24089"/>
      <c r="F10" s="24089"/>
      <c r="G10" s="24089"/>
      <c r="H10" s="24089"/>
      <c r="I10" s="24091"/>
      <c r="J10" s="24091"/>
      <c r="K10" s="24090"/>
      <c r="L10" s="1290"/>
      <c r="P10" s="24092"/>
      <c r="Q10" s="24092"/>
      <c r="R10" s="24148"/>
      <c r="S10" s="24146"/>
      <c r="T10" s="24166"/>
      <c r="U10" s="236"/>
      <c r="V10" s="1319"/>
      <c r="W10" s="1422"/>
      <c r="X10" s="1319"/>
      <c r="Y10" s="1422"/>
      <c r="Z10" s="1319"/>
      <c r="AA10" s="1319"/>
      <c r="AB10" s="1319"/>
      <c r="AC10" s="1319"/>
      <c r="AD10" s="24019"/>
      <c r="AE10" s="24141"/>
      <c r="AF10" s="24046"/>
      <c r="AG10" s="24164"/>
      <c r="AH10" s="23957"/>
      <c r="AI10" s="24141"/>
      <c r="AJ10" s="24046"/>
      <c r="AK10" s="24155"/>
      <c r="AL10" s="23957"/>
      <c r="AM10" s="252"/>
      <c r="AN10" s="1426"/>
      <c r="AO10" s="1426" t="s">
        <v>729</v>
      </c>
      <c r="AP10" s="352"/>
      <c r="AQ10" s="352"/>
      <c r="AR10" s="352"/>
      <c r="AS10" s="1319"/>
      <c r="AT10" s="1319"/>
      <c r="AU10" s="1422"/>
      <c r="AV10" s="1319"/>
      <c r="AW10" s="1422"/>
      <c r="AX10" s="1319"/>
      <c r="AY10" s="1319"/>
      <c r="AZ10" s="1319"/>
      <c r="BA10" s="1319"/>
      <c r="BB10" s="1323"/>
      <c r="BC10" s="24112"/>
      <c r="BE10" s="436"/>
      <c r="BF10" s="436"/>
      <c r="BG10" s="436"/>
      <c r="BH10" s="436"/>
      <c r="BI10" s="1081">
        <v>0</v>
      </c>
    </row>
    <row r="11" spans="1:61" ht="11.25" hidden="1" customHeight="1">
      <c r="A11" s="1289"/>
      <c r="B11" s="1289"/>
      <c r="C11" s="1289"/>
      <c r="D11" s="1289"/>
      <c r="E11" s="24089"/>
      <c r="F11" s="24089"/>
      <c r="G11" s="24089"/>
      <c r="H11" s="24089"/>
      <c r="I11" s="24091"/>
      <c r="J11" s="24091"/>
      <c r="K11" s="24090"/>
      <c r="L11" s="1290"/>
      <c r="P11" s="24092"/>
      <c r="Q11" s="24092"/>
      <c r="R11" s="24148"/>
      <c r="S11" s="24146"/>
      <c r="T11" s="24166"/>
      <c r="U11" s="236"/>
      <c r="V11" s="1319"/>
      <c r="W11" s="1422"/>
      <c r="X11" s="1319"/>
      <c r="Y11" s="1422"/>
      <c r="Z11" s="1319"/>
      <c r="AA11" s="1319"/>
      <c r="AB11" s="1319"/>
      <c r="AC11" s="1319"/>
      <c r="AD11" s="24019"/>
      <c r="AE11" s="24141"/>
      <c r="AF11" s="24046"/>
      <c r="AG11" s="24164"/>
      <c r="AH11" s="23957"/>
      <c r="AI11" s="230"/>
      <c r="AJ11" s="351"/>
      <c r="AK11" s="249" t="s">
        <v>730</v>
      </c>
      <c r="AL11" s="1319"/>
      <c r="AM11" s="1319"/>
      <c r="AN11" s="1319"/>
      <c r="AO11" s="1319"/>
      <c r="AP11" s="1319"/>
      <c r="AQ11" s="1319"/>
      <c r="AR11" s="1319"/>
      <c r="AS11" s="1319"/>
      <c r="AT11" s="1319"/>
      <c r="AU11" s="1422"/>
      <c r="AV11" s="1319"/>
      <c r="AW11" s="1422"/>
      <c r="AX11" s="1319"/>
      <c r="AY11" s="1319"/>
      <c r="AZ11" s="1319"/>
      <c r="BA11" s="1319"/>
      <c r="BB11" s="1323"/>
      <c r="BC11" s="24112"/>
      <c r="BE11" s="436"/>
      <c r="BF11" s="436"/>
      <c r="BG11" s="436"/>
      <c r="BH11" s="436"/>
      <c r="BI11" s="1081">
        <v>0</v>
      </c>
    </row>
    <row r="12" spans="1:61" ht="11.25" hidden="1" customHeight="1">
      <c r="A12" s="1289"/>
      <c r="B12" s="1289"/>
      <c r="C12" s="1289"/>
      <c r="D12" s="1289"/>
      <c r="E12" s="24089"/>
      <c r="F12" s="24089"/>
      <c r="G12" s="24089"/>
      <c r="H12" s="24089"/>
      <c r="I12" s="24091"/>
      <c r="J12" s="24091"/>
      <c r="K12" s="24090"/>
      <c r="L12" s="1290"/>
      <c r="P12" s="24092"/>
      <c r="Q12" s="24092"/>
      <c r="R12" s="24148"/>
      <c r="S12" s="24147"/>
      <c r="T12" s="24167"/>
      <c r="U12" s="236"/>
      <c r="V12" s="1319"/>
      <c r="W12" s="1320" t="str">
        <f>Z8&amp;"-"&amp;AB8</f>
        <v>-</v>
      </c>
      <c r="X12" s="1319"/>
      <c r="Y12" s="1320" t="str">
        <f>AB8&amp;"-"&amp;AD8</f>
        <v>-да</v>
      </c>
      <c r="Z12" s="1319"/>
      <c r="AA12" s="1319"/>
      <c r="AB12" s="1319"/>
      <c r="AC12" s="1319"/>
      <c r="AD12" s="23962"/>
      <c r="AE12" s="248"/>
      <c r="AF12" s="250"/>
      <c r="AG12" s="352" t="s">
        <v>731</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4112"/>
      <c r="BE12" s="436"/>
      <c r="BF12" s="436" t="str">
        <f t="shared" ref="BF12:BF18" si="1">IF(T12="","",T12)</f>
        <v/>
      </c>
      <c r="BG12" s="436"/>
      <c r="BH12" s="436"/>
      <c r="BI12" s="1081">
        <v>0</v>
      </c>
    </row>
    <row r="13" spans="1:61" ht="11.25" hidden="1" customHeight="1">
      <c r="A13" s="1289"/>
      <c r="B13" s="1289"/>
      <c r="C13" s="1289"/>
      <c r="D13" s="1289"/>
      <c r="E13" s="24089"/>
      <c r="F13" s="24089"/>
      <c r="G13" s="24089"/>
      <c r="H13" s="24089"/>
      <c r="I13" s="24091"/>
      <c r="J13" s="24090"/>
      <c r="K13" s="1289"/>
      <c r="L13" s="1290"/>
      <c r="P13" s="24092"/>
      <c r="Q13" s="24092"/>
      <c r="R13" s="292"/>
      <c r="S13" s="1204"/>
      <c r="T13" s="223" t="s">
        <v>694</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4113"/>
      <c r="BE13" s="436"/>
      <c r="BF13" s="436" t="str">
        <f t="shared" si="1"/>
        <v>Добавить строку</v>
      </c>
      <c r="BG13" s="436"/>
      <c r="BH13" s="436"/>
      <c r="BI13" s="1081">
        <v>0</v>
      </c>
    </row>
    <row r="14" spans="1:61" s="1568" customFormat="1" ht="14.25" hidden="1" customHeight="1">
      <c r="A14" s="1269"/>
      <c r="B14" s="1269"/>
      <c r="C14" s="1269"/>
      <c r="D14" s="1269"/>
      <c r="E14" s="24089"/>
      <c r="F14" s="24089"/>
      <c r="G14" s="24089"/>
      <c r="H14" s="24089"/>
      <c r="I14" s="24090"/>
      <c r="J14" s="1269"/>
      <c r="K14" s="1269"/>
      <c r="L14" s="1272"/>
      <c r="M14" s="446"/>
      <c r="N14" s="446"/>
      <c r="O14" s="446"/>
      <c r="P14" s="2409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4089"/>
      <c r="F15" s="24089"/>
      <c r="G15" s="24089"/>
      <c r="H15" s="2408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4089"/>
      <c r="F16" s="24089"/>
      <c r="G16" s="2408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4089"/>
      <c r="F17" s="24088"/>
      <c r="G17" s="1240"/>
      <c r="H17" s="1240"/>
      <c r="I17" s="1240"/>
      <c r="J17" s="1240"/>
      <c r="K17" s="1240"/>
      <c r="L17" s="1420"/>
      <c r="M17" s="1247"/>
      <c r="N17" s="1247"/>
      <c r="P17" s="1242"/>
      <c r="Q17" s="1243"/>
      <c r="R17" s="1242"/>
      <c r="S17" s="1248"/>
      <c r="T17" s="1251" t="s">
        <v>370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4088"/>
      <c r="F18" s="1269"/>
      <c r="G18" s="1269"/>
      <c r="H18" s="1269"/>
      <c r="I18" s="1269"/>
      <c r="J18" s="1269"/>
      <c r="K18" s="1269"/>
      <c r="L18" s="1272"/>
      <c r="M18" s="1247"/>
      <c r="N18" s="1247"/>
      <c r="O18" s="454"/>
      <c r="P18" s="316"/>
      <c r="Q18" s="1270"/>
      <c r="R18" s="316"/>
      <c r="S18" s="1248"/>
      <c r="T18" s="1251" t="s">
        <v>481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3"/>
      <c r="BA19" s="263"/>
      <c r="BI19" s="1081">
        <v>0</v>
      </c>
    </row>
    <row r="20" spans="1:61" ht="14.25" hidden="1" customHeight="1">
      <c r="AD20" s="1250" t="s">
        <v>6</v>
      </c>
      <c r="AE20" s="1427"/>
      <c r="AF20" s="484">
        <v>1</v>
      </c>
      <c r="AG20" s="1428"/>
      <c r="AH20" s="1250" t="s">
        <v>6</v>
      </c>
      <c r="AI20" s="1427"/>
      <c r="AJ20" s="484">
        <v>1</v>
      </c>
      <c r="AK20" s="1428"/>
      <c r="AL20" s="1250" t="s">
        <v>6</v>
      </c>
      <c r="AM20" s="1429"/>
      <c r="AN20" s="484">
        <v>1</v>
      </c>
      <c r="AO20" s="1430"/>
      <c r="AP20" s="1250" t="s">
        <v>6</v>
      </c>
      <c r="AQ20" s="1429"/>
      <c r="AR20" s="484">
        <v>1</v>
      </c>
      <c r="AS20" s="1430"/>
      <c r="AT20" s="261"/>
      <c r="AU20" s="320"/>
      <c r="AV20" s="261"/>
      <c r="AW20" s="320"/>
      <c r="AX20" s="1634"/>
      <c r="AY20" s="1411" t="s">
        <v>59</v>
      </c>
      <c r="AZ20" s="1634"/>
      <c r="BA20" s="1411" t="s">
        <v>59</v>
      </c>
      <c r="BI20" s="1081">
        <v>0</v>
      </c>
    </row>
    <row r="21" spans="1:61" ht="14.25" hidden="1" customHeight="1">
      <c r="BD21" s="432"/>
      <c r="BE21" s="432"/>
      <c r="BF21" s="432"/>
      <c r="BG21" s="432"/>
      <c r="BH21" s="432"/>
      <c r="BI21" s="1081">
        <v>0</v>
      </c>
    </row>
    <row r="22" spans="1:61" ht="14.25" hidden="1" customHeight="1">
      <c r="O22" s="1293" t="s">
        <v>644</v>
      </c>
      <c r="Z22" s="1271"/>
      <c r="AB22" s="1271"/>
      <c r="AC22" s="263"/>
      <c r="AX22" s="1271"/>
      <c r="AZ22" s="1271"/>
      <c r="BA22" s="263"/>
      <c r="BD22" s="432"/>
      <c r="BE22" s="432"/>
      <c r="BF22" s="432"/>
      <c r="BG22" s="432"/>
      <c r="BH22" s="432"/>
      <c r="BI22" s="1081">
        <v>0</v>
      </c>
    </row>
    <row r="23" spans="1:61" ht="14.25" hidden="1" customHeight="1">
      <c r="AC23" s="263"/>
      <c r="BA23" s="263"/>
      <c r="BD23" s="432"/>
      <c r="BE23" s="432"/>
      <c r="BF23" s="432"/>
      <c r="BG23" s="432"/>
      <c r="BH23" s="432"/>
      <c r="BI23" s="1081">
        <v>0</v>
      </c>
    </row>
    <row r="24" spans="1:61" s="1435" customFormat="1" ht="14.25" hidden="1" customHeight="1">
      <c r="M24" s="1434"/>
      <c r="N24" s="1434"/>
      <c r="O24" s="1435" t="s">
        <v>645</v>
      </c>
      <c r="P24" s="1434"/>
      <c r="Q24" s="1436"/>
      <c r="R24" s="1436"/>
      <c r="AA24" s="1433" t="s">
        <v>647</v>
      </c>
      <c r="AC24" s="1433" t="s">
        <v>648</v>
      </c>
      <c r="AD24" s="1433" t="s">
        <v>695</v>
      </c>
      <c r="AH24" s="1433" t="s">
        <v>695</v>
      </c>
      <c r="AK24" s="1433" t="s">
        <v>732</v>
      </c>
      <c r="AL24" s="1433" t="s">
        <v>695</v>
      </c>
      <c r="AP24" s="1433" t="s">
        <v>695</v>
      </c>
      <c r="AY24" s="1433" t="s">
        <v>647</v>
      </c>
      <c r="BA24" s="1433" t="s">
        <v>648</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7"/>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7"/>
      <c r="R28" s="312"/>
      <c r="S28" s="24069"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4069"/>
      <c r="U28" s="24069"/>
      <c r="V28" s="24069"/>
      <c r="W28" s="24069"/>
      <c r="X28" s="24069"/>
      <c r="Y28" s="24069"/>
      <c r="Z28" s="24069"/>
      <c r="AA28" s="24069"/>
      <c r="AB28" s="24069"/>
      <c r="AC28" s="24069"/>
      <c r="AD28" s="24069"/>
      <c r="AE28" s="24069"/>
      <c r="AF28" s="24069"/>
      <c r="AG28" s="24069"/>
      <c r="AH28" s="24069"/>
      <c r="AI28" s="24069"/>
      <c r="AJ28" s="24069"/>
      <c r="AK28" s="24069"/>
      <c r="AL28" s="24069"/>
      <c r="AM28" s="24069"/>
      <c r="AN28" s="24069"/>
      <c r="AO28" s="24069"/>
      <c r="AP28" s="24069"/>
      <c r="AQ28" s="24069"/>
      <c r="AR28" s="24069"/>
      <c r="AS28" s="24069"/>
      <c r="AT28" s="24069"/>
      <c r="AU28" s="24069"/>
      <c r="AV28" s="24069"/>
      <c r="AW28" s="24069"/>
      <c r="AX28" s="24069"/>
      <c r="AY28" s="24069"/>
      <c r="AZ28" s="24069"/>
      <c r="BA28" s="1169"/>
      <c r="BI28" s="1081">
        <v>14</v>
      </c>
    </row>
    <row r="29" spans="1:61" ht="14.65" customHeight="1">
      <c r="Q29" s="227"/>
      <c r="R29" s="312"/>
      <c r="S29" s="24042" t="str">
        <f>IF(org=0,"Не определено",org)</f>
        <v>ООО "Смоленскрегионтеплоэнерго"</v>
      </c>
      <c r="T29" s="24042"/>
      <c r="U29" s="24042"/>
      <c r="V29" s="24042"/>
      <c r="W29" s="24042"/>
      <c r="X29" s="24042"/>
      <c r="Y29" s="24042"/>
      <c r="Z29" s="24042"/>
      <c r="AA29" s="24042"/>
      <c r="AB29" s="24042"/>
      <c r="AC29" s="24042"/>
      <c r="AD29" s="24042"/>
      <c r="AE29" s="24042"/>
      <c r="AF29" s="24042"/>
      <c r="AG29" s="24042"/>
      <c r="AH29" s="24042"/>
      <c r="AI29" s="24042"/>
      <c r="AJ29" s="24042"/>
      <c r="AK29" s="24042"/>
      <c r="AL29" s="24042"/>
      <c r="AM29" s="24042"/>
      <c r="AN29" s="24042"/>
      <c r="AO29" s="24042"/>
      <c r="AP29" s="24042"/>
      <c r="AQ29" s="24042"/>
      <c r="AR29" s="24042"/>
      <c r="AS29" s="24042"/>
      <c r="AT29" s="24042"/>
      <c r="AU29" s="24042"/>
      <c r="AV29" s="24042"/>
      <c r="AW29" s="24042"/>
      <c r="AX29" s="24042"/>
      <c r="AY29" s="24042"/>
      <c r="AZ29" s="24042"/>
      <c r="BA29" s="1169"/>
      <c r="BI29" s="1081">
        <v>14</v>
      </c>
    </row>
    <row r="30" spans="1:61" ht="14.25" customHeight="1">
      <c r="Q30" s="227"/>
      <c r="R30" s="312"/>
      <c r="S30" s="1201"/>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81">
        <v>0</v>
      </c>
    </row>
    <row r="31" spans="1:61" s="1750" customFormat="1" ht="25.5" customHeight="1">
      <c r="A31" s="1294"/>
      <c r="B31" s="1294"/>
      <c r="C31" s="1294"/>
      <c r="D31" s="1294"/>
      <c r="E31" s="1294"/>
      <c r="F31" s="1294"/>
      <c r="G31" s="1294"/>
      <c r="H31" s="1294"/>
      <c r="I31" s="1294"/>
      <c r="J31" s="1294"/>
      <c r="K31" s="1294"/>
      <c r="L31" s="1295"/>
      <c r="M31" s="1294"/>
      <c r="N31" s="1294"/>
      <c r="O31" s="1294"/>
      <c r="P31" s="1294"/>
      <c r="Q31" s="1294"/>
      <c r="S31" s="24079" t="s">
        <v>31</v>
      </c>
      <c r="T31" s="24079"/>
      <c r="U31" s="1298"/>
      <c r="V31"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W31" s="24081"/>
      <c r="X31" s="24081"/>
      <c r="Y31" s="24081"/>
      <c r="Z31" s="24081"/>
      <c r="AA31" s="24081"/>
      <c r="AB31" s="24081"/>
      <c r="AC31" s="262"/>
      <c r="AD31"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AE31" s="24081"/>
      <c r="AF31" s="24081"/>
      <c r="AG31" s="24081"/>
      <c r="AH31" s="24081"/>
      <c r="AI31" s="24081"/>
      <c r="AJ31" s="24081"/>
      <c r="AK31" s="24081"/>
      <c r="AL31" s="24081"/>
      <c r="AM31" s="24081"/>
      <c r="AN31" s="24081"/>
      <c r="AO31" s="24081"/>
      <c r="AP31" s="24081"/>
      <c r="AQ31" s="24081"/>
      <c r="AR31" s="24081"/>
      <c r="AS31" s="24081"/>
      <c r="AT31" s="24081"/>
      <c r="AU31" s="24081"/>
      <c r="AV31" s="24081"/>
      <c r="AW31" s="24081"/>
      <c r="AX31" s="24081"/>
      <c r="AY31" s="24081"/>
      <c r="AZ31" s="24081"/>
      <c r="BA31" s="262"/>
      <c r="BB31" s="262"/>
      <c r="BC31" s="216"/>
      <c r="BD31" s="304"/>
      <c r="BE31" s="304"/>
      <c r="BF31" s="304"/>
      <c r="BG31" s="304"/>
      <c r="BH31" s="304"/>
      <c r="BI31" s="354">
        <v>0</v>
      </c>
    </row>
    <row r="32" spans="1:61" s="1750" customFormat="1" ht="18.75" customHeight="1">
      <c r="A32" s="1294"/>
      <c r="B32" s="1294"/>
      <c r="C32" s="1294"/>
      <c r="D32" s="1294"/>
      <c r="E32" s="1294"/>
      <c r="F32" s="1294"/>
      <c r="G32" s="1294"/>
      <c r="H32" s="1294"/>
      <c r="I32" s="1294"/>
      <c r="J32" s="1294"/>
      <c r="K32" s="1294"/>
      <c r="L32" s="1295"/>
      <c r="M32" s="1294"/>
      <c r="N32" s="1294"/>
      <c r="O32" s="1294"/>
      <c r="P32" s="1294"/>
      <c r="Q32" s="1294"/>
      <c r="S32" s="24079" t="s">
        <v>650</v>
      </c>
      <c r="T32" s="24079"/>
      <c r="U32" s="1298"/>
      <c r="V32" s="24080" t="str">
        <f>IF(TITLE_DATE_PR_CHANGE="",IF(TITLE_DATE_PR="","",TITLE_DATE_PR),TITLE_DATE_PR_CHANGE)</f>
        <v>20.12.2024</v>
      </c>
      <c r="W32" s="24080"/>
      <c r="X32" s="24080"/>
      <c r="Y32" s="24080"/>
      <c r="Z32" s="24080"/>
      <c r="AA32" s="24080"/>
      <c r="AB32" s="24080"/>
      <c r="AC32" s="262"/>
      <c r="AD32" s="24080" t="str">
        <f>IF(TITLE_DATE_PR_CHANGE="",IF(TITLE_DATE_PR="","",TITLE_DATE_PR),TITLE_DATE_PR_CHANGE)</f>
        <v>20.12.2024</v>
      </c>
      <c r="AE32" s="24080"/>
      <c r="AF32" s="24080"/>
      <c r="AG32" s="24080"/>
      <c r="AH32" s="24080"/>
      <c r="AI32" s="24080"/>
      <c r="AJ32" s="24080"/>
      <c r="AK32" s="24080"/>
      <c r="AL32" s="24080"/>
      <c r="AM32" s="24080"/>
      <c r="AN32" s="24080"/>
      <c r="AO32" s="24080"/>
      <c r="AP32" s="24080"/>
      <c r="AQ32" s="24080"/>
      <c r="AR32" s="24080"/>
      <c r="AS32" s="24080"/>
      <c r="AT32" s="24080"/>
      <c r="AU32" s="24080"/>
      <c r="AV32" s="24080"/>
      <c r="AW32" s="24080"/>
      <c r="AX32" s="24080"/>
      <c r="AY32" s="24080"/>
      <c r="AZ32" s="24080"/>
      <c r="BA32" s="262"/>
      <c r="BB32" s="262"/>
      <c r="BC32" s="216"/>
      <c r="BD32" s="304"/>
      <c r="BE32" s="304"/>
      <c r="BF32" s="304"/>
      <c r="BG32" s="304"/>
      <c r="BH32" s="304"/>
      <c r="BI32" s="354">
        <v>0</v>
      </c>
    </row>
    <row r="33" spans="1:61" s="1750" customFormat="1" ht="18.75" customHeight="1">
      <c r="A33" s="1294"/>
      <c r="B33" s="1294"/>
      <c r="C33" s="1294"/>
      <c r="D33" s="1294"/>
      <c r="E33" s="1294"/>
      <c r="F33" s="1294"/>
      <c r="G33" s="1294"/>
      <c r="H33" s="1294"/>
      <c r="I33" s="1294"/>
      <c r="J33" s="1294"/>
      <c r="K33" s="1294"/>
      <c r="L33" s="1295"/>
      <c r="M33" s="1294"/>
      <c r="N33" s="1294"/>
      <c r="O33" s="1294"/>
      <c r="P33" s="1294"/>
      <c r="Q33" s="1294"/>
      <c r="S33" s="24079" t="s">
        <v>651</v>
      </c>
      <c r="T33" s="24079"/>
      <c r="U33" s="1298"/>
      <c r="V33" s="24081" t="str">
        <f>IF(TITLE_NUMBER_PR_CHANGE="",IF(TITLE_NUMBER_PR="","",TITLE_NUMBER_PR),TITLE_NUMBER_PR_CHANGE)</f>
        <v>403, 404</v>
      </c>
      <c r="W33" s="24081"/>
      <c r="X33" s="24081"/>
      <c r="Y33" s="24081"/>
      <c r="Z33" s="24081"/>
      <c r="AA33" s="24081"/>
      <c r="AB33" s="24081"/>
      <c r="AC33" s="262"/>
      <c r="AD33" s="24081" t="str">
        <f>IF(TITLE_NUMBER_PR_CHANGE="",IF(TITLE_NUMBER_PR="","",TITLE_NUMBER_PR),TITLE_NUMBER_PR_CHANGE)</f>
        <v>403, 404</v>
      </c>
      <c r="AE33" s="24081"/>
      <c r="AF33" s="24081"/>
      <c r="AG33" s="24081"/>
      <c r="AH33" s="24081"/>
      <c r="AI33" s="24081"/>
      <c r="AJ33" s="24081"/>
      <c r="AK33" s="24081"/>
      <c r="AL33" s="24081"/>
      <c r="AM33" s="24081"/>
      <c r="AN33" s="24081"/>
      <c r="AO33" s="24081"/>
      <c r="AP33" s="24081"/>
      <c r="AQ33" s="24081"/>
      <c r="AR33" s="24081"/>
      <c r="AS33" s="24081"/>
      <c r="AT33" s="24081"/>
      <c r="AU33" s="24081"/>
      <c r="AV33" s="24081"/>
      <c r="AW33" s="24081"/>
      <c r="AX33" s="24081"/>
      <c r="AY33" s="24081"/>
      <c r="AZ33" s="24081"/>
      <c r="BA33" s="262"/>
      <c r="BB33" s="262"/>
      <c r="BC33" s="216"/>
      <c r="BD33" s="304"/>
      <c r="BE33" s="304"/>
      <c r="BF33" s="304"/>
      <c r="BG33" s="304"/>
      <c r="BH33" s="304"/>
      <c r="BI33" s="354">
        <v>0</v>
      </c>
    </row>
    <row r="34" spans="1:61" s="1750" customFormat="1" ht="18.75" customHeight="1">
      <c r="A34" s="1294"/>
      <c r="B34" s="1294"/>
      <c r="C34" s="1294"/>
      <c r="D34" s="1294"/>
      <c r="E34" s="1294"/>
      <c r="F34" s="1294"/>
      <c r="G34" s="1294"/>
      <c r="H34" s="1294"/>
      <c r="I34" s="1294"/>
      <c r="J34" s="1294"/>
      <c r="K34" s="1294"/>
      <c r="L34" s="1295"/>
      <c r="M34" s="1294"/>
      <c r="N34" s="1294"/>
      <c r="O34" s="1294"/>
      <c r="P34" s="1294"/>
      <c r="Q34" s="1294"/>
      <c r="S34" s="24079" t="s">
        <v>33</v>
      </c>
      <c r="T34" s="24079"/>
      <c r="U34" s="1298"/>
      <c r="V34" s="24081" t="str">
        <f>IF(TITLE_IST_PUB_CHANGE="",IF(TITLE_IST_PUB="","",TITLE_IST_PUB),TITLE_IST_PUB_CHANGE)</f>
        <v>Смоленская газета</v>
      </c>
      <c r="W34" s="24081"/>
      <c r="X34" s="24081"/>
      <c r="Y34" s="24081"/>
      <c r="Z34" s="24081"/>
      <c r="AA34" s="24081"/>
      <c r="AB34" s="24081"/>
      <c r="AC34" s="262"/>
      <c r="AD34" s="24081" t="str">
        <f>IF(TITLE_IST_PUB_CHANGE="",IF(TITLE_IST_PUB="","",TITLE_IST_PUB),TITLE_IST_PUB_CHANGE)</f>
        <v>Смоленская газета</v>
      </c>
      <c r="AE34" s="24081"/>
      <c r="AF34" s="24081"/>
      <c r="AG34" s="24081"/>
      <c r="AH34" s="24081"/>
      <c r="AI34" s="24081"/>
      <c r="AJ34" s="24081"/>
      <c r="AK34" s="24081"/>
      <c r="AL34" s="24081"/>
      <c r="AM34" s="24081"/>
      <c r="AN34" s="24081"/>
      <c r="AO34" s="24081"/>
      <c r="AP34" s="24081"/>
      <c r="AQ34" s="24081"/>
      <c r="AR34" s="24081"/>
      <c r="AS34" s="24081"/>
      <c r="AT34" s="24081"/>
      <c r="AU34" s="24081"/>
      <c r="AV34" s="24081"/>
      <c r="AW34" s="24081"/>
      <c r="AX34" s="24081"/>
      <c r="AY34" s="24081"/>
      <c r="AZ34" s="24081"/>
      <c r="BA34" s="262"/>
      <c r="BB34" s="262"/>
      <c r="BC34" s="216"/>
      <c r="BD34" s="304"/>
      <c r="BE34" s="304"/>
      <c r="BF34" s="304"/>
      <c r="BG34" s="304"/>
      <c r="BH34" s="304"/>
      <c r="BI34" s="354">
        <v>0</v>
      </c>
    </row>
    <row r="35" spans="1:61" ht="14.25" hidden="1" customHeight="1">
      <c r="Q35" s="227"/>
      <c r="R35" s="312"/>
      <c r="S35" s="1201"/>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81">
        <v>0</v>
      </c>
    </row>
    <row r="36" spans="1:61" s="1750" customFormat="1" ht="18.75" hidden="1" customHeight="1">
      <c r="A36" s="1294"/>
      <c r="B36" s="1294"/>
      <c r="C36" s="1294"/>
      <c r="D36" s="1294"/>
      <c r="E36" s="1294"/>
      <c r="F36" s="1294"/>
      <c r="G36" s="1294"/>
      <c r="H36" s="1294"/>
      <c r="I36" s="1294"/>
      <c r="J36" s="1294"/>
      <c r="K36" s="1294"/>
      <c r="L36" s="1295"/>
      <c r="M36" s="1294"/>
      <c r="N36" s="1294"/>
      <c r="O36" s="1294"/>
      <c r="P36" s="1294"/>
      <c r="Q36" s="1294"/>
      <c r="S36" s="24079" t="s">
        <v>650</v>
      </c>
      <c r="T36" s="24079"/>
      <c r="U36" s="1298"/>
      <c r="V36" s="24080" t="str">
        <f>IF(TITLE_DATE_PR_CHANGE="",IF(TITLE_DATE_PR="","",TITLE_DATE_PR),TITLE_DATE_PR_CHANGE)</f>
        <v>20.12.2024</v>
      </c>
      <c r="W36" s="24080"/>
      <c r="X36" s="24080"/>
      <c r="Y36" s="24080"/>
      <c r="Z36" s="24080"/>
      <c r="AA36" s="24080"/>
      <c r="AB36" s="24080"/>
      <c r="AC36" s="262"/>
      <c r="AD36" s="24080" t="str">
        <f>IF(TITLE_DATE_PR_CHANGE="",IF(TITLE_DATE_PR="","",TITLE_DATE_PR),TITLE_DATE_PR_CHANGE)</f>
        <v>20.12.2024</v>
      </c>
      <c r="AE36" s="24080"/>
      <c r="AF36" s="24080"/>
      <c r="AG36" s="24080"/>
      <c r="AH36" s="24080"/>
      <c r="AI36" s="24080"/>
      <c r="AJ36" s="24080"/>
      <c r="AK36" s="24080"/>
      <c r="AL36" s="24080"/>
      <c r="AM36" s="24080"/>
      <c r="AN36" s="24080"/>
      <c r="AO36" s="24080"/>
      <c r="AP36" s="24080"/>
      <c r="AQ36" s="24080"/>
      <c r="AR36" s="24080"/>
      <c r="AS36" s="24080"/>
      <c r="AT36" s="24080"/>
      <c r="AU36" s="24080"/>
      <c r="AV36" s="24080"/>
      <c r="AW36" s="24080"/>
      <c r="AX36" s="24080"/>
      <c r="AY36" s="24080"/>
      <c r="AZ36" s="24080"/>
      <c r="BA36" s="262"/>
      <c r="BB36" s="262"/>
      <c r="BC36" s="216"/>
      <c r="BD36" s="304"/>
      <c r="BE36" s="304"/>
      <c r="BF36" s="304"/>
      <c r="BG36" s="304"/>
      <c r="BH36" s="304"/>
      <c r="BI36" s="354">
        <v>0</v>
      </c>
    </row>
    <row r="37" spans="1:61" s="1750" customFormat="1" ht="18.75" hidden="1" customHeight="1">
      <c r="A37" s="1294"/>
      <c r="B37" s="1294"/>
      <c r="C37" s="1294"/>
      <c r="D37" s="1294"/>
      <c r="E37" s="1294"/>
      <c r="F37" s="1294"/>
      <c r="G37" s="1294"/>
      <c r="H37" s="1294"/>
      <c r="I37" s="1294"/>
      <c r="J37" s="1294"/>
      <c r="K37" s="1294"/>
      <c r="L37" s="1295"/>
      <c r="M37" s="1294"/>
      <c r="N37" s="1294"/>
      <c r="O37" s="1294"/>
      <c r="P37" s="1294"/>
      <c r="Q37" s="1294"/>
      <c r="S37" s="24079" t="s">
        <v>651</v>
      </c>
      <c r="T37" s="24079"/>
      <c r="U37" s="1298"/>
      <c r="V37" s="24081" t="str">
        <f>IF(TITLE_NUMBER_PR_CHANGE="",IF(TITLE_NUMBER_PR="","",TITLE_NUMBER_PR),TITLE_NUMBER_PR_CHANGE)</f>
        <v>403, 404</v>
      </c>
      <c r="W37" s="24081"/>
      <c r="X37" s="24081"/>
      <c r="Y37" s="24081"/>
      <c r="Z37" s="24081"/>
      <c r="AA37" s="24081"/>
      <c r="AB37" s="24081"/>
      <c r="AC37" s="262"/>
      <c r="AD37" s="24081" t="str">
        <f>IF(TITLE_NUMBER_PR_CHANGE="",IF(TITLE_NUMBER_PR="","",TITLE_NUMBER_PR),TITLE_NUMBER_PR_CHANGE)</f>
        <v>403, 404</v>
      </c>
      <c r="AE37" s="24081"/>
      <c r="AF37" s="24081"/>
      <c r="AG37" s="24081"/>
      <c r="AH37" s="24081"/>
      <c r="AI37" s="24081"/>
      <c r="AJ37" s="24081"/>
      <c r="AK37" s="24081"/>
      <c r="AL37" s="24081"/>
      <c r="AM37" s="24081"/>
      <c r="AN37" s="24081"/>
      <c r="AO37" s="24081"/>
      <c r="AP37" s="24081"/>
      <c r="AQ37" s="24081"/>
      <c r="AR37" s="24081"/>
      <c r="AS37" s="24081"/>
      <c r="AT37" s="24081"/>
      <c r="AU37" s="24081"/>
      <c r="AV37" s="24081"/>
      <c r="AW37" s="24081"/>
      <c r="AX37" s="24081"/>
      <c r="AY37" s="24081"/>
      <c r="AZ37" s="24081"/>
      <c r="BA37" s="262"/>
      <c r="BB37" s="262"/>
      <c r="BC37" s="216"/>
      <c r="BD37" s="304"/>
      <c r="BE37" s="304"/>
      <c r="BF37" s="304"/>
      <c r="BG37" s="304"/>
      <c r="BH37" s="304"/>
      <c r="BI37" s="354">
        <v>0</v>
      </c>
    </row>
    <row r="38" spans="1:61" s="1750" customFormat="1" ht="0" hidden="1" customHeight="1">
      <c r="A38" s="1294"/>
      <c r="B38" s="1294"/>
      <c r="C38" s="1294"/>
      <c r="D38" s="1294"/>
      <c r="E38" s="1294"/>
      <c r="F38" s="1294"/>
      <c r="G38" s="1294"/>
      <c r="H38" s="1294"/>
      <c r="I38" s="1294"/>
      <c r="J38" s="1294"/>
      <c r="K38" s="1294"/>
      <c r="L38" s="1295"/>
      <c r="M38" s="1294"/>
      <c r="N38" s="1294"/>
      <c r="O38" s="1294"/>
      <c r="P38" s="1294"/>
      <c r="Q38" s="1294"/>
      <c r="S38" s="259"/>
      <c r="T38" s="259"/>
      <c r="U38" s="1414"/>
      <c r="V38" s="262"/>
      <c r="W38" s="262"/>
      <c r="X38" s="262"/>
      <c r="Y38" s="262"/>
      <c r="Z38" s="262"/>
      <c r="AA38" s="262"/>
      <c r="AB38" s="262"/>
      <c r="AC38" s="214" t="s">
        <v>654</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654</v>
      </c>
      <c r="BD38" s="304"/>
      <c r="BE38" s="304"/>
      <c r="BF38" s="304"/>
      <c r="BG38" s="304"/>
      <c r="BH38" s="304"/>
      <c r="BI38" s="354">
        <v>0</v>
      </c>
    </row>
    <row r="39" spans="1:61" ht="14.65" customHeight="1">
      <c r="Q39" s="227"/>
      <c r="R39" s="312"/>
      <c r="S39" s="1201"/>
      <c r="T39" s="299"/>
      <c r="U39" s="1170"/>
      <c r="V39" s="24100"/>
      <c r="W39" s="24100"/>
      <c r="X39" s="24100"/>
      <c r="Y39" s="24100"/>
      <c r="Z39" s="24100"/>
      <c r="AA39" s="24100"/>
      <c r="AB39" s="24100"/>
      <c r="AC39" s="24100"/>
      <c r="AD39" s="24100"/>
      <c r="AE39" s="24100"/>
      <c r="AF39" s="24100"/>
      <c r="AG39" s="24100"/>
      <c r="AH39" s="24100"/>
      <c r="AI39" s="24100"/>
      <c r="AJ39" s="24100"/>
      <c r="AK39" s="24100"/>
      <c r="AL39" s="24100"/>
      <c r="AM39" s="24100"/>
      <c r="AN39" s="24100"/>
      <c r="AO39" s="24100"/>
      <c r="AP39" s="24100"/>
      <c r="AQ39" s="24100"/>
      <c r="AR39" s="24100"/>
      <c r="AS39" s="24100"/>
      <c r="AT39" s="24100"/>
      <c r="AU39" s="24100"/>
      <c r="AV39" s="24100"/>
      <c r="AW39" s="24100"/>
      <c r="AX39" s="24100"/>
      <c r="AY39" s="24100"/>
      <c r="AZ39" s="24100"/>
      <c r="BA39" s="24100"/>
      <c r="BI39" s="1081">
        <v>14</v>
      </c>
    </row>
    <row r="40" spans="1:61" ht="14.65" customHeight="1">
      <c r="Q40" s="227"/>
      <c r="R40" s="312"/>
      <c r="S40" s="23947" t="s">
        <v>529</v>
      </c>
      <c r="T40" s="23947"/>
      <c r="U40" s="23947"/>
      <c r="V40" s="23947"/>
      <c r="W40" s="23947"/>
      <c r="X40" s="23947"/>
      <c r="Y40" s="23947"/>
      <c r="Z40" s="23947"/>
      <c r="AA40" s="23947"/>
      <c r="AB40" s="23947"/>
      <c r="AC40" s="23947"/>
      <c r="AD40" s="23947"/>
      <c r="AE40" s="23947"/>
      <c r="AF40" s="23947"/>
      <c r="AG40" s="23947"/>
      <c r="AH40" s="23947"/>
      <c r="AI40" s="23947"/>
      <c r="AJ40" s="23947"/>
      <c r="AK40" s="23947"/>
      <c r="AL40" s="23947"/>
      <c r="AM40" s="23947"/>
      <c r="AN40" s="23947"/>
      <c r="AO40" s="23947"/>
      <c r="AP40" s="23947"/>
      <c r="AQ40" s="23947"/>
      <c r="AR40" s="23947"/>
      <c r="AS40" s="23947"/>
      <c r="AT40" s="23947"/>
      <c r="AU40" s="23947"/>
      <c r="AV40" s="23947"/>
      <c r="AW40" s="23947"/>
      <c r="AX40" s="23947"/>
      <c r="AY40" s="23947"/>
      <c r="AZ40" s="23947"/>
      <c r="BA40" s="23947"/>
      <c r="BB40" s="23947"/>
      <c r="BC40" s="23947" t="s">
        <v>530</v>
      </c>
      <c r="BI40" s="1081">
        <v>14</v>
      </c>
    </row>
    <row r="41" spans="1:61" ht="14.65" customHeight="1">
      <c r="Q41" s="227"/>
      <c r="R41" s="312"/>
      <c r="S41" s="24101" t="s">
        <v>79</v>
      </c>
      <c r="T41" s="24050" t="s">
        <v>733</v>
      </c>
      <c r="U41" s="237"/>
      <c r="V41" s="24102" t="s">
        <v>656</v>
      </c>
      <c r="W41" s="24103"/>
      <c r="X41" s="24103"/>
      <c r="Y41" s="24103"/>
      <c r="Z41" s="24103"/>
      <c r="AA41" s="24103"/>
      <c r="AB41" s="24104"/>
      <c r="AC41" s="24105" t="s">
        <v>657</v>
      </c>
      <c r="AD41" s="24134" t="s">
        <v>734</v>
      </c>
      <c r="AE41" s="24118"/>
      <c r="AF41" s="24118"/>
      <c r="AG41" s="24135"/>
      <c r="AH41" s="24134" t="s">
        <v>735</v>
      </c>
      <c r="AI41" s="24118"/>
      <c r="AJ41" s="24118"/>
      <c r="AK41" s="24135"/>
      <c r="AL41" s="24134" t="s">
        <v>736</v>
      </c>
      <c r="AM41" s="24118"/>
      <c r="AN41" s="24118"/>
      <c r="AO41" s="24135"/>
      <c r="AP41" s="24134" t="s">
        <v>737</v>
      </c>
      <c r="AQ41" s="24118"/>
      <c r="AR41" s="24118"/>
      <c r="AS41" s="24135"/>
      <c r="AT41" s="24102" t="s">
        <v>656</v>
      </c>
      <c r="AU41" s="24103"/>
      <c r="AV41" s="24103"/>
      <c r="AW41" s="24103"/>
      <c r="AX41" s="24103"/>
      <c r="AY41" s="24103"/>
      <c r="AZ41" s="24104"/>
      <c r="BA41" s="24105" t="s">
        <v>657</v>
      </c>
      <c r="BB41" s="24108" t="s">
        <v>659</v>
      </c>
      <c r="BC41" s="23947"/>
      <c r="BI41" s="1081">
        <v>14</v>
      </c>
    </row>
    <row r="42" spans="1:61" ht="35.65" customHeight="1">
      <c r="Q42" s="227"/>
      <c r="R42" s="312"/>
      <c r="S42" s="24101"/>
      <c r="T42" s="24050"/>
      <c r="U42" s="960"/>
      <c r="V42" s="24023" t="s">
        <v>738</v>
      </c>
      <c r="W42" s="24024"/>
      <c r="X42" s="24023" t="s">
        <v>739</v>
      </c>
      <c r="Y42" s="24024"/>
      <c r="Z42" s="24023" t="s">
        <v>740</v>
      </c>
      <c r="AA42" s="24130"/>
      <c r="AB42" s="24024"/>
      <c r="AC42" s="24106"/>
      <c r="AD42" s="24136"/>
      <c r="AE42" s="24137"/>
      <c r="AF42" s="24137"/>
      <c r="AG42" s="24149"/>
      <c r="AH42" s="24136"/>
      <c r="AI42" s="24137"/>
      <c r="AJ42" s="24137"/>
      <c r="AK42" s="24149"/>
      <c r="AL42" s="24136"/>
      <c r="AM42" s="24137"/>
      <c r="AN42" s="24137"/>
      <c r="AO42" s="24149"/>
      <c r="AP42" s="24136"/>
      <c r="AQ42" s="24137"/>
      <c r="AR42" s="24137"/>
      <c r="AS42" s="24149"/>
      <c r="AT42" s="24023" t="s">
        <v>738</v>
      </c>
      <c r="AU42" s="24024"/>
      <c r="AV42" s="24023" t="s">
        <v>739</v>
      </c>
      <c r="AW42" s="24024"/>
      <c r="AX42" s="24023" t="s">
        <v>740</v>
      </c>
      <c r="AY42" s="24130"/>
      <c r="AZ42" s="24024"/>
      <c r="BA42" s="24106"/>
      <c r="BB42" s="24109"/>
      <c r="BC42" s="23947"/>
      <c r="BI42" s="1081">
        <v>34</v>
      </c>
    </row>
    <row r="43" spans="1:61" ht="14.65" customHeight="1">
      <c r="Q43" s="227"/>
      <c r="R43" s="312"/>
      <c r="S43" s="24101"/>
      <c r="T43" s="24050"/>
      <c r="U43" s="960"/>
      <c r="V43" s="24028"/>
      <c r="W43" s="24029"/>
      <c r="X43" s="24028"/>
      <c r="Y43" s="24029"/>
      <c r="Z43" s="24028"/>
      <c r="AA43" s="24131"/>
      <c r="AB43" s="24029"/>
      <c r="AC43" s="24106"/>
      <c r="AD43" s="24136"/>
      <c r="AE43" s="24137"/>
      <c r="AF43" s="24137"/>
      <c r="AG43" s="24149"/>
      <c r="AH43" s="24136"/>
      <c r="AI43" s="24137"/>
      <c r="AJ43" s="24137"/>
      <c r="AK43" s="24149"/>
      <c r="AL43" s="24136"/>
      <c r="AM43" s="24137"/>
      <c r="AN43" s="24137"/>
      <c r="AO43" s="24149"/>
      <c r="AP43" s="24136"/>
      <c r="AQ43" s="24137"/>
      <c r="AR43" s="24137"/>
      <c r="AS43" s="24149"/>
      <c r="AT43" s="24028"/>
      <c r="AU43" s="24029"/>
      <c r="AV43" s="24028"/>
      <c r="AW43" s="24029"/>
      <c r="AX43" s="24028"/>
      <c r="AY43" s="24131"/>
      <c r="AZ43" s="24029"/>
      <c r="BA43" s="24106"/>
      <c r="BB43" s="24109"/>
      <c r="BC43" s="23947"/>
      <c r="BI43" s="1081">
        <v>14</v>
      </c>
    </row>
    <row r="44" spans="1:61" ht="14.65" customHeight="1">
      <c r="A44" s="1296"/>
      <c r="B44" s="1296" t="s">
        <v>241</v>
      </c>
      <c r="C44" s="1296" t="s">
        <v>242</v>
      </c>
      <c r="D44" s="1296" t="s">
        <v>243</v>
      </c>
      <c r="E44" s="1290" t="s">
        <v>664</v>
      </c>
      <c r="F44" s="1290" t="s">
        <v>665</v>
      </c>
      <c r="G44" s="1290" t="s">
        <v>666</v>
      </c>
      <c r="H44" s="1290" t="s">
        <v>667</v>
      </c>
      <c r="I44" s="1290" t="s">
        <v>668</v>
      </c>
      <c r="J44" s="1290" t="s">
        <v>669</v>
      </c>
      <c r="K44" s="1290" t="s">
        <v>670</v>
      </c>
      <c r="L44" s="1290" t="s">
        <v>645</v>
      </c>
      <c r="Q44" s="227"/>
      <c r="R44" s="312"/>
      <c r="S44" s="24101"/>
      <c r="T44" s="24050"/>
      <c r="U44" s="238"/>
      <c r="V44" s="1405" t="s">
        <v>704</v>
      </c>
      <c r="W44" s="1405" t="s">
        <v>705</v>
      </c>
      <c r="X44" s="1405" t="s">
        <v>704</v>
      </c>
      <c r="Y44" s="1405" t="s">
        <v>705</v>
      </c>
      <c r="Z44" s="1415" t="s">
        <v>673</v>
      </c>
      <c r="AA44" s="24055" t="s">
        <v>674</v>
      </c>
      <c r="AB44" s="24068"/>
      <c r="AC44" s="24107"/>
      <c r="AD44" s="24138"/>
      <c r="AE44" s="24139"/>
      <c r="AF44" s="24139"/>
      <c r="AG44" s="24140"/>
      <c r="AH44" s="24138"/>
      <c r="AI44" s="24139"/>
      <c r="AJ44" s="24139"/>
      <c r="AK44" s="24140"/>
      <c r="AL44" s="24138"/>
      <c r="AM44" s="24139"/>
      <c r="AN44" s="24139"/>
      <c r="AO44" s="24140"/>
      <c r="AP44" s="24138"/>
      <c r="AQ44" s="24139"/>
      <c r="AR44" s="24139"/>
      <c r="AS44" s="24140"/>
      <c r="AT44" s="1405" t="s">
        <v>704</v>
      </c>
      <c r="AU44" s="1405" t="s">
        <v>705</v>
      </c>
      <c r="AV44" s="1405" t="s">
        <v>704</v>
      </c>
      <c r="AW44" s="1405" t="s">
        <v>705</v>
      </c>
      <c r="AX44" s="1415" t="s">
        <v>673</v>
      </c>
      <c r="AY44" s="24055" t="s">
        <v>674</v>
      </c>
      <c r="AZ44" s="24068"/>
      <c r="BA44" s="24107"/>
      <c r="BB44" s="24110"/>
      <c r="BC44" s="23947"/>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218</v>
      </c>
      <c r="T45" s="1181" t="s">
        <v>95</v>
      </c>
      <c r="U45" s="1171" t="str">
        <f ca="1">OFFSET(U45,0,-1)</f>
        <v>2</v>
      </c>
      <c r="V45" s="1408">
        <f t="shared" ref="V45:AA45" ca="1" si="2">OFFSET(V45,0,-1)+1</f>
        <v>3</v>
      </c>
      <c r="W45" s="1408">
        <f t="shared" ca="1" si="2"/>
        <v>4</v>
      </c>
      <c r="X45" s="1408">
        <f t="shared" ca="1" si="2"/>
        <v>5</v>
      </c>
      <c r="Y45" s="1408">
        <f t="shared" ca="1" si="2"/>
        <v>6</v>
      </c>
      <c r="Z45" s="1408">
        <f t="shared" ca="1" si="2"/>
        <v>7</v>
      </c>
      <c r="AA45" s="24099">
        <f t="shared" ca="1" si="2"/>
        <v>8</v>
      </c>
      <c r="AB45" s="2409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4099">
        <f ca="1">OFFSET(AY45,0,-1)+1</f>
        <v>3</v>
      </c>
      <c r="AZ45" s="24099"/>
      <c r="BA45" s="1408">
        <f ca="1">OFFSET(BA45,0,-2)+1</f>
        <v>4</v>
      </c>
      <c r="BB45" s="1171">
        <f ca="1">OFFSET(BB45,0,-1)</f>
        <v>4</v>
      </c>
      <c r="BC45" s="1408">
        <f ca="1">OFFSET(BC45,0,-1)+1</f>
        <v>5</v>
      </c>
      <c r="BD45" s="447"/>
      <c r="BE45" s="447"/>
      <c r="BF45" s="447"/>
      <c r="BG45" s="447"/>
      <c r="BH45" s="447"/>
      <c r="BI45" s="432">
        <v>0</v>
      </c>
    </row>
    <row r="46" spans="1:61" ht="21.95" customHeight="1">
      <c r="A46" s="1289" t="s">
        <v>490</v>
      </c>
      <c r="B46" s="1289"/>
      <c r="C46" s="1289"/>
      <c r="D46" s="1289"/>
      <c r="E46" s="24088">
        <v>1</v>
      </c>
      <c r="F46" s="1289"/>
      <c r="G46" s="1289"/>
      <c r="H46" s="1289"/>
      <c r="I46" s="1289"/>
      <c r="J46" s="1289"/>
      <c r="K46" s="1289"/>
      <c r="L46" s="1290"/>
      <c r="M46" s="1291"/>
      <c r="N46" s="1291"/>
      <c r="O46" s="1291"/>
      <c r="P46" s="1335"/>
      <c r="Q46" s="803"/>
      <c r="R46" s="291"/>
      <c r="S46" s="1419">
        <f>INDEX(PT_DIFFERENTIATION_NUM_NTAR,MATCH(A46,PT_DIFFERENTIATION_NTAR_ID,0))</f>
        <v>0</v>
      </c>
      <c r="T46" s="234" t="s">
        <v>229</v>
      </c>
      <c r="U46" s="236"/>
      <c r="V46" s="24083"/>
      <c r="W46" s="24083"/>
      <c r="X46" s="24083"/>
      <c r="Y46" s="24083"/>
      <c r="Z46" s="24083"/>
      <c r="AA46" s="24083"/>
      <c r="AB46" s="24083"/>
      <c r="AC46" s="24084"/>
      <c r="AD46" s="24082" t="str">
        <f>INDEX(PT_DIFFERENTIATION_NTAR,MATCH(A46,PT_DIFFERENTIATION_NTAR_ID,0))</f>
        <v/>
      </c>
      <c r="AE46" s="24083"/>
      <c r="AF46" s="24083"/>
      <c r="AG46" s="24083"/>
      <c r="AH46" s="24083"/>
      <c r="AI46" s="24083"/>
      <c r="AJ46" s="24083"/>
      <c r="AK46" s="24083"/>
      <c r="AL46" s="24083"/>
      <c r="AM46" s="24083"/>
      <c r="AN46" s="24083"/>
      <c r="AO46" s="24083"/>
      <c r="AP46" s="24083"/>
      <c r="AQ46" s="24083"/>
      <c r="AR46" s="24083"/>
      <c r="AS46" s="24083"/>
      <c r="AT46" s="24083"/>
      <c r="AU46" s="24083"/>
      <c r="AV46" s="24083"/>
      <c r="AW46" s="24083"/>
      <c r="AX46" s="24083"/>
      <c r="AY46" s="24083"/>
      <c r="AZ46" s="24083"/>
      <c r="BA46" s="24083"/>
      <c r="BB46" s="2408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490</v>
      </c>
      <c r="B47" s="1289" t="s">
        <v>491</v>
      </c>
      <c r="C47" s="1289"/>
      <c r="D47" s="1289"/>
      <c r="E47" s="24089"/>
      <c r="F47" s="24088">
        <v>1</v>
      </c>
      <c r="G47" s="1289"/>
      <c r="H47" s="1289"/>
      <c r="I47" s="1289"/>
      <c r="J47" s="1289"/>
      <c r="K47" s="1289"/>
      <c r="L47" s="1290"/>
      <c r="M47" s="1291"/>
      <c r="N47" s="1291"/>
      <c r="O47" s="1291"/>
      <c r="P47" s="1336"/>
      <c r="Q47" s="1337"/>
      <c r="R47" s="289"/>
      <c r="S47" s="1419" t="str">
        <f>INDEX(PT_DIFFERENTIATION_NUM_TER,MATCH(B47,PT_DIFFERENTIATION_TER_ID,0))</f>
        <v>.</v>
      </c>
      <c r="T47" s="244" t="s">
        <v>626</v>
      </c>
      <c r="U47" s="236"/>
      <c r="V47" s="24083"/>
      <c r="W47" s="24083"/>
      <c r="X47" s="24083"/>
      <c r="Y47" s="24083"/>
      <c r="Z47" s="24083"/>
      <c r="AA47" s="24083"/>
      <c r="AB47" s="24083"/>
      <c r="AC47" s="24084"/>
      <c r="AD47" s="24082" t="str">
        <f>INDEX(PT_DIFFERENTIATION_TER,MATCH(B47,PT_DIFFERENTIATION_TER_ID,0))</f>
        <v/>
      </c>
      <c r="AE47" s="24083"/>
      <c r="AF47" s="24083"/>
      <c r="AG47" s="24083"/>
      <c r="AH47" s="24083"/>
      <c r="AI47" s="24083"/>
      <c r="AJ47" s="24083"/>
      <c r="AK47" s="24083"/>
      <c r="AL47" s="24083"/>
      <c r="AM47" s="24083"/>
      <c r="AN47" s="24083"/>
      <c r="AO47" s="24083"/>
      <c r="AP47" s="24083"/>
      <c r="AQ47" s="24083"/>
      <c r="AR47" s="24083"/>
      <c r="AS47" s="24083"/>
      <c r="AT47" s="24083"/>
      <c r="AU47" s="24083"/>
      <c r="AV47" s="24083"/>
      <c r="AW47" s="24083"/>
      <c r="AX47" s="24083"/>
      <c r="AY47" s="24083"/>
      <c r="AZ47" s="24083"/>
      <c r="BA47" s="24083"/>
      <c r="BB47" s="24084"/>
      <c r="BC47" s="1184" t="s">
        <v>627</v>
      </c>
      <c r="BE47" s="436"/>
      <c r="BF47" s="436" t="str">
        <f t="shared" si="3"/>
        <v>Территория действия тарифа</v>
      </c>
      <c r="BG47" s="436"/>
      <c r="BH47" s="436"/>
      <c r="BI47" s="1081">
        <v>21</v>
      </c>
    </row>
    <row r="48" spans="1:61" ht="35.65" customHeight="1">
      <c r="A48" s="1289" t="s">
        <v>490</v>
      </c>
      <c r="B48" s="1289" t="s">
        <v>491</v>
      </c>
      <c r="C48" s="1289" t="s">
        <v>492</v>
      </c>
      <c r="D48" s="1289"/>
      <c r="E48" s="24089"/>
      <c r="F48" s="24089"/>
      <c r="G48" s="24088">
        <v>1</v>
      </c>
      <c r="H48" s="1289"/>
      <c r="I48" s="1289"/>
      <c r="J48" s="1289"/>
      <c r="K48" s="1289"/>
      <c r="L48" s="1290"/>
      <c r="M48" s="1291"/>
      <c r="N48" s="1291"/>
      <c r="O48" s="1291"/>
      <c r="P48" s="1338"/>
      <c r="Q48" s="1337"/>
      <c r="R48" s="289"/>
      <c r="S48" s="1419" t="str">
        <f>INDEX(PT_DIFFERENTIATION_NUM_CS,MATCH(C48,PT_DIFFERENTIATION_CS_ID,0))</f>
        <v>..</v>
      </c>
      <c r="T48" s="245" t="s">
        <v>756</v>
      </c>
      <c r="U48" s="236"/>
      <c r="V48" s="24083"/>
      <c r="W48" s="24083"/>
      <c r="X48" s="24083"/>
      <c r="Y48" s="24083"/>
      <c r="Z48" s="24083"/>
      <c r="AA48" s="24083"/>
      <c r="AB48" s="24083"/>
      <c r="AC48" s="24084"/>
      <c r="AD48" s="24082" t="str">
        <f>INDEX(PT_DIFFERENTIATION_CS,MATCH(C48,PT_DIFFERENTIATION_CS_ID,0))</f>
        <v/>
      </c>
      <c r="AE48" s="24083"/>
      <c r="AF48" s="24083"/>
      <c r="AG48" s="24083"/>
      <c r="AH48" s="24083"/>
      <c r="AI48" s="24083"/>
      <c r="AJ48" s="24083"/>
      <c r="AK48" s="24083"/>
      <c r="AL48" s="24083"/>
      <c r="AM48" s="24083"/>
      <c r="AN48" s="24083"/>
      <c r="AO48" s="24083"/>
      <c r="AP48" s="24083"/>
      <c r="AQ48" s="24083"/>
      <c r="AR48" s="24083"/>
      <c r="AS48" s="24083"/>
      <c r="AT48" s="24083"/>
      <c r="AU48" s="24083"/>
      <c r="AV48" s="24083"/>
      <c r="AW48" s="24083"/>
      <c r="AX48" s="24083"/>
      <c r="AY48" s="24083"/>
      <c r="AZ48" s="24083"/>
      <c r="BA48" s="24083"/>
      <c r="BB48" s="24084"/>
      <c r="BC48" s="1184" t="s">
        <v>757</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490</v>
      </c>
      <c r="B49" s="1269" t="s">
        <v>491</v>
      </c>
      <c r="C49" s="1269" t="s">
        <v>492</v>
      </c>
      <c r="D49" s="1269" t="s">
        <v>794</v>
      </c>
      <c r="E49" s="24089"/>
      <c r="F49" s="24089"/>
      <c r="G49" s="24089"/>
      <c r="H49" s="24088">
        <v>1</v>
      </c>
      <c r="I49" s="1269"/>
      <c r="J49" s="1269"/>
      <c r="K49" s="1269"/>
      <c r="L49" s="1272"/>
      <c r="M49" s="1241"/>
      <c r="N49" s="1241"/>
      <c r="O49" s="1241"/>
      <c r="P49" s="1423"/>
      <c r="Q49" s="1424"/>
      <c r="R49" s="293"/>
      <c r="S49" s="971"/>
      <c r="T49" s="1425"/>
      <c r="U49" s="1310"/>
      <c r="V49" s="24120"/>
      <c r="W49" s="24120"/>
      <c r="X49" s="24120"/>
      <c r="Y49" s="24120"/>
      <c r="Z49" s="24120"/>
      <c r="AA49" s="24120"/>
      <c r="AB49" s="24120"/>
      <c r="AC49" s="24121"/>
      <c r="AD49" s="24119"/>
      <c r="AE49" s="24120"/>
      <c r="AF49" s="24120"/>
      <c r="AG49" s="24120"/>
      <c r="AH49" s="24120"/>
      <c r="AI49" s="24120"/>
      <c r="AJ49" s="24120"/>
      <c r="AK49" s="24120"/>
      <c r="AL49" s="24120"/>
      <c r="AM49" s="24120"/>
      <c r="AN49" s="24120"/>
      <c r="AO49" s="24120"/>
      <c r="AP49" s="24120"/>
      <c r="AQ49" s="24120"/>
      <c r="AR49" s="24120"/>
      <c r="AS49" s="24120"/>
      <c r="AT49" s="24120"/>
      <c r="AU49" s="24120"/>
      <c r="AV49" s="24120"/>
      <c r="AW49" s="24120"/>
      <c r="AX49" s="24120"/>
      <c r="AY49" s="24120"/>
      <c r="AZ49" s="24120"/>
      <c r="BA49" s="24120"/>
      <c r="BB49" s="24121"/>
      <c r="BC49" s="1311" t="s">
        <v>631</v>
      </c>
      <c r="BE49" s="436"/>
      <c r="BF49" s="436" t="str">
        <f t="shared" si="3"/>
        <v/>
      </c>
      <c r="BG49" s="436"/>
      <c r="BH49" s="436"/>
      <c r="BI49" s="447">
        <v>0</v>
      </c>
    </row>
    <row r="50" spans="1:61" s="1568" customFormat="1" ht="0" hidden="1" customHeight="1">
      <c r="A50" s="1269" t="s">
        <v>490</v>
      </c>
      <c r="B50" s="1269" t="s">
        <v>491</v>
      </c>
      <c r="C50" s="1269" t="s">
        <v>492</v>
      </c>
      <c r="D50" s="1269" t="s">
        <v>794</v>
      </c>
      <c r="E50" s="24089"/>
      <c r="F50" s="24089"/>
      <c r="G50" s="24089"/>
      <c r="H50" s="24089"/>
      <c r="I50" s="24090" t="str">
        <f>S49&amp;".1"</f>
        <v>.1</v>
      </c>
      <c r="J50" s="1269"/>
      <c r="K50" s="1269"/>
      <c r="L50" s="1272" t="s">
        <v>632</v>
      </c>
      <c r="M50" s="446"/>
      <c r="N50" s="446"/>
      <c r="O50" s="446"/>
      <c r="P50" s="24092">
        <v>1</v>
      </c>
      <c r="Q50" s="1407"/>
      <c r="R50" s="292"/>
      <c r="S50" s="971"/>
      <c r="T50" s="1309"/>
      <c r="U50" s="1310"/>
      <c r="V50" s="24120"/>
      <c r="W50" s="24120"/>
      <c r="X50" s="24120"/>
      <c r="Y50" s="24120"/>
      <c r="Z50" s="24120"/>
      <c r="AA50" s="24120"/>
      <c r="AB50" s="24120"/>
      <c r="AC50" s="24121"/>
      <c r="AD50" s="24119"/>
      <c r="AE50" s="24120"/>
      <c r="AF50" s="24120"/>
      <c r="AG50" s="24120"/>
      <c r="AH50" s="24120"/>
      <c r="AI50" s="24120"/>
      <c r="AJ50" s="24120"/>
      <c r="AK50" s="24120"/>
      <c r="AL50" s="24120"/>
      <c r="AM50" s="24120"/>
      <c r="AN50" s="24120"/>
      <c r="AO50" s="24120"/>
      <c r="AP50" s="24120"/>
      <c r="AQ50" s="24120"/>
      <c r="AR50" s="24120"/>
      <c r="AS50" s="24120"/>
      <c r="AT50" s="24120"/>
      <c r="AU50" s="24120"/>
      <c r="AV50" s="24120"/>
      <c r="AW50" s="24120"/>
      <c r="AX50" s="24120"/>
      <c r="AY50" s="24120"/>
      <c r="AZ50" s="24120"/>
      <c r="BA50" s="24120"/>
      <c r="BB50" s="24121"/>
      <c r="BC50" s="1311"/>
      <c r="BE50" s="436"/>
      <c r="BF50" s="436" t="str">
        <f t="shared" si="3"/>
        <v/>
      </c>
      <c r="BG50" s="436"/>
      <c r="BH50" s="436"/>
      <c r="BI50" s="447">
        <v>0</v>
      </c>
    </row>
    <row r="51" spans="1:61" s="1568" customFormat="1" ht="0" hidden="1" customHeight="1">
      <c r="A51" s="1269" t="s">
        <v>490</v>
      </c>
      <c r="B51" s="1269" t="s">
        <v>491</v>
      </c>
      <c r="C51" s="1269" t="s">
        <v>492</v>
      </c>
      <c r="D51" s="1269" t="s">
        <v>794</v>
      </c>
      <c r="E51" s="24089"/>
      <c r="F51" s="24089"/>
      <c r="G51" s="24089"/>
      <c r="H51" s="24089"/>
      <c r="I51" s="24091"/>
      <c r="J51" s="24090" t="str">
        <f>S49&amp;".1"</f>
        <v>.1</v>
      </c>
      <c r="K51" s="1269"/>
      <c r="L51" s="1272"/>
      <c r="M51" s="446"/>
      <c r="N51" s="446"/>
      <c r="O51" s="446"/>
      <c r="P51" s="24092"/>
      <c r="Q51" s="24092">
        <v>1</v>
      </c>
      <c r="R51" s="293"/>
      <c r="S51" s="971"/>
      <c r="T51" s="1325"/>
      <c r="U51" s="1310"/>
      <c r="V51" s="24120"/>
      <c r="W51" s="24120"/>
      <c r="X51" s="24120"/>
      <c r="Y51" s="24120"/>
      <c r="Z51" s="24120"/>
      <c r="AA51" s="24120"/>
      <c r="AB51" s="24120"/>
      <c r="AC51" s="24121"/>
      <c r="AD51" s="24119"/>
      <c r="AE51" s="24120"/>
      <c r="AF51" s="24120"/>
      <c r="AG51" s="24120"/>
      <c r="AH51" s="24120"/>
      <c r="AI51" s="24120"/>
      <c r="AJ51" s="24120"/>
      <c r="AK51" s="24120"/>
      <c r="AL51" s="24120"/>
      <c r="AM51" s="24120"/>
      <c r="AN51" s="24171"/>
      <c r="AO51" s="24171"/>
      <c r="AP51" s="24120"/>
      <c r="AQ51" s="24120"/>
      <c r="AR51" s="24120"/>
      <c r="AS51" s="24120"/>
      <c r="AT51" s="24120"/>
      <c r="AU51" s="24120"/>
      <c r="AV51" s="24120"/>
      <c r="AW51" s="24120"/>
      <c r="AX51" s="24120"/>
      <c r="AY51" s="24120"/>
      <c r="AZ51" s="24120"/>
      <c r="BA51" s="24120"/>
      <c r="BB51" s="24121"/>
      <c r="BC51" s="1311"/>
      <c r="BE51" s="436"/>
      <c r="BF51" s="436" t="str">
        <f t="shared" si="3"/>
        <v/>
      </c>
      <c r="BG51" s="436"/>
      <c r="BH51" s="436"/>
      <c r="BI51" s="447">
        <v>0</v>
      </c>
    </row>
    <row r="52" spans="1:61" ht="11.45" customHeight="1">
      <c r="A52" s="1289" t="s">
        <v>490</v>
      </c>
      <c r="B52" s="1289" t="s">
        <v>491</v>
      </c>
      <c r="C52" s="1289" t="s">
        <v>492</v>
      </c>
      <c r="D52" s="1289" t="s">
        <v>794</v>
      </c>
      <c r="E52" s="24089"/>
      <c r="F52" s="24089"/>
      <c r="G52" s="24089"/>
      <c r="H52" s="24089"/>
      <c r="I52" s="24091"/>
      <c r="J52" s="24091"/>
      <c r="K52" s="24090" t="str">
        <f>S48&amp;".1"</f>
        <v>...1</v>
      </c>
      <c r="L52" s="1290"/>
      <c r="P52" s="24092"/>
      <c r="Q52" s="24092"/>
      <c r="R52" s="293">
        <v>1</v>
      </c>
      <c r="S52" s="24145" t="str">
        <f>$K52</f>
        <v>...1</v>
      </c>
      <c r="T52" s="24165"/>
      <c r="U52" s="236"/>
      <c r="V52" s="687"/>
      <c r="W52" s="1183"/>
      <c r="X52" s="687"/>
      <c r="Y52" s="1183"/>
      <c r="Z52" s="1632"/>
      <c r="AA52" s="1395" t="s">
        <v>59</v>
      </c>
      <c r="AB52" s="1632"/>
      <c r="AC52" s="1395" t="s">
        <v>59</v>
      </c>
      <c r="AD52" s="24018" t="s">
        <v>59</v>
      </c>
      <c r="AE52" s="24141"/>
      <c r="AF52" s="24046">
        <v>1</v>
      </c>
      <c r="AG52" s="24164"/>
      <c r="AH52" s="23957" t="s">
        <v>59</v>
      </c>
      <c r="AI52" s="24141"/>
      <c r="AJ52" s="24046">
        <v>1</v>
      </c>
      <c r="AK52" s="24155" t="s">
        <v>17</v>
      </c>
      <c r="AL52" s="23957" t="s">
        <v>59</v>
      </c>
      <c r="AM52" s="24023"/>
      <c r="AN52" s="24046">
        <v>1</v>
      </c>
      <c r="AO52" s="24168"/>
      <c r="AP52" s="24169" t="s">
        <v>59</v>
      </c>
      <c r="AQ52" s="247"/>
      <c r="AR52" s="1412">
        <v>1</v>
      </c>
      <c r="AS52" s="1418" t="s">
        <v>17</v>
      </c>
      <c r="AT52" s="687"/>
      <c r="AU52" s="1183"/>
      <c r="AV52" s="687"/>
      <c r="AW52" s="1183"/>
      <c r="AX52" s="1632"/>
      <c r="AY52" s="1395" t="s">
        <v>59</v>
      </c>
      <c r="AZ52" s="1632"/>
      <c r="BA52" s="1395" t="s">
        <v>59</v>
      </c>
      <c r="BB52" s="1274"/>
      <c r="BC52" s="24111" t="s">
        <v>727</v>
      </c>
      <c r="BE52" s="436"/>
      <c r="BF52" s="436" t="str">
        <f t="shared" si="3"/>
        <v/>
      </c>
      <c r="BG52" s="436"/>
      <c r="BH52" s="436"/>
      <c r="BI52" s="1081">
        <v>11</v>
      </c>
    </row>
    <row r="53" spans="1:61" ht="11.45" customHeight="1">
      <c r="A53" s="1289"/>
      <c r="B53" s="1289"/>
      <c r="C53" s="1289"/>
      <c r="D53" s="1289"/>
      <c r="E53" s="24089"/>
      <c r="F53" s="24089"/>
      <c r="G53" s="24089"/>
      <c r="H53" s="24089"/>
      <c r="I53" s="24091"/>
      <c r="J53" s="24091"/>
      <c r="K53" s="24090"/>
      <c r="L53" s="1290"/>
      <c r="P53" s="24092"/>
      <c r="Q53" s="24092"/>
      <c r="R53" s="293"/>
      <c r="S53" s="24146"/>
      <c r="T53" s="24166"/>
      <c r="U53" s="236"/>
      <c r="V53" s="1319"/>
      <c r="W53" s="1422"/>
      <c r="X53" s="1319"/>
      <c r="Y53" s="1422"/>
      <c r="Z53" s="1319"/>
      <c r="AA53" s="1319"/>
      <c r="AB53" s="1319"/>
      <c r="AC53" s="1319"/>
      <c r="AD53" s="24019"/>
      <c r="AE53" s="24141"/>
      <c r="AF53" s="24046"/>
      <c r="AG53" s="24164"/>
      <c r="AH53" s="23957"/>
      <c r="AI53" s="24141"/>
      <c r="AJ53" s="24046"/>
      <c r="AK53" s="24155"/>
      <c r="AL53" s="23957"/>
      <c r="AM53" s="24028"/>
      <c r="AN53" s="24046"/>
      <c r="AO53" s="24168"/>
      <c r="AP53" s="24170"/>
      <c r="AQ53" s="252"/>
      <c r="AR53" s="352"/>
      <c r="AS53" s="352" t="s">
        <v>728</v>
      </c>
      <c r="AT53" s="1319"/>
      <c r="AU53" s="1422"/>
      <c r="AV53" s="1319"/>
      <c r="AW53" s="1422"/>
      <c r="AX53" s="1319"/>
      <c r="AY53" s="1319"/>
      <c r="AZ53" s="1319"/>
      <c r="BA53" s="1319"/>
      <c r="BB53" s="1323"/>
      <c r="BC53" s="24112"/>
      <c r="BE53" s="436"/>
      <c r="BF53" s="436"/>
      <c r="BG53" s="436"/>
      <c r="BH53" s="436"/>
      <c r="BI53" s="1081">
        <v>11</v>
      </c>
    </row>
    <row r="54" spans="1:61" ht="11.45" customHeight="1">
      <c r="A54" s="1289" t="s">
        <v>490</v>
      </c>
      <c r="B54" s="1289"/>
      <c r="C54" s="1289"/>
      <c r="D54" s="1289"/>
      <c r="E54" s="24089"/>
      <c r="F54" s="24089"/>
      <c r="G54" s="24089"/>
      <c r="H54" s="24089"/>
      <c r="I54" s="24091"/>
      <c r="J54" s="24091"/>
      <c r="K54" s="24090"/>
      <c r="L54" s="1290"/>
      <c r="P54" s="24092"/>
      <c r="Q54" s="24092"/>
      <c r="R54" s="293"/>
      <c r="S54" s="24146"/>
      <c r="T54" s="24166"/>
      <c r="U54" s="236"/>
      <c r="V54" s="1319"/>
      <c r="W54" s="1422"/>
      <c r="X54" s="1319"/>
      <c r="Y54" s="1422"/>
      <c r="Z54" s="1319"/>
      <c r="AA54" s="1319"/>
      <c r="AB54" s="1319"/>
      <c r="AC54" s="1319"/>
      <c r="AD54" s="24019"/>
      <c r="AE54" s="24141"/>
      <c r="AF54" s="24046"/>
      <c r="AG54" s="24164"/>
      <c r="AH54" s="23957"/>
      <c r="AI54" s="24141"/>
      <c r="AJ54" s="24046"/>
      <c r="AK54" s="24155"/>
      <c r="AL54" s="23957"/>
      <c r="AM54" s="252"/>
      <c r="AN54" s="1426"/>
      <c r="AO54" s="1426" t="s">
        <v>729</v>
      </c>
      <c r="AP54" s="352"/>
      <c r="AQ54" s="352"/>
      <c r="AR54" s="352"/>
      <c r="AS54" s="1319"/>
      <c r="AT54" s="1319"/>
      <c r="AU54" s="1422"/>
      <c r="AV54" s="1319"/>
      <c r="AW54" s="1422"/>
      <c r="AX54" s="1319"/>
      <c r="AY54" s="1319"/>
      <c r="AZ54" s="1319"/>
      <c r="BA54" s="1319"/>
      <c r="BB54" s="1323"/>
      <c r="BC54" s="24112"/>
      <c r="BE54" s="436"/>
      <c r="BF54" s="436"/>
      <c r="BG54" s="436"/>
      <c r="BH54" s="436"/>
      <c r="BI54" s="1081">
        <v>11</v>
      </c>
    </row>
    <row r="55" spans="1:61" ht="11.45" customHeight="1">
      <c r="A55" s="1289" t="s">
        <v>490</v>
      </c>
      <c r="B55" s="1289"/>
      <c r="C55" s="1289"/>
      <c r="D55" s="1289"/>
      <c r="E55" s="24089"/>
      <c r="F55" s="24089"/>
      <c r="G55" s="24089"/>
      <c r="H55" s="24089"/>
      <c r="I55" s="24091"/>
      <c r="J55" s="24091"/>
      <c r="K55" s="24090"/>
      <c r="L55" s="1290"/>
      <c r="P55" s="24092"/>
      <c r="Q55" s="24092"/>
      <c r="R55" s="293"/>
      <c r="S55" s="24146"/>
      <c r="T55" s="24166"/>
      <c r="U55" s="236"/>
      <c r="V55" s="1319"/>
      <c r="W55" s="1422"/>
      <c r="X55" s="1319"/>
      <c r="Y55" s="1422"/>
      <c r="Z55" s="1319"/>
      <c r="AA55" s="1319"/>
      <c r="AB55" s="1319"/>
      <c r="AC55" s="1319"/>
      <c r="AD55" s="24019"/>
      <c r="AE55" s="24141"/>
      <c r="AF55" s="24046"/>
      <c r="AG55" s="24164"/>
      <c r="AH55" s="23957"/>
      <c r="AI55" s="230"/>
      <c r="AJ55" s="351"/>
      <c r="AK55" s="249" t="s">
        <v>730</v>
      </c>
      <c r="AL55" s="1319"/>
      <c r="AM55" s="1319"/>
      <c r="AN55" s="1319"/>
      <c r="AO55" s="1319"/>
      <c r="AP55" s="1319"/>
      <c r="AQ55" s="1319"/>
      <c r="AR55" s="1319"/>
      <c r="AS55" s="1319"/>
      <c r="AT55" s="1319"/>
      <c r="AU55" s="1422"/>
      <c r="AV55" s="1319"/>
      <c r="AW55" s="1422"/>
      <c r="AX55" s="1319"/>
      <c r="AY55" s="1319"/>
      <c r="AZ55" s="1319"/>
      <c r="BA55" s="1319"/>
      <c r="BB55" s="1323"/>
      <c r="BC55" s="24112"/>
      <c r="BE55" s="436"/>
      <c r="BF55" s="436"/>
      <c r="BG55" s="436"/>
      <c r="BH55" s="436"/>
      <c r="BI55" s="1081">
        <v>11</v>
      </c>
    </row>
    <row r="56" spans="1:61" ht="11.45" customHeight="1">
      <c r="A56" s="1289" t="s">
        <v>490</v>
      </c>
      <c r="B56" s="1289" t="s">
        <v>491</v>
      </c>
      <c r="C56" s="1289" t="s">
        <v>492</v>
      </c>
      <c r="D56" s="1289" t="s">
        <v>794</v>
      </c>
      <c r="E56" s="24089"/>
      <c r="F56" s="24089"/>
      <c r="G56" s="24089"/>
      <c r="H56" s="24089"/>
      <c r="I56" s="24091"/>
      <c r="J56" s="24091"/>
      <c r="K56" s="24090"/>
      <c r="L56" s="1290"/>
      <c r="P56" s="24092"/>
      <c r="Q56" s="24092"/>
      <c r="R56" s="293"/>
      <c r="S56" s="24147"/>
      <c r="T56" s="24167"/>
      <c r="U56" s="236"/>
      <c r="V56" s="1319"/>
      <c r="W56" s="1320" t="str">
        <f>Z52&amp;"-"&amp;AB52</f>
        <v>-</v>
      </c>
      <c r="X56" s="1319"/>
      <c r="Y56" s="1320" t="str">
        <f>AB52&amp;"-"&amp;AD52</f>
        <v>-да</v>
      </c>
      <c r="Z56" s="1319"/>
      <c r="AA56" s="1319"/>
      <c r="AB56" s="1319"/>
      <c r="AC56" s="1319"/>
      <c r="AD56" s="23962"/>
      <c r="AE56" s="248"/>
      <c r="AF56" s="250"/>
      <c r="AG56" s="352" t="s">
        <v>731</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4112"/>
      <c r="BE56" s="436"/>
      <c r="BF56" s="436" t="str">
        <f t="shared" ref="BF56:BF63" si="4">IF(T56="","",T56)</f>
        <v/>
      </c>
      <c r="BG56" s="436"/>
      <c r="BH56" s="436"/>
      <c r="BI56" s="1081">
        <v>11</v>
      </c>
    </row>
    <row r="57" spans="1:61" ht="11.45" customHeight="1">
      <c r="A57" s="1289" t="s">
        <v>490</v>
      </c>
      <c r="B57" s="1289" t="s">
        <v>491</v>
      </c>
      <c r="C57" s="1289" t="s">
        <v>492</v>
      </c>
      <c r="D57" s="1289" t="s">
        <v>794</v>
      </c>
      <c r="E57" s="24089"/>
      <c r="F57" s="24089"/>
      <c r="G57" s="24089"/>
      <c r="H57" s="24089"/>
      <c r="I57" s="24091"/>
      <c r="J57" s="24090"/>
      <c r="K57" s="1289"/>
      <c r="L57" s="1290"/>
      <c r="P57" s="24092"/>
      <c r="Q57" s="24092"/>
      <c r="R57" s="292"/>
      <c r="S57" s="1204"/>
      <c r="T57" s="223" t="s">
        <v>694</v>
      </c>
      <c r="U57" s="303"/>
      <c r="V57" s="303"/>
      <c r="W57" s="303"/>
      <c r="X57" s="303"/>
      <c r="Y57" s="303"/>
      <c r="Z57" s="303"/>
      <c r="AA57" s="303"/>
      <c r="AB57" s="303"/>
      <c r="AC57" s="260"/>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4113"/>
      <c r="BE57" s="436"/>
      <c r="BF57" s="436" t="str">
        <f t="shared" si="4"/>
        <v>Добавить строку</v>
      </c>
      <c r="BG57" s="436"/>
      <c r="BH57" s="436"/>
      <c r="BI57" s="1081">
        <v>11</v>
      </c>
    </row>
    <row r="58" spans="1:61" s="1568" customFormat="1" ht="0" hidden="1" customHeight="1">
      <c r="A58" s="1269" t="s">
        <v>490</v>
      </c>
      <c r="B58" s="1269" t="s">
        <v>491</v>
      </c>
      <c r="C58" s="1269" t="s">
        <v>492</v>
      </c>
      <c r="D58" s="1269" t="s">
        <v>794</v>
      </c>
      <c r="E58" s="24089"/>
      <c r="F58" s="24089"/>
      <c r="G58" s="24089"/>
      <c r="H58" s="24089"/>
      <c r="I58" s="24090"/>
      <c r="J58" s="1269"/>
      <c r="K58" s="1269"/>
      <c r="L58" s="1272"/>
      <c r="M58" s="446"/>
      <c r="N58" s="446"/>
      <c r="O58" s="446"/>
      <c r="P58" s="2409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490</v>
      </c>
      <c r="B59" s="1269" t="s">
        <v>491</v>
      </c>
      <c r="C59" s="1269" t="s">
        <v>492</v>
      </c>
      <c r="D59" s="1269" t="s">
        <v>794</v>
      </c>
      <c r="E59" s="24089"/>
      <c r="F59" s="24089"/>
      <c r="G59" s="24089"/>
      <c r="H59" s="2408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490</v>
      </c>
      <c r="B60" s="1269" t="s">
        <v>491</v>
      </c>
      <c r="C60" s="1269" t="s">
        <v>492</v>
      </c>
      <c r="D60" s="1240"/>
      <c r="E60" s="24089"/>
      <c r="F60" s="24089"/>
      <c r="G60" s="2408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490</v>
      </c>
      <c r="B61" s="1269" t="s">
        <v>491</v>
      </c>
      <c r="C61" s="1240"/>
      <c r="D61" s="1240"/>
      <c r="E61" s="24089"/>
      <c r="F61" s="24088"/>
      <c r="G61" s="1240"/>
      <c r="H61" s="1240"/>
      <c r="I61" s="1240"/>
      <c r="J61" s="1240"/>
      <c r="K61" s="1240"/>
      <c r="L61" s="1420"/>
      <c r="M61" s="1247"/>
      <c r="N61" s="1247"/>
      <c r="P61" s="1242"/>
      <c r="Q61" s="1243"/>
      <c r="R61" s="1242"/>
      <c r="S61" s="1248"/>
      <c r="T61" s="1251" t="s">
        <v>370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490</v>
      </c>
      <c r="B62" s="1269"/>
      <c r="C62" s="1269"/>
      <c r="D62" s="1269"/>
      <c r="E62" s="24088"/>
      <c r="F62" s="1269"/>
      <c r="G62" s="1269"/>
      <c r="H62" s="1269"/>
      <c r="I62" s="1269"/>
      <c r="J62" s="1269"/>
      <c r="K62" s="1269"/>
      <c r="L62" s="1272"/>
      <c r="M62" s="1247"/>
      <c r="N62" s="1247"/>
      <c r="O62" s="454"/>
      <c r="P62" s="316"/>
      <c r="Q62" s="1270"/>
      <c r="R62" s="316"/>
      <c r="S62" s="1248"/>
      <c r="T62" s="1251" t="s">
        <v>481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482</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4087"/>
      <c r="U65" s="24087"/>
      <c r="V65" s="24087"/>
      <c r="W65" s="24087"/>
      <c r="X65" s="24087"/>
      <c r="Y65" s="24087"/>
      <c r="Z65" s="24087"/>
      <c r="AA65" s="24087"/>
      <c r="AB65" s="24087"/>
      <c r="AC65" s="24087"/>
      <c r="AD65" s="24087"/>
      <c r="AE65" s="24087"/>
      <c r="AF65" s="24087"/>
      <c r="AG65" s="24087"/>
      <c r="AH65" s="24087"/>
      <c r="AI65" s="24087"/>
      <c r="AJ65" s="24087"/>
      <c r="AK65" s="24087"/>
      <c r="AL65" s="24087"/>
      <c r="AM65" s="24087"/>
      <c r="AN65" s="24087"/>
      <c r="AO65" s="24087"/>
      <c r="AP65" s="24087"/>
      <c r="AQ65" s="24087"/>
      <c r="AR65" s="24087"/>
      <c r="AS65" s="24087"/>
      <c r="AT65" s="24087"/>
      <c r="AU65" s="24087"/>
      <c r="AV65" s="24087"/>
      <c r="AW65" s="24087"/>
      <c r="AX65" s="24087"/>
      <c r="AY65" s="24087"/>
      <c r="AZ65" s="24087"/>
      <c r="BA65" s="24087"/>
      <c r="BB65" s="24087"/>
      <c r="BC65" s="2408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4087"/>
      <c r="U67" s="24087"/>
      <c r="V67" s="24087"/>
      <c r="W67" s="24087"/>
      <c r="X67" s="24087"/>
      <c r="Y67" s="24087"/>
      <c r="Z67" s="24087"/>
      <c r="AA67" s="24087"/>
      <c r="AB67" s="24087"/>
      <c r="AC67" s="24087"/>
      <c r="AD67" s="24087"/>
      <c r="AE67" s="24087"/>
      <c r="AF67" s="24087"/>
      <c r="AG67" s="24087"/>
      <c r="AH67" s="24087"/>
      <c r="AI67" s="24087"/>
      <c r="AJ67" s="24087"/>
      <c r="AK67" s="24087"/>
      <c r="AL67" s="24087"/>
      <c r="AM67" s="24087"/>
      <c r="AN67" s="24087"/>
      <c r="AO67" s="24087"/>
      <c r="AP67" s="24087"/>
      <c r="AQ67" s="24087"/>
      <c r="AR67" s="24087"/>
      <c r="AS67" s="24087"/>
      <c r="AT67" s="24087"/>
      <c r="AU67" s="24087"/>
      <c r="AV67" s="24087"/>
      <c r="AW67" s="24087"/>
      <c r="AX67" s="24087"/>
      <c r="AY67" s="24087"/>
      <c r="AZ67" s="24087"/>
      <c r="BA67" s="24087"/>
      <c r="BB67" s="24087"/>
      <c r="BC67" s="24087"/>
      <c r="BI67" s="1081">
        <v>19</v>
      </c>
    </row>
    <row r="68" spans="1:61" ht="14.65" customHeight="1">
      <c r="O68" s="473"/>
      <c r="BI68" s="1081">
        <v>14</v>
      </c>
    </row>
    <row r="69" spans="1:61" ht="14.25" hidden="1" customHeight="1">
      <c r="A69" s="1086" t="s">
        <v>73</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0">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7109375"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ht="22.5" hidden="1" customHeight="1">
      <c r="AF1" s="1557" t="s">
        <v>1</v>
      </c>
    </row>
    <row r="2" spans="1:32" ht="23.25" hidden="1" customHeight="1">
      <c r="B2" s="23931"/>
      <c r="C2" s="1093" t="s">
        <v>795</v>
      </c>
      <c r="D2" s="1564"/>
      <c r="E2" s="482">
        <f>B2</f>
        <v>0</v>
      </c>
      <c r="F2" s="483"/>
      <c r="G2" s="1572" t="s">
        <v>796</v>
      </c>
      <c r="H2" s="1572" t="s">
        <v>796</v>
      </c>
      <c r="I2" s="1572" t="s">
        <v>796</v>
      </c>
      <c r="J2" s="225" t="s">
        <v>797</v>
      </c>
      <c r="K2" s="479"/>
      <c r="AF2" s="1557">
        <v>0</v>
      </c>
    </row>
    <row r="3" spans="1:32" s="1568" customFormat="1" ht="0.75" hidden="1" customHeight="1">
      <c r="B3" s="23931"/>
      <c r="C3" s="1093"/>
      <c r="D3" s="484"/>
      <c r="E3" s="485"/>
      <c r="F3" s="486" t="s">
        <v>798</v>
      </c>
      <c r="G3" s="487"/>
      <c r="H3" s="487">
        <f>H4*H5+H7</f>
        <v>0</v>
      </c>
      <c r="I3" s="487">
        <f>I4*I5+I6</f>
        <v>0</v>
      </c>
      <c r="J3" s="488"/>
      <c r="AF3" s="1562">
        <v>0</v>
      </c>
    </row>
    <row r="4" spans="1:32" ht="23.25" hidden="1" customHeight="1">
      <c r="B4" s="23931"/>
      <c r="C4" s="1093"/>
      <c r="D4" s="1564"/>
      <c r="E4" s="482" t="str">
        <f>B2&amp;".1"</f>
        <v>.1</v>
      </c>
      <c r="F4" s="489" t="s">
        <v>799</v>
      </c>
      <c r="G4" s="490"/>
      <c r="H4" s="477"/>
      <c r="I4" s="477"/>
      <c r="J4" s="225" t="s">
        <v>800</v>
      </c>
      <c r="K4" s="479"/>
      <c r="AF4" s="1557">
        <v>0</v>
      </c>
    </row>
    <row r="5" spans="1:32" ht="18.75" hidden="1" customHeight="1">
      <c r="B5" s="23931"/>
      <c r="C5" s="1093"/>
      <c r="D5" s="1564"/>
      <c r="E5" s="482" t="str">
        <f>B2&amp;".2"</f>
        <v>.2</v>
      </c>
      <c r="F5" s="489" t="s">
        <v>801</v>
      </c>
      <c r="G5" s="1572" t="s">
        <v>802</v>
      </c>
      <c r="H5" s="477"/>
      <c r="I5" s="477"/>
      <c r="J5" s="225"/>
      <c r="K5" s="479"/>
      <c r="AF5" s="1557">
        <v>0</v>
      </c>
    </row>
    <row r="6" spans="1:32" ht="18.75" hidden="1" customHeight="1">
      <c r="B6" s="23931"/>
      <c r="C6" s="1093"/>
      <c r="D6" s="1564"/>
      <c r="E6" s="482" t="str">
        <f>B2&amp;".3"</f>
        <v>.3</v>
      </c>
      <c r="F6" s="489" t="s">
        <v>803</v>
      </c>
      <c r="G6" s="1572" t="s">
        <v>802</v>
      </c>
      <c r="H6" s="477"/>
      <c r="I6" s="477"/>
      <c r="J6" s="225"/>
      <c r="K6" s="479"/>
      <c r="AF6" s="1557">
        <v>0</v>
      </c>
    </row>
    <row r="7" spans="1:32" ht="18.75" hidden="1" customHeight="1">
      <c r="B7" s="23931"/>
      <c r="C7" s="1093"/>
      <c r="D7" s="1564"/>
      <c r="E7" s="482" t="str">
        <f>B2&amp;".4"</f>
        <v>.4</v>
      </c>
      <c r="F7" s="489" t="s">
        <v>804</v>
      </c>
      <c r="G7" s="1572" t="s">
        <v>796</v>
      </c>
      <c r="H7" s="491"/>
      <c r="I7" s="491"/>
      <c r="J7" s="225"/>
      <c r="K7" s="479"/>
      <c r="AF7" s="1557">
        <v>0</v>
      </c>
    </row>
    <row r="8" spans="1:32" s="1292" customFormat="1" ht="11.25" hidden="1" customHeight="1">
      <c r="A8" s="916"/>
      <c r="C8" s="1562"/>
      <c r="D8" s="473"/>
      <c r="H8" s="1086">
        <v>4</v>
      </c>
      <c r="I8" s="1086">
        <v>4</v>
      </c>
      <c r="L8" s="1562"/>
      <c r="M8" s="1562"/>
      <c r="R8" s="1562"/>
      <c r="AF8" s="1086">
        <v>0</v>
      </c>
    </row>
    <row r="9" spans="1:32" s="1292" customFormat="1" ht="22.5" hidden="1" customHeight="1">
      <c r="A9" s="916"/>
      <c r="C9" s="1562"/>
      <c r="D9" s="474"/>
      <c r="E9" s="1574"/>
      <c r="F9" s="476"/>
      <c r="G9" s="1572" t="s">
        <v>802</v>
      </c>
      <c r="H9" s="477"/>
      <c r="I9" s="477"/>
      <c r="J9" s="478" t="s">
        <v>805</v>
      </c>
      <c r="K9" s="479"/>
      <c r="L9" s="1562"/>
      <c r="M9" s="1562"/>
      <c r="R9" s="1562"/>
      <c r="U9" s="480"/>
      <c r="AA9" s="1558"/>
      <c r="AB9" s="1558"/>
      <c r="AC9" s="1558"/>
      <c r="AD9" s="1558"/>
      <c r="AE9" s="1558"/>
      <c r="AF9" s="1086">
        <v>0</v>
      </c>
    </row>
    <row r="10" spans="1:32" ht="11.25" hidden="1" customHeight="1">
      <c r="AF10" s="1557">
        <v>0</v>
      </c>
    </row>
    <row r="11" spans="1:32" ht="18.75" hidden="1" customHeight="1">
      <c r="D11" s="1564"/>
      <c r="E11" s="482"/>
      <c r="F11" s="476"/>
      <c r="G11" s="1572" t="s">
        <v>806</v>
      </c>
      <c r="H11" s="477"/>
      <c r="I11" s="477"/>
      <c r="J11" s="225" t="s">
        <v>807</v>
      </c>
      <c r="K11" s="479"/>
      <c r="AF11" s="1557">
        <v>0</v>
      </c>
    </row>
    <row r="12" spans="1:32" ht="11.25" hidden="1" customHeight="1">
      <c r="AF12" s="1557">
        <v>0</v>
      </c>
    </row>
    <row r="13" spans="1:32" ht="22.5" hidden="1" customHeight="1">
      <c r="D13" s="1564"/>
      <c r="E13" s="482"/>
      <c r="F13" s="476"/>
      <c r="G13" s="898" t="s">
        <v>808</v>
      </c>
      <c r="H13" s="481"/>
      <c r="I13" s="481"/>
      <c r="J13" s="681" t="s">
        <v>809</v>
      </c>
      <c r="K13" s="479"/>
      <c r="AF13" s="1557">
        <v>0</v>
      </c>
    </row>
    <row r="14" spans="1:32" ht="11.25" hidden="1" customHeight="1">
      <c r="AF14" s="1557">
        <v>0</v>
      </c>
    </row>
    <row r="15" spans="1:32" ht="22.5" hidden="1" customHeight="1">
      <c r="D15" s="1564"/>
      <c r="E15" s="482"/>
      <c r="F15" s="476"/>
      <c r="G15" s="1572" t="s">
        <v>810</v>
      </c>
      <c r="H15" s="481"/>
      <c r="I15" s="481"/>
      <c r="J15" s="225" t="s">
        <v>811</v>
      </c>
      <c r="K15" s="479"/>
      <c r="AF15" s="1557">
        <v>0</v>
      </c>
    </row>
    <row r="16" spans="1:32" ht="11.25" hidden="1" customHeight="1">
      <c r="AF16" s="1557">
        <v>0</v>
      </c>
    </row>
    <row r="17" spans="1:32" ht="22.5" hidden="1" customHeight="1">
      <c r="D17" s="1564"/>
      <c r="E17" s="482"/>
      <c r="F17" s="476"/>
      <c r="G17" s="1572" t="s">
        <v>812</v>
      </c>
      <c r="H17" s="481"/>
      <c r="I17" s="481"/>
      <c r="J17" s="225" t="s">
        <v>813</v>
      </c>
      <c r="K17" s="479"/>
      <c r="AF17" s="1557">
        <v>0</v>
      </c>
    </row>
    <row r="18" spans="1:32" ht="11.25" hidden="1" customHeight="1">
      <c r="AF18" s="1557">
        <v>0</v>
      </c>
    </row>
    <row r="19" spans="1:32" s="1558" customFormat="1" ht="11.25" hidden="1" customHeight="1">
      <c r="A19" s="916"/>
      <c r="B19" s="1086"/>
      <c r="C19" s="1562"/>
      <c r="D19" s="298"/>
      <c r="J19" s="1558">
        <v>4</v>
      </c>
      <c r="K19" s="1086"/>
      <c r="L19" s="1562"/>
      <c r="M19" s="1562"/>
      <c r="N19" s="1086"/>
      <c r="O19" s="1086"/>
      <c r="P19" s="1086"/>
      <c r="Q19" s="1086"/>
      <c r="R19" s="1562"/>
      <c r="S19" s="1086"/>
      <c r="T19" s="1086"/>
      <c r="U19" s="480"/>
      <c r="V19" s="1086"/>
      <c r="W19" s="1086"/>
      <c r="X19" s="1086"/>
      <c r="Y19" s="1086"/>
      <c r="Z19" s="1086"/>
      <c r="AF19" s="1558">
        <v>0</v>
      </c>
    </row>
    <row r="20" spans="1:32" ht="11.45" customHeight="1">
      <c r="AF20" s="1557">
        <v>11</v>
      </c>
    </row>
    <row r="21" spans="1:32" ht="25.15" customHeight="1">
      <c r="E21" s="24069"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4069"/>
      <c r="G21" s="24069"/>
      <c r="H21" s="24069"/>
      <c r="I21" s="24069"/>
      <c r="J21" s="492"/>
      <c r="AF21" s="1557">
        <v>24</v>
      </c>
    </row>
    <row r="22" spans="1:32" ht="25.15" customHeight="1">
      <c r="E22" s="24042" t="str">
        <f>IF(org=0,"Не определено",org)</f>
        <v>ООО "Смоленскрегионтеплоэнерго"</v>
      </c>
      <c r="F22" s="24042"/>
      <c r="G22" s="24042"/>
      <c r="H22" s="24042"/>
      <c r="I22" s="24042"/>
      <c r="AF22" s="1557">
        <v>24</v>
      </c>
    </row>
    <row r="23" spans="1:32" ht="11.45" customHeight="1">
      <c r="E23" s="1061"/>
      <c r="F23" s="1061"/>
      <c r="G23" s="1061"/>
      <c r="H23" s="1061"/>
      <c r="I23" s="1061"/>
      <c r="AF23" s="1557">
        <v>11</v>
      </c>
    </row>
    <row r="24" spans="1:32" s="1568" customFormat="1" ht="1.1499999999999999" customHeight="1">
      <c r="A24" s="1093"/>
      <c r="H24" s="818"/>
      <c r="I24" s="818" t="s">
        <v>223</v>
      </c>
      <c r="AF24" s="1562">
        <v>1</v>
      </c>
    </row>
    <row r="25" spans="1:32" ht="11.45" customHeight="1">
      <c r="E25" s="647"/>
      <c r="F25" s="24213" t="s">
        <v>214</v>
      </c>
      <c r="G25" s="24214"/>
      <c r="H25" s="1578" t="str">
        <f>IF(H24="","",INDEX(DIFFERENTIATION_UNMERGE_VD,MATCH(H24,DIFFERENTIATION_ID_DIFF,0)))</f>
        <v/>
      </c>
      <c r="I25" s="1578">
        <f>IF(I24="","",INDEX(DIFFERENTIATION_UNMERGE_VD,MATCH(I24,DIFFERENTIATION_ID_DIFF,0)))</f>
        <v>0</v>
      </c>
      <c r="J25" s="23947"/>
      <c r="AF25" s="1557">
        <v>11</v>
      </c>
    </row>
    <row r="26" spans="1:32" ht="11.45" customHeight="1">
      <c r="E26" s="647"/>
      <c r="F26" s="24213" t="s">
        <v>814</v>
      </c>
      <c r="G26" s="24214"/>
      <c r="H26" s="1578" t="str">
        <f>IF(H24="","",INDEX(DIFFERENTIATION_UNMERGE_AREA,MATCH(H24,DIFFERENTIATION_ID_DIFF,0)))</f>
        <v/>
      </c>
      <c r="I26" s="1578" t="str">
        <f>IF(I24="","",INDEX(DIFFERENTIATION_UNMERGE_AREA,MATCH(I24,DIFFERENTIATION_ID_DIFF,0)))</f>
        <v/>
      </c>
      <c r="J26" s="23947"/>
      <c r="AF26" s="1557">
        <v>11</v>
      </c>
    </row>
    <row r="27" spans="1:32" ht="11.45" customHeight="1">
      <c r="E27" s="647"/>
      <c r="F27" s="24213" t="s">
        <v>815</v>
      </c>
      <c r="G27" s="24214"/>
      <c r="H27" s="1578" t="str">
        <f>IF(H24="","",INDEX(DIFFERENTIATION_UNMERGE_SYSTEM,MATCH(H24,DIFFERENTIATION_ID_DIFF,0)))</f>
        <v/>
      </c>
      <c r="I27" s="1578" t="str">
        <f>IF(I24="","",INDEX(DIFFERENTIATION_UNMERGE_SYSTEM,MATCH(I24,DIFFERENTIATION_ID_DIFF,0)))</f>
        <v>без дифференциации</v>
      </c>
      <c r="J27" s="23947"/>
      <c r="AF27" s="1557">
        <v>11</v>
      </c>
    </row>
    <row r="28" spans="1:32" ht="11.45" customHeight="1">
      <c r="E28" s="24215" t="s">
        <v>529</v>
      </c>
      <c r="F28" s="24216"/>
      <c r="G28" s="24216"/>
      <c r="H28" s="1571"/>
      <c r="I28" s="1571"/>
      <c r="J28" s="23947"/>
      <c r="AF28" s="1557">
        <v>11</v>
      </c>
    </row>
    <row r="29" spans="1:32" ht="24" customHeight="1">
      <c r="E29" s="1572" t="s">
        <v>79</v>
      </c>
      <c r="F29" s="1579" t="s">
        <v>531</v>
      </c>
      <c r="G29" s="1579" t="s">
        <v>816</v>
      </c>
      <c r="H29" s="1579" t="s">
        <v>532</v>
      </c>
      <c r="I29" s="1579" t="s">
        <v>532</v>
      </c>
      <c r="J29" s="23947"/>
      <c r="AF29" s="1557">
        <v>23</v>
      </c>
    </row>
    <row r="30" spans="1:32" ht="19.899999999999999" customHeight="1">
      <c r="D30" s="1564"/>
      <c r="E30" s="482">
        <f>FHD_NUM_P_1</f>
        <v>1</v>
      </c>
      <c r="F30" s="1777" t="str">
        <f>FHD_P_1</f>
        <v>Выручка от регулируемых видов деятельности в сфере горячего водоснабжения</v>
      </c>
      <c r="G30" s="1775" t="s">
        <v>802</v>
      </c>
      <c r="H30" s="493"/>
      <c r="I30" s="493"/>
      <c r="J30" s="225" t="str">
        <f>FHD_NOTE_P_1</f>
        <v>Указывается выручка с распределением по видам деятельности.</v>
      </c>
      <c r="K30" s="479"/>
      <c r="AF30" s="1557">
        <v>19</v>
      </c>
    </row>
    <row r="31" spans="1:32" ht="11.45" customHeight="1">
      <c r="D31" s="1564"/>
      <c r="E31" s="482">
        <f>FHD_NUM_P_2</f>
        <v>2</v>
      </c>
      <c r="F31" s="1777" t="str">
        <f>FHD_P_2</f>
        <v>Себестоимость производимых товаров (оказываемых услуг) по регулируемым видам деятельности в сфере горячего водоснабжения, включая:</v>
      </c>
      <c r="G31" s="1775" t="s">
        <v>802</v>
      </c>
      <c r="H31" s="494">
        <f>SUMIF($K33:$K71,$K31,H33:H71)</f>
        <v>0</v>
      </c>
      <c r="I31" s="494">
        <f>SUMIF($K33:$K71,$K31,I33:I71)</f>
        <v>0</v>
      </c>
      <c r="J31" s="225" t="str">
        <f>FHD_NOTE_P_2</f>
        <v>Указывается суммарная себестоимость производимых товаров.</v>
      </c>
      <c r="K31" s="1562" t="s">
        <v>817</v>
      </c>
      <c r="AF31" s="1557">
        <v>11</v>
      </c>
    </row>
    <row r="32" spans="1:32" ht="11.45" customHeight="1">
      <c r="D32" s="1564"/>
      <c r="E32" s="482" t="str">
        <f>FHD_NUM_P_3</f>
        <v>2.1</v>
      </c>
      <c r="F32" s="1450" t="str">
        <f>FHD_P_3</f>
        <v>Расходы на приобретаемую тепловую энергию (мощность), используемую для горячего водоснабжения</v>
      </c>
      <c r="G32" s="1775" t="s">
        <v>802</v>
      </c>
      <c r="H32" s="493"/>
      <c r="I32" s="493"/>
      <c r="J32" s="225" t="str">
        <f>FHD_NOTE_P_3</f>
        <v/>
      </c>
      <c r="K32" s="1562" t="str">
        <f t="shared" ref="K32:K70" si="0">IF((LEN(E32)-LEN(SUBSTITUTE(E32,".","")))/LEN(".")=1,"p","")</f>
        <v>p</v>
      </c>
      <c r="AF32" s="1557">
        <v>11</v>
      </c>
    </row>
    <row r="33" spans="1:32" ht="11.25" hidden="1" customHeight="1">
      <c r="A33" s="24211" t="s">
        <v>818</v>
      </c>
      <c r="D33" s="1564"/>
      <c r="E33" s="482" t="str">
        <f>FHD_NUM_P_4</f>
        <v/>
      </c>
      <c r="F33" s="1450" t="str">
        <f>FHD_P_4</f>
        <v/>
      </c>
      <c r="G33" s="1775" t="s">
        <v>802</v>
      </c>
      <c r="H33" s="494">
        <f>SUMIF($F34:$F40,$F3,H34:H40)</f>
        <v>0</v>
      </c>
      <c r="I33" s="494">
        <f>SUMIF($F34:$F40,$F3,I34:I40)</f>
        <v>0</v>
      </c>
      <c r="J33" s="225" t="str">
        <f>FHD_NOTE_P_4</f>
        <v/>
      </c>
      <c r="K33" s="1562" t="str">
        <f t="shared" si="0"/>
        <v/>
      </c>
      <c r="AF33" s="1557">
        <v>0</v>
      </c>
    </row>
    <row r="34" spans="1:32" s="1567" customFormat="1" ht="0.75" hidden="1" customHeight="1">
      <c r="A34" s="24211"/>
      <c r="B34" s="24212" t="str">
        <f>E33&amp;".0"</f>
        <v>.0</v>
      </c>
      <c r="C34" s="1093"/>
      <c r="D34" s="496"/>
      <c r="E34" s="497"/>
      <c r="F34" s="498"/>
      <c r="G34" s="499"/>
      <c r="H34" s="433"/>
      <c r="I34" s="433"/>
      <c r="J34" s="500"/>
      <c r="K34" s="1562" t="str">
        <f t="shared" si="0"/>
        <v/>
      </c>
      <c r="L34" s="1562"/>
      <c r="M34" s="1562"/>
      <c r="N34" s="1562"/>
      <c r="O34" s="1562"/>
      <c r="P34" s="1562"/>
      <c r="Q34" s="1562"/>
      <c r="R34" s="1562"/>
      <c r="S34" s="1562"/>
      <c r="T34" s="1562"/>
      <c r="U34" s="501"/>
      <c r="V34" s="1562"/>
      <c r="W34" s="1562"/>
      <c r="X34" s="1562"/>
      <c r="Y34" s="1562"/>
      <c r="Z34" s="1562"/>
      <c r="AA34" s="502"/>
      <c r="AB34" s="502"/>
      <c r="AC34" s="502"/>
      <c r="AD34" s="502"/>
      <c r="AE34" s="502"/>
      <c r="AF34" s="1567">
        <v>0</v>
      </c>
    </row>
    <row r="35" spans="1:32" s="1567" customFormat="1" ht="0.75" hidden="1" customHeight="1">
      <c r="A35" s="24211"/>
      <c r="B35" s="24212"/>
      <c r="C35" s="1093"/>
      <c r="D35" s="496"/>
      <c r="E35" s="503"/>
      <c r="F35" s="504"/>
      <c r="G35" s="499"/>
      <c r="H35" s="505"/>
      <c r="I35" s="505"/>
      <c r="J35" s="500"/>
      <c r="K35" s="1562" t="str">
        <f t="shared" si="0"/>
        <v/>
      </c>
      <c r="L35" s="1562"/>
      <c r="M35" s="1562"/>
      <c r="N35" s="1562"/>
      <c r="O35" s="1562"/>
      <c r="P35" s="1562"/>
      <c r="Q35" s="1562"/>
      <c r="R35" s="1562"/>
      <c r="S35" s="1562"/>
      <c r="T35" s="1562"/>
      <c r="U35" s="501"/>
      <c r="V35" s="1562"/>
      <c r="W35" s="1562"/>
      <c r="X35" s="1562"/>
      <c r="Y35" s="1562"/>
      <c r="Z35" s="1562"/>
      <c r="AA35" s="502"/>
      <c r="AB35" s="502"/>
      <c r="AC35" s="502"/>
      <c r="AD35" s="502"/>
      <c r="AE35" s="502"/>
      <c r="AF35" s="1567">
        <v>0</v>
      </c>
    </row>
    <row r="36" spans="1:32" s="1567" customFormat="1" ht="0.75" hidden="1" customHeight="1">
      <c r="A36" s="24211"/>
      <c r="B36" s="24212"/>
      <c r="C36" s="1093"/>
      <c r="D36" s="496"/>
      <c r="E36" s="503"/>
      <c r="F36" s="504"/>
      <c r="G36" s="499"/>
      <c r="H36" s="505"/>
      <c r="I36" s="505"/>
      <c r="J36" s="500"/>
      <c r="K36" s="1562" t="str">
        <f t="shared" si="0"/>
        <v/>
      </c>
      <c r="L36" s="1562"/>
      <c r="M36" s="1562"/>
      <c r="N36" s="1562"/>
      <c r="O36" s="1562"/>
      <c r="P36" s="1562"/>
      <c r="Q36" s="1562"/>
      <c r="R36" s="1562"/>
      <c r="S36" s="1562"/>
      <c r="T36" s="1562"/>
      <c r="U36" s="501"/>
      <c r="V36" s="1562"/>
      <c r="W36" s="1562"/>
      <c r="X36" s="1562"/>
      <c r="Y36" s="1562"/>
      <c r="Z36" s="1562"/>
      <c r="AA36" s="502"/>
      <c r="AB36" s="502"/>
      <c r="AC36" s="502"/>
      <c r="AD36" s="502"/>
      <c r="AE36" s="502"/>
      <c r="AF36" s="1567">
        <v>0</v>
      </c>
    </row>
    <row r="37" spans="1:32" s="1567" customFormat="1" ht="0.75" hidden="1" customHeight="1">
      <c r="A37" s="24211"/>
      <c r="B37" s="24212"/>
      <c r="C37" s="1093"/>
      <c r="D37" s="496"/>
      <c r="E37" s="503"/>
      <c r="F37" s="504"/>
      <c r="G37" s="499"/>
      <c r="H37" s="505"/>
      <c r="I37" s="505"/>
      <c r="J37" s="500"/>
      <c r="K37" s="1562" t="str">
        <f t="shared" si="0"/>
        <v/>
      </c>
      <c r="L37" s="1562"/>
      <c r="M37" s="1562"/>
      <c r="N37" s="1562"/>
      <c r="O37" s="1562"/>
      <c r="P37" s="1562"/>
      <c r="Q37" s="1562"/>
      <c r="R37" s="1562"/>
      <c r="S37" s="1562"/>
      <c r="T37" s="1562"/>
      <c r="U37" s="501"/>
      <c r="V37" s="1562"/>
      <c r="W37" s="1562"/>
      <c r="X37" s="1562"/>
      <c r="Y37" s="1562"/>
      <c r="Z37" s="1562"/>
      <c r="AA37" s="502"/>
      <c r="AB37" s="502"/>
      <c r="AC37" s="502"/>
      <c r="AD37" s="502"/>
      <c r="AE37" s="502"/>
      <c r="AF37" s="1567">
        <v>0</v>
      </c>
    </row>
    <row r="38" spans="1:32" s="1567" customFormat="1" ht="0.75" hidden="1" customHeight="1">
      <c r="A38" s="24211"/>
      <c r="B38" s="24212"/>
      <c r="C38" s="1093"/>
      <c r="D38" s="496"/>
      <c r="E38" s="503"/>
      <c r="F38" s="504"/>
      <c r="G38" s="499"/>
      <c r="H38" s="505"/>
      <c r="I38" s="505"/>
      <c r="J38" s="500"/>
      <c r="K38" s="1562" t="str">
        <f t="shared" si="0"/>
        <v/>
      </c>
      <c r="L38" s="1562"/>
      <c r="M38" s="1562"/>
      <c r="N38" s="1562"/>
      <c r="O38" s="1562"/>
      <c r="P38" s="1562"/>
      <c r="Q38" s="1562"/>
      <c r="R38" s="1562"/>
      <c r="S38" s="1562"/>
      <c r="T38" s="1562"/>
      <c r="U38" s="501"/>
      <c r="V38" s="1562"/>
      <c r="W38" s="1562"/>
      <c r="X38" s="1562"/>
      <c r="Y38" s="1562"/>
      <c r="Z38" s="1562"/>
      <c r="AA38" s="502"/>
      <c r="AB38" s="502"/>
      <c r="AC38" s="502"/>
      <c r="AD38" s="502"/>
      <c r="AE38" s="502"/>
      <c r="AF38" s="1567">
        <v>0</v>
      </c>
    </row>
    <row r="39" spans="1:32" s="1567" customFormat="1" ht="0.75" hidden="1" customHeight="1">
      <c r="A39" s="24211"/>
      <c r="B39" s="24212"/>
      <c r="C39" s="1093"/>
      <c r="D39" s="496"/>
      <c r="E39" s="503"/>
      <c r="F39" s="504"/>
      <c r="G39" s="499"/>
      <c r="H39" s="433"/>
      <c r="I39" s="433"/>
      <c r="J39" s="500"/>
      <c r="K39" s="1562" t="str">
        <f t="shared" si="0"/>
        <v/>
      </c>
      <c r="L39" s="1562"/>
      <c r="M39" s="1562"/>
      <c r="N39" s="1562"/>
      <c r="O39" s="1562"/>
      <c r="P39" s="1562"/>
      <c r="Q39" s="1562"/>
      <c r="R39" s="1562"/>
      <c r="S39" s="1562"/>
      <c r="T39" s="1562"/>
      <c r="U39" s="501"/>
      <c r="V39" s="1562"/>
      <c r="W39" s="1562"/>
      <c r="X39" s="1562"/>
      <c r="Y39" s="1562"/>
      <c r="Z39" s="1562"/>
      <c r="AA39" s="502"/>
      <c r="AB39" s="502"/>
      <c r="AC39" s="502"/>
      <c r="AD39" s="502"/>
      <c r="AE39" s="502"/>
      <c r="AF39" s="1567">
        <v>0</v>
      </c>
    </row>
    <row r="40" spans="1:32" s="1292" customFormat="1" ht="15" hidden="1" customHeight="1">
      <c r="A40" s="24211"/>
      <c r="C40" s="1562"/>
      <c r="D40" s="1559"/>
      <c r="E40" s="506"/>
      <c r="F40" s="507" t="s">
        <v>819</v>
      </c>
      <c r="G40" s="508"/>
      <c r="H40" s="509"/>
      <c r="I40" s="509"/>
      <c r="J40" s="237"/>
      <c r="K40" s="1562" t="str">
        <f t="shared" si="0"/>
        <v/>
      </c>
      <c r="L40" s="1562"/>
      <c r="M40" s="1562"/>
      <c r="R40" s="1562"/>
      <c r="U40" s="480"/>
      <c r="AA40" s="1558"/>
      <c r="AB40" s="1558"/>
      <c r="AC40" s="1558"/>
      <c r="AD40" s="1558"/>
      <c r="AE40" s="1558"/>
      <c r="AF40" s="1086">
        <v>0</v>
      </c>
    </row>
    <row r="41" spans="1:32" ht="11.25" customHeight="1">
      <c r="A41" s="24211" t="s">
        <v>820</v>
      </c>
      <c r="D41" s="1564"/>
      <c r="E41" s="482" t="str">
        <f>FHD_NUM_P_5</f>
        <v>2.2</v>
      </c>
      <c r="F41" s="1450" t="str">
        <f>FHD_P_5</f>
        <v>Расходы на тепловую энергию, производимую с применением собственных источников и используемую для горячего водоснабжения</v>
      </c>
      <c r="G41" s="1775" t="s">
        <v>802</v>
      </c>
      <c r="H41" s="493"/>
      <c r="I41" s="493"/>
      <c r="J41" s="225" t="str">
        <f>FHD_NOTE_P_5</f>
        <v/>
      </c>
      <c r="K41" s="1562" t="str">
        <f t="shared" si="0"/>
        <v>p</v>
      </c>
      <c r="AF41" s="1557">
        <v>0</v>
      </c>
    </row>
    <row r="42" spans="1:32" ht="11.25" customHeight="1">
      <c r="A42" s="24211"/>
      <c r="D42" s="1564"/>
      <c r="E42" s="482" t="str">
        <f>FHD_NUM_P_6</f>
        <v>2.3</v>
      </c>
      <c r="F42" s="1450" t="str">
        <f>FHD_P_6</f>
        <v>Расходы на приобретаемую холодную воду, используемую для горячего водоснабжения</v>
      </c>
      <c r="G42" s="1775" t="s">
        <v>802</v>
      </c>
      <c r="H42" s="493"/>
      <c r="I42" s="493"/>
      <c r="J42" s="225" t="str">
        <f>FHD_NOTE_P_6</f>
        <v/>
      </c>
      <c r="K42" s="1562" t="str">
        <f t="shared" si="0"/>
        <v>p</v>
      </c>
      <c r="AF42" s="1557">
        <v>0</v>
      </c>
    </row>
    <row r="43" spans="1:32" ht="11.25" customHeight="1">
      <c r="A43" s="24211"/>
      <c r="D43" s="1564"/>
      <c r="E43" s="482" t="str">
        <f>FHD_NUM_P_7</f>
        <v>2.4</v>
      </c>
      <c r="F43" s="1450"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75" t="s">
        <v>802</v>
      </c>
      <c r="H43" s="493"/>
      <c r="I43" s="493"/>
      <c r="J43" s="225" t="str">
        <f>FHD_NOTE_P_7</f>
        <v/>
      </c>
      <c r="K43" s="1562" t="str">
        <f t="shared" si="0"/>
        <v>p</v>
      </c>
      <c r="AF43" s="1557">
        <v>0</v>
      </c>
    </row>
    <row r="44" spans="1:32" ht="11.45" customHeight="1">
      <c r="D44" s="1564"/>
      <c r="E44" s="482" t="str">
        <f>FHD_NUM_P_8</f>
        <v>2.5</v>
      </c>
      <c r="F44" s="1450" t="str">
        <f>FHD_P_8</f>
        <v>Расходы на приобретаемую электрическую энергию (мощность), используемую в технологическом процессе</v>
      </c>
      <c r="G44" s="1775" t="s">
        <v>802</v>
      </c>
      <c r="H44" s="493"/>
      <c r="I44" s="493"/>
      <c r="J44" s="225" t="str">
        <f>FHD_NOTE_P_8</f>
        <v/>
      </c>
      <c r="K44" s="1562" t="str">
        <f t="shared" si="0"/>
        <v>p</v>
      </c>
      <c r="AF44" s="1557">
        <v>11</v>
      </c>
    </row>
    <row r="45" spans="1:32" ht="11.45" customHeight="1">
      <c r="D45" s="1564"/>
      <c r="E45" s="482" t="str">
        <f>FHD_NUM_P_9</f>
        <v>2.5.1</v>
      </c>
      <c r="F45" s="1576" t="str">
        <f>FHD_P_9</f>
        <v>Средневзвешенная стоимость 1 кВт.ч (с учетом мощности)</v>
      </c>
      <c r="G45" s="1775" t="s">
        <v>821</v>
      </c>
      <c r="H45" s="493"/>
      <c r="I45" s="493"/>
      <c r="J45" s="225" t="str">
        <f>FHD_NOTE_P_9</f>
        <v/>
      </c>
      <c r="K45" s="1562" t="str">
        <f t="shared" si="0"/>
        <v/>
      </c>
      <c r="AF45" s="1557">
        <v>11</v>
      </c>
    </row>
    <row r="46" spans="1:32" s="1292" customFormat="1" ht="11.45" customHeight="1">
      <c r="A46" s="916"/>
      <c r="C46" s="1562"/>
      <c r="D46" s="510"/>
      <c r="E46" s="482" t="str">
        <f>FHD_NUM_P_10</f>
        <v>2.5.2</v>
      </c>
      <c r="F46" s="1576" t="str">
        <f>FHD_P_10</f>
        <v>Объём приобретения электрической энергии</v>
      </c>
      <c r="G46" s="1775" t="s">
        <v>822</v>
      </c>
      <c r="H46" s="493"/>
      <c r="I46" s="493"/>
      <c r="J46" s="225" t="str">
        <f>FHD_NOTE_P_10</f>
        <v/>
      </c>
      <c r="K46" s="1562" t="str">
        <f t="shared" si="0"/>
        <v/>
      </c>
      <c r="L46" s="1562"/>
      <c r="M46" s="1562"/>
      <c r="R46" s="1562"/>
      <c r="U46" s="480"/>
      <c r="AA46" s="1558"/>
      <c r="AB46" s="1558"/>
      <c r="AC46" s="1558"/>
      <c r="AD46" s="1558"/>
      <c r="AE46" s="1558"/>
      <c r="AF46" s="1086">
        <v>11</v>
      </c>
    </row>
    <row r="47" spans="1:32" s="1292" customFormat="1" ht="11.25" hidden="1" customHeight="1">
      <c r="A47" s="918" t="s">
        <v>823</v>
      </c>
      <c r="C47" s="1562"/>
      <c r="D47" s="511"/>
      <c r="E47" s="482" t="str">
        <f>FHD_NUM_P_11</f>
        <v/>
      </c>
      <c r="F47" s="1450" t="str">
        <f>FHD_P_11</f>
        <v/>
      </c>
      <c r="G47" s="1775" t="s">
        <v>802</v>
      </c>
      <c r="H47" s="493"/>
      <c r="I47" s="493"/>
      <c r="J47" s="225" t="str">
        <f>FHD_NOTE_P_11</f>
        <v/>
      </c>
      <c r="K47" s="1562" t="str">
        <f t="shared" si="0"/>
        <v/>
      </c>
      <c r="L47" s="1562"/>
      <c r="M47" s="1562"/>
      <c r="R47" s="1562"/>
      <c r="U47" s="480"/>
      <c r="AA47" s="1558"/>
      <c r="AB47" s="1558"/>
      <c r="AC47" s="1558"/>
      <c r="AD47" s="1558"/>
      <c r="AE47" s="1558"/>
      <c r="AF47" s="1086">
        <v>0</v>
      </c>
    </row>
    <row r="48" spans="1:32" s="1292" customFormat="1" ht="18.75" hidden="1" customHeight="1">
      <c r="A48" s="918" t="s">
        <v>824</v>
      </c>
      <c r="C48" s="1562"/>
      <c r="D48" s="1564"/>
      <c r="E48" s="482" t="str">
        <f>FHD_NUM_P_12</f>
        <v/>
      </c>
      <c r="F48" s="1450" t="str">
        <f>FHD_P_12</f>
        <v/>
      </c>
      <c r="G48" s="1775" t="s">
        <v>802</v>
      </c>
      <c r="H48" s="513"/>
      <c r="I48" s="513"/>
      <c r="J48" s="225" t="str">
        <f>FHD_NOTE_P_12</f>
        <v/>
      </c>
      <c r="K48" s="1562" t="str">
        <f t="shared" si="0"/>
        <v/>
      </c>
      <c r="L48" s="1562"/>
      <c r="M48" s="1562"/>
      <c r="R48" s="1562"/>
      <c r="U48" s="480"/>
      <c r="AA48" s="1558"/>
      <c r="AB48" s="1558"/>
      <c r="AC48" s="1558"/>
      <c r="AD48" s="1558"/>
      <c r="AE48" s="1558"/>
      <c r="AF48" s="1086">
        <v>18</v>
      </c>
    </row>
    <row r="49" spans="1:32"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75" t="s">
        <v>802</v>
      </c>
      <c r="H49" s="493"/>
      <c r="I49" s="493"/>
      <c r="J49" s="225" t="str">
        <f>FHD_NOTE_P_13</f>
        <v>Указывается общая сумма расходов на оплату труда и отчислений на социальные нужды основного производственного персонала.</v>
      </c>
      <c r="K49" s="1562" t="str">
        <f t="shared" si="0"/>
        <v>p</v>
      </c>
      <c r="L49" s="666"/>
      <c r="M49" s="666"/>
      <c r="R49" s="666"/>
      <c r="U49" s="667"/>
      <c r="AA49" s="668"/>
      <c r="AB49" s="668"/>
      <c r="AC49" s="668"/>
      <c r="AD49" s="668"/>
      <c r="AE49" s="668"/>
      <c r="AF49" s="665">
        <v>11</v>
      </c>
    </row>
    <row r="50" spans="1:32" s="1291" customFormat="1" ht="11.45" customHeight="1">
      <c r="A50" s="917"/>
      <c r="C50" s="666"/>
      <c r="D50" s="609"/>
      <c r="E50" s="482" t="str">
        <f>FHD_NUM_P_14</f>
        <v>2.6.1</v>
      </c>
      <c r="F50" s="1576" t="str">
        <f>FHD_P_14</f>
        <v>Расходы на оплату труда основного производственного персонала</v>
      </c>
      <c r="G50" s="1775" t="s">
        <v>802</v>
      </c>
      <c r="H50" s="493"/>
      <c r="I50" s="493"/>
      <c r="J50" s="225" t="str">
        <f>FHD_NOTE_P_14</f>
        <v/>
      </c>
      <c r="K50" s="1562" t="str">
        <f t="shared" si="0"/>
        <v/>
      </c>
      <c r="L50" s="666"/>
      <c r="M50" s="666"/>
      <c r="R50" s="666"/>
      <c r="U50" s="667"/>
      <c r="AA50" s="668"/>
      <c r="AB50" s="668"/>
      <c r="AC50" s="668"/>
      <c r="AD50" s="668"/>
      <c r="AE50" s="668"/>
      <c r="AF50" s="665">
        <v>11</v>
      </c>
    </row>
    <row r="51" spans="1:32"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775" t="s">
        <v>802</v>
      </c>
      <c r="H51" s="493"/>
      <c r="I51" s="493"/>
      <c r="J51" s="225" t="str">
        <f>FHD_NOTE_P_15</f>
        <v/>
      </c>
      <c r="K51" s="1562" t="str">
        <f t="shared" si="0"/>
        <v/>
      </c>
      <c r="L51" s="666"/>
      <c r="M51" s="666"/>
      <c r="R51" s="666"/>
      <c r="U51" s="667"/>
      <c r="AA51" s="668"/>
      <c r="AB51" s="668"/>
      <c r="AC51" s="668"/>
      <c r="AD51" s="668"/>
      <c r="AE51" s="668"/>
      <c r="AF51" s="665">
        <v>11</v>
      </c>
    </row>
    <row r="52" spans="1:32"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75" t="s">
        <v>802</v>
      </c>
      <c r="H52" s="493"/>
      <c r="I52" s="493"/>
      <c r="J52" s="225" t="str">
        <f>FHD_NOTE_P_16</f>
        <v>Указывается общая сумма расходов на оплату труда и отчислений на социальные нужды административно-управленческого персонала.</v>
      </c>
      <c r="K52" s="1562" t="str">
        <f t="shared" si="0"/>
        <v>p</v>
      </c>
      <c r="L52" s="1562"/>
      <c r="M52" s="1568"/>
      <c r="N52" s="473"/>
      <c r="O52" s="473"/>
      <c r="R52" s="1562"/>
      <c r="U52" s="480"/>
      <c r="AA52" s="1558"/>
      <c r="AB52" s="1558"/>
      <c r="AC52" s="1558"/>
      <c r="AD52" s="1558"/>
      <c r="AE52" s="1558"/>
      <c r="AF52" s="1086">
        <v>11</v>
      </c>
    </row>
    <row r="53" spans="1:32"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775" t="s">
        <v>802</v>
      </c>
      <c r="H53" s="493"/>
      <c r="I53" s="493"/>
      <c r="J53" s="225" t="str">
        <f>FHD_NOTE_P_17</f>
        <v/>
      </c>
      <c r="K53" s="1562" t="str">
        <f t="shared" si="0"/>
        <v/>
      </c>
      <c r="L53" s="1562"/>
      <c r="M53" s="1568"/>
      <c r="N53" s="473"/>
      <c r="O53" s="473"/>
      <c r="R53" s="1562"/>
      <c r="U53" s="480"/>
      <c r="AA53" s="1558"/>
      <c r="AB53" s="1558"/>
      <c r="AC53" s="1558"/>
      <c r="AD53" s="1558"/>
      <c r="AE53" s="1558"/>
      <c r="AF53" s="1086">
        <v>11</v>
      </c>
    </row>
    <row r="54" spans="1:32"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75" t="s">
        <v>802</v>
      </c>
      <c r="H54" s="493"/>
      <c r="I54" s="493"/>
      <c r="J54" s="225" t="str">
        <f>FHD_NOTE_P_18</f>
        <v/>
      </c>
      <c r="K54" s="1562" t="str">
        <f t="shared" si="0"/>
        <v/>
      </c>
      <c r="L54" s="1562"/>
      <c r="M54" s="1568"/>
      <c r="N54" s="473"/>
      <c r="O54" s="473"/>
      <c r="R54" s="1562"/>
      <c r="U54" s="480"/>
      <c r="AA54" s="1558"/>
      <c r="AB54" s="1558"/>
      <c r="AC54" s="1558"/>
      <c r="AD54" s="1558"/>
      <c r="AE54" s="1558"/>
      <c r="AF54" s="1086">
        <v>11</v>
      </c>
    </row>
    <row r="55" spans="1:32"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775" t="s">
        <v>802</v>
      </c>
      <c r="H55" s="493"/>
      <c r="I55" s="493"/>
      <c r="J55" s="225" t="str">
        <f>FHD_NOTE_P_19</f>
        <v/>
      </c>
      <c r="K55" s="1562" t="str">
        <f t="shared" si="0"/>
        <v>p</v>
      </c>
      <c r="L55" s="1562"/>
      <c r="M55" s="1562"/>
      <c r="R55" s="1562"/>
      <c r="U55" s="480"/>
      <c r="AA55" s="1558"/>
      <c r="AB55" s="1558"/>
      <c r="AC55" s="1558"/>
      <c r="AD55" s="1558"/>
      <c r="AE55" s="1558"/>
      <c r="AF55" s="1086">
        <v>11</v>
      </c>
    </row>
    <row r="56" spans="1:32" s="1292" customFormat="1" ht="11.45" customHeight="1">
      <c r="A56" s="916"/>
      <c r="C56" s="1562"/>
      <c r="D56" s="511"/>
      <c r="E56" s="482" t="str">
        <f>FHD_NUM_P_20</f>
        <v>2.8.1</v>
      </c>
      <c r="F56" s="1576" t="str">
        <f>FHD_P_20</f>
        <v>Расходы на амортизацию основных средств</v>
      </c>
      <c r="G56" s="1775" t="s">
        <v>802</v>
      </c>
      <c r="H56" s="493"/>
      <c r="I56" s="493"/>
      <c r="J56" s="225" t="str">
        <f>FHD_NOTE_P_20</f>
        <v/>
      </c>
      <c r="K56" s="1562" t="str">
        <f t="shared" si="0"/>
        <v/>
      </c>
      <c r="L56" s="1562"/>
      <c r="M56" s="1562"/>
      <c r="R56" s="1562"/>
      <c r="U56" s="480"/>
      <c r="AA56" s="1558"/>
      <c r="AB56" s="1558"/>
      <c r="AC56" s="1558"/>
      <c r="AD56" s="1558"/>
      <c r="AE56" s="1558"/>
      <c r="AF56" s="1086">
        <v>11</v>
      </c>
    </row>
    <row r="57" spans="1:32" s="1292" customFormat="1" ht="11.45" customHeight="1">
      <c r="A57" s="916"/>
      <c r="C57" s="1562"/>
      <c r="D57" s="511"/>
      <c r="E57" s="482" t="str">
        <f>FHD_NUM_P_21</f>
        <v>2.8.2</v>
      </c>
      <c r="F57" s="1576" t="str">
        <f>FHD_P_21</f>
        <v>Расходы на амортизацию нематериальных активов</v>
      </c>
      <c r="G57" s="1775" t="s">
        <v>802</v>
      </c>
      <c r="H57" s="493"/>
      <c r="I57" s="493"/>
      <c r="J57" s="225" t="str">
        <f>FHD_NOTE_P_21</f>
        <v/>
      </c>
      <c r="K57" s="1562" t="str">
        <f t="shared" si="0"/>
        <v/>
      </c>
      <c r="L57" s="1562"/>
      <c r="M57" s="1562"/>
      <c r="R57" s="1562"/>
      <c r="U57" s="480"/>
      <c r="AA57" s="1558"/>
      <c r="AB57" s="1558"/>
      <c r="AC57" s="1558"/>
      <c r="AD57" s="1558"/>
      <c r="AE57" s="1558"/>
      <c r="AF57" s="1086">
        <v>11</v>
      </c>
    </row>
    <row r="58" spans="1:32"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регулируемых видов деятельности в сфере горячего водоснабжения</v>
      </c>
      <c r="G58" s="1775" t="s">
        <v>802</v>
      </c>
      <c r="H58" s="493"/>
      <c r="I58" s="493"/>
      <c r="J58" s="225" t="str">
        <f>FHD_NOTE_P_22</f>
        <v/>
      </c>
      <c r="K58" s="1562" t="str">
        <f t="shared" si="0"/>
        <v>p</v>
      </c>
      <c r="L58" s="1562"/>
      <c r="M58" s="1562"/>
      <c r="R58" s="1562"/>
      <c r="U58" s="480"/>
      <c r="AA58" s="1558"/>
      <c r="AB58" s="1558"/>
      <c r="AC58" s="1558"/>
      <c r="AD58" s="1558"/>
      <c r="AE58" s="1558"/>
      <c r="AF58" s="1086">
        <v>11</v>
      </c>
    </row>
    <row r="59" spans="1:32" s="1292" customFormat="1" ht="11.45" customHeight="1">
      <c r="A59" s="916"/>
      <c r="C59" s="1562"/>
      <c r="D59" s="511"/>
      <c r="E59" s="482" t="str">
        <f>FHD_NUM_P_23</f>
        <v>2.10</v>
      </c>
      <c r="F59" s="1450" t="str">
        <f>FHD_P_23</f>
        <v>Общепроизводственные расходы, в том числе:</v>
      </c>
      <c r="G59" s="1775" t="s">
        <v>802</v>
      </c>
      <c r="H59" s="493"/>
      <c r="I59" s="493"/>
      <c r="J59" s="225" t="str">
        <f>FHD_NOTE_P_23</f>
        <v>Указывается общая сумма общепроизводственных расходов.</v>
      </c>
      <c r="K59" s="1562" t="str">
        <f t="shared" si="0"/>
        <v>p</v>
      </c>
      <c r="L59" s="1562"/>
      <c r="M59" s="1562"/>
      <c r="R59" s="1562"/>
      <c r="U59" s="480"/>
      <c r="AA59" s="1558"/>
      <c r="AB59" s="1558"/>
      <c r="AC59" s="1558"/>
      <c r="AD59" s="1558"/>
      <c r="AE59" s="1558"/>
      <c r="AF59" s="1086">
        <v>11</v>
      </c>
    </row>
    <row r="60" spans="1:32" s="1292" customFormat="1" ht="11.45" customHeight="1">
      <c r="A60" s="916"/>
      <c r="C60" s="1562"/>
      <c r="D60" s="511"/>
      <c r="E60" s="482" t="str">
        <f>FHD_NUM_P_24</f>
        <v>2.10.1</v>
      </c>
      <c r="F60" s="1576" t="str">
        <f>FHD_P_24</f>
        <v>Расходы на текущий ремонт</v>
      </c>
      <c r="G60" s="1775" t="s">
        <v>802</v>
      </c>
      <c r="H60" s="493"/>
      <c r="I60" s="493"/>
      <c r="J60" s="225" t="str">
        <f>FHD_NOTE_P_24</f>
        <v>Указываются расходы на текущий ремонт, отнесенные к общепроизводственным расходам.</v>
      </c>
      <c r="K60" s="1562" t="str">
        <f t="shared" si="0"/>
        <v/>
      </c>
      <c r="L60" s="1562"/>
      <c r="M60" s="1562"/>
      <c r="R60" s="1562"/>
      <c r="U60" s="480"/>
      <c r="AA60" s="1558"/>
      <c r="AB60" s="1558"/>
      <c r="AC60" s="1558"/>
      <c r="AD60" s="1558"/>
      <c r="AE60" s="1558"/>
      <c r="AF60" s="1086">
        <v>11</v>
      </c>
    </row>
    <row r="61" spans="1:32" s="1292" customFormat="1" ht="11.45" customHeight="1">
      <c r="A61" s="916"/>
      <c r="C61" s="1562"/>
      <c r="D61" s="511"/>
      <c r="E61" s="482" t="str">
        <f>FHD_NUM_P_25</f>
        <v>2.10.2</v>
      </c>
      <c r="F61" s="1576" t="str">
        <f>FHD_P_25</f>
        <v>Расходы на капитальный ремонт</v>
      </c>
      <c r="G61" s="1775" t="s">
        <v>802</v>
      </c>
      <c r="H61" s="493"/>
      <c r="I61" s="493"/>
      <c r="J61" s="225" t="str">
        <f>FHD_NOTE_P_25</f>
        <v>Указываются расходы на капитальный ремонт, отнесенные к общепроизводственным расходам.</v>
      </c>
      <c r="K61" s="1562" t="str">
        <f t="shared" si="0"/>
        <v/>
      </c>
      <c r="L61" s="1562"/>
      <c r="M61" s="1562"/>
      <c r="R61" s="1562"/>
      <c r="U61" s="480"/>
      <c r="AA61" s="1558"/>
      <c r="AB61" s="1558"/>
      <c r="AC61" s="1558"/>
      <c r="AD61" s="1558"/>
      <c r="AE61" s="1558"/>
      <c r="AF61" s="1086">
        <v>11</v>
      </c>
    </row>
    <row r="62" spans="1:32" s="1292" customFormat="1" ht="11.45" customHeight="1">
      <c r="A62" s="916"/>
      <c r="C62" s="1562"/>
      <c r="D62" s="1564"/>
      <c r="E62" s="482" t="str">
        <f>FHD_NUM_P_26</f>
        <v>2.11</v>
      </c>
      <c r="F62" s="1450" t="str">
        <f>FHD_P_26</f>
        <v>Общехозяйственные расходы, в том числе:</v>
      </c>
      <c r="G62" s="1775" t="s">
        <v>802</v>
      </c>
      <c r="H62" s="493"/>
      <c r="I62" s="493"/>
      <c r="J62" s="225" t="str">
        <f>FHD_NOTE_P_26</f>
        <v>Указывается общая сумма общехозяйственных расходов.</v>
      </c>
      <c r="K62" s="1562" t="str">
        <f t="shared" si="0"/>
        <v>p</v>
      </c>
      <c r="L62" s="1562"/>
      <c r="M62" s="1562"/>
      <c r="R62" s="1562"/>
      <c r="U62" s="480"/>
      <c r="AA62" s="1558"/>
      <c r="AB62" s="1558"/>
      <c r="AC62" s="1558"/>
      <c r="AD62" s="1558"/>
      <c r="AE62" s="1558"/>
      <c r="AF62" s="1086">
        <v>11</v>
      </c>
    </row>
    <row r="63" spans="1:32" s="1292" customFormat="1" ht="11.45" customHeight="1">
      <c r="A63" s="916"/>
      <c r="C63" s="1562"/>
      <c r="D63" s="1564"/>
      <c r="E63" s="482" t="str">
        <f>FHD_NUM_P_27</f>
        <v>2.11.1</v>
      </c>
      <c r="F63" s="1576" t="str">
        <f>FHD_P_27</f>
        <v>Расходы на текущий ремонт</v>
      </c>
      <c r="G63" s="1775" t="s">
        <v>802</v>
      </c>
      <c r="H63" s="493"/>
      <c r="I63" s="493"/>
      <c r="J63" s="225" t="str">
        <f>FHD_NOTE_P_27</f>
        <v>Указываются расходы на текущий ремонт, отнесенные к общехозяйственным расходам.</v>
      </c>
      <c r="K63" s="1562" t="str">
        <f t="shared" si="0"/>
        <v/>
      </c>
      <c r="L63" s="1562"/>
      <c r="M63" s="1562"/>
      <c r="R63" s="1562"/>
      <c r="U63" s="480"/>
      <c r="AA63" s="1558"/>
      <c r="AB63" s="1558"/>
      <c r="AC63" s="1558"/>
      <c r="AD63" s="1558"/>
      <c r="AE63" s="1558"/>
      <c r="AF63" s="1086">
        <v>11</v>
      </c>
    </row>
    <row r="64" spans="1:32" s="1292" customFormat="1" ht="11.45" customHeight="1">
      <c r="A64" s="916"/>
      <c r="C64" s="1562"/>
      <c r="D64" s="1564"/>
      <c r="E64" s="482" t="str">
        <f>FHD_NUM_P_28</f>
        <v>2.11.2</v>
      </c>
      <c r="F64" s="1576" t="str">
        <f>FHD_P_28</f>
        <v>Расходы на капитальный ремонт</v>
      </c>
      <c r="G64" s="1775" t="s">
        <v>802</v>
      </c>
      <c r="H64" s="493"/>
      <c r="I64" s="493"/>
      <c r="J64" s="225" t="str">
        <f>FHD_NOTE_P_28</f>
        <v>Указываются расходы на капитальный ремонт, отнесенные к общехозяйственным расходам.</v>
      </c>
      <c r="K64" s="1562" t="str">
        <f t="shared" si="0"/>
        <v/>
      </c>
      <c r="L64" s="1562"/>
      <c r="M64" s="1562"/>
      <c r="R64" s="1562"/>
      <c r="U64" s="480"/>
      <c r="AA64" s="1558"/>
      <c r="AB64" s="1558"/>
      <c r="AC64" s="1558"/>
      <c r="AD64" s="1558"/>
      <c r="AE64" s="1558"/>
      <c r="AF64" s="1086">
        <v>11</v>
      </c>
    </row>
    <row r="65" spans="1:32" s="1292" customFormat="1" ht="11.45" customHeight="1">
      <c r="A65" s="916"/>
      <c r="C65" s="1562"/>
      <c r="D65" s="1564"/>
      <c r="E65" s="482" t="str">
        <f>FHD_NUM_P_29</f>
        <v>2.12</v>
      </c>
      <c r="F65" s="1450" t="str">
        <f>FHD_P_29</f>
        <v>Расходы на капитальный и текущий ремонт основных средств</v>
      </c>
      <c r="G65" s="1775" t="s">
        <v>802</v>
      </c>
      <c r="H65" s="493"/>
      <c r="I65" s="493"/>
      <c r="J65"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2" t="str">
        <f t="shared" si="0"/>
        <v>p</v>
      </c>
      <c r="L65" s="1562"/>
      <c r="M65" s="1562"/>
      <c r="R65" s="1562"/>
      <c r="U65" s="480"/>
      <c r="AA65" s="1558"/>
      <c r="AB65" s="1558"/>
      <c r="AC65" s="1558"/>
      <c r="AD65" s="1558"/>
      <c r="AE65" s="1558"/>
      <c r="AF65" s="1086">
        <v>11</v>
      </c>
    </row>
    <row r="66" spans="1:32"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75" t="s">
        <v>535</v>
      </c>
      <c r="H66" s="1575" t="s">
        <v>825</v>
      </c>
      <c r="I66" s="1575" t="s">
        <v>825</v>
      </c>
      <c r="J66" s="225" t="str">
        <f>FHD_NOTE_P_30</f>
        <v/>
      </c>
      <c r="K66" s="1562" t="str">
        <f t="shared" si="0"/>
        <v/>
      </c>
      <c r="L66" s="1562">
        <f>IFERROR(MATCH("есть",B_FHD_FLAG_INDEX_1,0),0)</f>
        <v>0</v>
      </c>
      <c r="M66" s="1562"/>
      <c r="R66" s="1562"/>
      <c r="U66" s="480"/>
      <c r="AA66" s="1558"/>
      <c r="AB66" s="1558"/>
      <c r="AC66" s="1558"/>
      <c r="AD66" s="1558"/>
      <c r="AE66" s="1558"/>
      <c r="AF66" s="1086">
        <v>11</v>
      </c>
    </row>
    <row r="67" spans="1:32" s="1292" customFormat="1" ht="23.25" customHeight="1">
      <c r="A67" s="24211" t="s">
        <v>826</v>
      </c>
      <c r="C67" s="1562"/>
      <c r="D67" s="1564"/>
      <c r="E67" s="482" t="str">
        <f>FHD_NUM_P_31</f>
        <v>2.13</v>
      </c>
      <c r="F67" s="1450"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75" t="s">
        <v>802</v>
      </c>
      <c r="H67" s="493"/>
      <c r="I67" s="493"/>
      <c r="J67"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2" t="str">
        <f t="shared" si="0"/>
        <v>p</v>
      </c>
      <c r="L67" s="1562"/>
      <c r="M67" s="1562"/>
      <c r="R67" s="1562"/>
      <c r="U67" s="480"/>
      <c r="AA67" s="1558"/>
      <c r="AB67" s="1558"/>
      <c r="AC67" s="1558"/>
      <c r="AD67" s="1558"/>
      <c r="AE67" s="1558"/>
      <c r="AF67" s="1086">
        <v>22</v>
      </c>
    </row>
    <row r="68" spans="1:32" s="1292" customFormat="1" ht="47.25" customHeight="1">
      <c r="A68" s="24211"/>
      <c r="C68" s="1562"/>
      <c r="D68" s="1564"/>
      <c r="E68" s="482" t="str">
        <f>FHD_NUM_P_32</f>
        <v>2.13.1</v>
      </c>
      <c r="F68" s="157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75" t="s">
        <v>535</v>
      </c>
      <c r="H68" s="1575" t="s">
        <v>825</v>
      </c>
      <c r="I68" s="1575" t="s">
        <v>825</v>
      </c>
      <c r="J68" s="225" t="str">
        <f>FHD_NOTE_P_32</f>
        <v/>
      </c>
      <c r="K68" s="1562" t="str">
        <f t="shared" si="0"/>
        <v/>
      </c>
      <c r="L68" s="1562">
        <f>IFERROR(MATCH("есть",B_FHD_FLAG_INDEX_2,0),0)</f>
        <v>0</v>
      </c>
      <c r="M68" s="1562"/>
      <c r="R68" s="1562"/>
      <c r="U68" s="480"/>
      <c r="AA68" s="1558"/>
      <c r="AB68" s="1558"/>
      <c r="AC68" s="1558"/>
      <c r="AD68" s="1558"/>
      <c r="AE68" s="1558"/>
      <c r="AF68" s="1086">
        <v>45</v>
      </c>
    </row>
    <row r="69" spans="1:32" s="1292" customFormat="1" ht="11.45" customHeight="1">
      <c r="A69" s="916"/>
      <c r="C69" s="1562"/>
      <c r="D69" s="1564"/>
      <c r="E69" s="482" t="str">
        <f>FHD_NUM_P_33</f>
        <v>2.14</v>
      </c>
      <c r="F69" s="1450"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76" t="s">
        <v>802</v>
      </c>
      <c r="H69" s="515">
        <f>SUM(H70:H71)</f>
        <v>0</v>
      </c>
      <c r="I69" s="515">
        <f>SUM(I70:I71)</f>
        <v>0</v>
      </c>
      <c r="J69"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2" t="str">
        <f t="shared" si="0"/>
        <v>p</v>
      </c>
      <c r="L69" s="1562"/>
      <c r="M69" s="1562"/>
      <c r="R69" s="1562"/>
      <c r="U69" s="480"/>
      <c r="AA69" s="1558"/>
      <c r="AB69" s="1558"/>
      <c r="AC69" s="1558"/>
      <c r="AD69" s="1558"/>
      <c r="AE69" s="1558"/>
      <c r="AF69" s="1086">
        <v>11</v>
      </c>
    </row>
    <row r="70" spans="1:32" s="1568" customFormat="1" ht="1.1499999999999999" customHeight="1">
      <c r="A70" s="1093"/>
      <c r="D70" s="484"/>
      <c r="E70" s="942" t="str">
        <f>E69&amp;".0"</f>
        <v>2.14.0</v>
      </c>
      <c r="F70" s="920"/>
      <c r="G70" s="942"/>
      <c r="H70" s="921"/>
      <c r="I70" s="921"/>
      <c r="J70" s="922"/>
      <c r="K70" s="1562" t="str">
        <f t="shared" si="0"/>
        <v/>
      </c>
      <c r="AF70" s="1562">
        <v>1</v>
      </c>
    </row>
    <row r="71" spans="1:32" s="1292" customFormat="1" ht="14.65" customHeight="1">
      <c r="A71" s="916"/>
      <c r="C71" s="1562"/>
      <c r="D71" s="1559"/>
      <c r="E71" s="506"/>
      <c r="F71" s="507" t="s">
        <v>827</v>
      </c>
      <c r="G71" s="508"/>
      <c r="H71" s="509"/>
      <c r="I71" s="509"/>
      <c r="J71" s="237"/>
      <c r="K71" s="1562"/>
      <c r="L71" s="1562"/>
      <c r="M71" s="1562"/>
      <c r="R71" s="1562"/>
      <c r="U71" s="480"/>
      <c r="AA71" s="1558"/>
      <c r="AB71" s="1558"/>
      <c r="AC71" s="1558"/>
      <c r="AD71" s="1558"/>
      <c r="AE71" s="1558"/>
      <c r="AF71" s="1086">
        <v>14</v>
      </c>
    </row>
    <row r="72" spans="1:32" s="1292" customFormat="1" ht="18.75" hidden="1" customHeight="1">
      <c r="A72" s="918" t="s">
        <v>828</v>
      </c>
      <c r="C72" s="1562"/>
      <c r="D72" s="1564"/>
      <c r="E72" s="482" t="str">
        <f>FHD_NUM_P_34</f>
        <v/>
      </c>
      <c r="F72" s="1777" t="str">
        <f>FHD_P_34</f>
        <v/>
      </c>
      <c r="G72" s="1775" t="s">
        <v>802</v>
      </c>
      <c r="H72" s="493"/>
      <c r="I72" s="493"/>
      <c r="J72" s="225" t="str">
        <f>FHD_NOTE_P_34</f>
        <v/>
      </c>
      <c r="K72" s="479"/>
      <c r="L72" s="1562"/>
      <c r="M72" s="1562"/>
      <c r="R72" s="1562"/>
      <c r="U72" s="480"/>
      <c r="AA72" s="1558"/>
      <c r="AB72" s="1558"/>
      <c r="AC72" s="1558"/>
      <c r="AD72" s="1558"/>
      <c r="AE72" s="1558"/>
      <c r="AF72" s="1086">
        <v>0</v>
      </c>
    </row>
    <row r="73" spans="1:32" s="1292" customFormat="1" ht="19.899999999999999" customHeight="1">
      <c r="A73" s="916"/>
      <c r="C73" s="1562"/>
      <c r="D73" s="511"/>
      <c r="E73" s="482" t="str">
        <f>FHD_NUM_P_35</f>
        <v>3</v>
      </c>
      <c r="F73" s="1777" t="str">
        <f>FHD_P_35</f>
        <v>Чистая прибыль, полученная от регулируемого вида деятельности в сфере горячего водоснабжения, в том числе:</v>
      </c>
      <c r="G73" s="1775" t="s">
        <v>802</v>
      </c>
      <c r="H73" s="493"/>
      <c r="I73" s="493"/>
      <c r="J73" s="225" t="str">
        <f>FHD_NOTE_P_35</f>
        <v>Указывается общая сумма чистой прибыли, полученной от регулируемого вида деятельности.</v>
      </c>
      <c r="K73" s="479"/>
      <c r="L73" s="1562"/>
      <c r="M73" s="1562"/>
      <c r="R73" s="1562"/>
      <c r="U73" s="480"/>
      <c r="AA73" s="1558"/>
      <c r="AB73" s="1558"/>
      <c r="AC73" s="1558"/>
      <c r="AD73" s="1558"/>
      <c r="AE73" s="1558"/>
      <c r="AF73" s="1086">
        <v>19</v>
      </c>
    </row>
    <row r="74" spans="1:32" s="1292" customFormat="1" ht="19.899999999999999" customHeight="1">
      <c r="A74" s="916"/>
      <c r="C74" s="1562"/>
      <c r="D74" s="1564"/>
      <c r="E74" s="482" t="str">
        <f>FHD_NUM_P_36</f>
        <v>3.1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75" t="s">
        <v>802</v>
      </c>
      <c r="H74" s="493"/>
      <c r="I74" s="493"/>
      <c r="J74" s="225" t="str">
        <f>FHD_NOTE_P_36</f>
        <v/>
      </c>
      <c r="K74" s="479"/>
      <c r="L74" s="1562"/>
      <c r="M74" s="1562"/>
      <c r="R74" s="1562"/>
      <c r="U74" s="480"/>
      <c r="AA74" s="1558"/>
      <c r="AB74" s="1558"/>
      <c r="AC74" s="1558"/>
      <c r="AD74" s="1558"/>
      <c r="AE74" s="1558"/>
      <c r="AF74" s="1086">
        <v>19</v>
      </c>
    </row>
    <row r="75" spans="1:32" s="1292" customFormat="1" ht="19.899999999999999" customHeight="1">
      <c r="A75" s="916"/>
      <c r="C75" s="1562"/>
      <c r="D75" s="1564"/>
      <c r="E75" s="482" t="str">
        <f>FHD_NUM_P_37</f>
        <v>4</v>
      </c>
      <c r="F75" s="1777" t="str">
        <f>FHD_P_37</f>
        <v>Изменение стоимости основных фондов, в том числе:</v>
      </c>
      <c r="G75" s="1775" t="s">
        <v>802</v>
      </c>
      <c r="H75" s="493"/>
      <c r="I75" s="493"/>
      <c r="J75" s="225" t="str">
        <f>FHD_NOTE_P_37</f>
        <v>Указывается общее изменение стоимости основных фондов.</v>
      </c>
      <c r="K75" s="479"/>
      <c r="L75" s="1562"/>
      <c r="M75" s="1562"/>
      <c r="R75" s="1562"/>
      <c r="U75" s="480"/>
      <c r="AA75" s="1558"/>
      <c r="AB75" s="1558"/>
      <c r="AC75" s="1558"/>
      <c r="AD75" s="1558"/>
      <c r="AE75" s="1558"/>
      <c r="AF75" s="1086">
        <v>19</v>
      </c>
    </row>
    <row r="76" spans="1:32" s="1292" customFormat="1" ht="19.899999999999999" customHeight="1">
      <c r="A76" s="916"/>
      <c r="C76" s="1562"/>
      <c r="D76" s="1564"/>
      <c r="E76" s="482" t="str">
        <f>FHD_NUM_P_38</f>
        <v>4.1</v>
      </c>
      <c r="F76" s="1450" t="str">
        <f>FHD_P_38</f>
        <v>Изменение стоимости основных фондов за счет их ввода в эксплуатацию (вывода из эксплуатации)</v>
      </c>
      <c r="G76" s="1775" t="s">
        <v>802</v>
      </c>
      <c r="H76" s="493"/>
      <c r="I76" s="493"/>
      <c r="J76" s="225" t="str">
        <f>FHD_NOTE_P_38</f>
        <v>Указываются общее изменение стоимости основных фондов за счет их ввода в эксплуатацию и вывода из эксплуатации.</v>
      </c>
      <c r="K76" s="479"/>
      <c r="L76" s="1562"/>
      <c r="M76" s="1562"/>
      <c r="R76" s="1562"/>
      <c r="U76" s="480"/>
      <c r="AA76" s="1558"/>
      <c r="AB76" s="1558"/>
      <c r="AC76" s="1558"/>
      <c r="AD76" s="1558"/>
      <c r="AE76" s="1558"/>
      <c r="AF76" s="1086">
        <v>19</v>
      </c>
    </row>
    <row r="77" spans="1:32" s="1292" customFormat="1" ht="19.899999999999999" customHeight="1">
      <c r="A77" s="916"/>
      <c r="C77" s="1562"/>
      <c r="D77" s="1564"/>
      <c r="E77" s="482" t="str">
        <f>FHD_NUM_P_39</f>
        <v>4.1.1</v>
      </c>
      <c r="F77" s="1576" t="str">
        <f>FHD_P_39</f>
        <v>Изменение стоимости основных фондов за счет их ввода в эксплуатацию</v>
      </c>
      <c r="G77" s="1966" t="s">
        <v>802</v>
      </c>
      <c r="H77" s="493"/>
      <c r="I77" s="493"/>
      <c r="J77" s="225" t="str">
        <f>FHD_NOTE_P_39</f>
        <v>Указываются изменение стоимости основных фондов за счет их ввода в эксплуатацию.</v>
      </c>
      <c r="K77" s="479"/>
      <c r="L77" s="1562"/>
      <c r="M77" s="1562"/>
      <c r="R77" s="1562"/>
      <c r="U77" s="480"/>
      <c r="AA77" s="1558"/>
      <c r="AB77" s="1558"/>
      <c r="AC77" s="1558"/>
      <c r="AD77" s="1558"/>
      <c r="AE77" s="1558"/>
      <c r="AF77" s="1086">
        <v>19</v>
      </c>
    </row>
    <row r="78" spans="1:32" s="1292" customFormat="1" ht="19.899999999999999" customHeight="1">
      <c r="A78" s="916"/>
      <c r="C78" s="1562"/>
      <c r="D78" s="1564"/>
      <c r="E78" s="482" t="str">
        <f>FHD_NUM_P_40</f>
        <v>4.1.2</v>
      </c>
      <c r="F78" s="1970" t="str">
        <f>FHD_P_40</f>
        <v>Изменение стоимости основных фондов за счет их вывода в эксплуатацию</v>
      </c>
      <c r="G78" s="1965" t="s">
        <v>802</v>
      </c>
      <c r="H78" s="905"/>
      <c r="I78" s="493"/>
      <c r="J78" s="225" t="str">
        <f>FHD_NOTE_P_40</f>
        <v>Указываются изменение стоимости основных фондов за счет их вывода из эксплуатации.</v>
      </c>
      <c r="K78" s="479"/>
      <c r="L78" s="1562"/>
      <c r="M78" s="1562"/>
      <c r="R78" s="1562"/>
      <c r="U78" s="480"/>
      <c r="AA78" s="1558"/>
      <c r="AB78" s="1558"/>
      <c r="AC78" s="1558"/>
      <c r="AD78" s="1558"/>
      <c r="AE78" s="1558"/>
      <c r="AF78" s="1086">
        <v>19</v>
      </c>
    </row>
    <row r="79" spans="1:32" s="1292" customFormat="1" ht="19.899999999999999" customHeight="1">
      <c r="A79" s="916"/>
      <c r="C79" s="1562"/>
      <c r="D79" s="1564"/>
      <c r="E79" s="482" t="str">
        <f>FHD_NUM_P_41</f>
        <v>4.2</v>
      </c>
      <c r="F79" s="1969" t="str">
        <f>FHD_P_41</f>
        <v>Изменение стоимости основных фондов за счет их переоценки</v>
      </c>
      <c r="G79" s="1965" t="s">
        <v>802</v>
      </c>
      <c r="H79" s="905"/>
      <c r="I79" s="493"/>
      <c r="J79" s="225" t="str">
        <f>FHD_NOTE_P_41</f>
        <v/>
      </c>
      <c r="K79" s="479"/>
      <c r="L79" s="1562"/>
      <c r="M79" s="1562"/>
      <c r="R79" s="1562"/>
      <c r="U79" s="480"/>
      <c r="AA79" s="1558"/>
      <c r="AB79" s="1558"/>
      <c r="AC79" s="1558"/>
      <c r="AD79" s="1558"/>
      <c r="AE79" s="1558"/>
      <c r="AF79" s="1086">
        <v>19</v>
      </c>
    </row>
    <row r="80" spans="1:32" s="1292" customFormat="1" ht="19.899999999999999" customHeight="1">
      <c r="A80" s="918" t="s">
        <v>829</v>
      </c>
      <c r="C80" s="1562"/>
      <c r="D80" s="1564"/>
      <c r="E80" s="482" t="str">
        <f>FHD_NUM_P_42</f>
        <v>5</v>
      </c>
      <c r="F80" s="1967" t="str">
        <f>FHD_P_42</f>
        <v>Валовая прибыль (убытки) от продажи товаров и услуг по регулируемым видам деятельности в сфере горячего водоснабжения</v>
      </c>
      <c r="G80" s="1965" t="s">
        <v>802</v>
      </c>
      <c r="H80" s="905"/>
      <c r="I80" s="493"/>
      <c r="J80" s="225" t="str">
        <f>FHD_NOTE_P_42</f>
        <v/>
      </c>
      <c r="K80" s="479"/>
      <c r="L80" s="1562"/>
      <c r="M80" s="1562"/>
      <c r="R80" s="1562"/>
      <c r="U80" s="480"/>
      <c r="AA80" s="1558"/>
      <c r="AB80" s="1558"/>
      <c r="AC80" s="1558"/>
      <c r="AD80" s="1558"/>
      <c r="AE80" s="1558"/>
      <c r="AF80" s="1086">
        <v>19</v>
      </c>
    </row>
    <row r="81" spans="1:32" s="1292" customFormat="1" ht="19.899999999999999" customHeight="1">
      <c r="A81" s="916"/>
      <c r="C81" s="1562"/>
      <c r="D81" s="1564"/>
      <c r="E81" s="482" t="str">
        <f>FHD_NUM_P_43</f>
        <v>6</v>
      </c>
      <c r="F81" s="1777" t="str">
        <f>FHD_P_43</f>
        <v>Годовая бухгалтерская (финансовая) отчетность, включая бухгалтерский баланс и приложения к нему</v>
      </c>
      <c r="G81" s="1968" t="s">
        <v>535</v>
      </c>
      <c r="H81" s="984"/>
      <c r="I81" s="748"/>
      <c r="J81"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9"/>
      <c r="L81" s="1562"/>
      <c r="M81" s="1562"/>
      <c r="R81" s="1562"/>
      <c r="U81" s="480"/>
      <c r="AA81" s="1558"/>
      <c r="AB81" s="1558"/>
      <c r="AC81" s="1558"/>
      <c r="AD81" s="1558"/>
      <c r="AE81" s="1558"/>
      <c r="AF81" s="1086">
        <v>19</v>
      </c>
    </row>
    <row r="82" spans="1:32" s="1292" customFormat="1" ht="18.75" hidden="1" customHeight="1">
      <c r="A82" s="24211" t="s">
        <v>830</v>
      </c>
      <c r="C82" s="671"/>
      <c r="D82" s="669"/>
      <c r="E82" s="482" t="str">
        <f>FHD_NUM_P_44</f>
        <v/>
      </c>
      <c r="F82" s="1777" t="str">
        <f>FHD_P_44</f>
        <v/>
      </c>
      <c r="G82" s="1778" t="s">
        <v>831</v>
      </c>
      <c r="H82" s="906"/>
      <c r="I82" s="513"/>
      <c r="J82" s="225" t="str">
        <f>FHD_NOTE_P_44</f>
        <v/>
      </c>
      <c r="K82" s="670"/>
      <c r="L82" s="671"/>
      <c r="M82" s="671"/>
      <c r="R82" s="671"/>
      <c r="U82" s="672"/>
      <c r="AA82" s="673"/>
      <c r="AB82" s="673"/>
      <c r="AC82" s="673"/>
      <c r="AD82" s="673"/>
      <c r="AE82" s="673"/>
      <c r="AF82" s="839">
        <v>0</v>
      </c>
    </row>
    <row r="83" spans="1:32" s="1292" customFormat="1" ht="18.75" hidden="1" customHeight="1">
      <c r="A83" s="24211"/>
      <c r="C83" s="671"/>
      <c r="D83" s="669"/>
      <c r="E83" s="482" t="str">
        <f>FHD_NUM_P_45</f>
        <v/>
      </c>
      <c r="F83" s="1777" t="str">
        <f>FHD_P_45</f>
        <v/>
      </c>
      <c r="G83" s="1778" t="s">
        <v>831</v>
      </c>
      <c r="H83" s="906"/>
      <c r="I83" s="513"/>
      <c r="J83" s="225" t="str">
        <f>FHD_NOTE_P_45</f>
        <v/>
      </c>
      <c r="K83" s="670"/>
      <c r="L83" s="671"/>
      <c r="M83" s="671"/>
      <c r="R83" s="671"/>
      <c r="U83" s="672"/>
      <c r="AA83" s="673"/>
      <c r="AB83" s="673"/>
      <c r="AC83" s="673"/>
      <c r="AD83" s="673"/>
      <c r="AE83" s="673"/>
      <c r="AF83" s="839">
        <v>0</v>
      </c>
    </row>
    <row r="84" spans="1:32" s="1292" customFormat="1" ht="18.75" hidden="1" customHeight="1">
      <c r="A84" s="24211"/>
      <c r="C84" s="671"/>
      <c r="D84" s="674"/>
      <c r="E84" s="482" t="str">
        <f>FHD_NUM_P_46</f>
        <v/>
      </c>
      <c r="F84" s="1777" t="str">
        <f>FHD_P_46</f>
        <v/>
      </c>
      <c r="G84" s="1778" t="s">
        <v>831</v>
      </c>
      <c r="H84" s="906"/>
      <c r="I84" s="513"/>
      <c r="J84" s="225" t="str">
        <f>FHD_NOTE_P_46</f>
        <v/>
      </c>
      <c r="K84" s="670"/>
      <c r="L84" s="671"/>
      <c r="M84" s="671"/>
      <c r="R84" s="671"/>
      <c r="U84" s="672"/>
      <c r="AA84" s="673"/>
      <c r="AB84" s="673"/>
      <c r="AC84" s="673"/>
      <c r="AD84" s="673"/>
      <c r="AE84" s="673"/>
      <c r="AF84" s="839">
        <v>0</v>
      </c>
    </row>
    <row r="85" spans="1:32" s="1292" customFormat="1" ht="18.75" hidden="1" customHeight="1">
      <c r="A85" s="24211"/>
      <c r="C85" s="671"/>
      <c r="D85" s="669"/>
      <c r="E85" s="482" t="str">
        <f>FHD_NUM_P_47</f>
        <v/>
      </c>
      <c r="F85" s="1777" t="str">
        <f>FHD_P_47</f>
        <v/>
      </c>
      <c r="G85" s="1778" t="s">
        <v>831</v>
      </c>
      <c r="H85" s="906"/>
      <c r="I85" s="513"/>
      <c r="J85" s="225" t="str">
        <f>FHD_NOTE_P_47</f>
        <v/>
      </c>
      <c r="K85" s="670"/>
      <c r="L85" s="671"/>
      <c r="M85" s="671"/>
      <c r="R85" s="671"/>
      <c r="U85" s="672"/>
      <c r="AA85" s="673"/>
      <c r="AB85" s="673"/>
      <c r="AC85" s="673"/>
      <c r="AD85" s="673"/>
      <c r="AE85" s="673"/>
      <c r="AF85" s="839">
        <v>0</v>
      </c>
    </row>
    <row r="86" spans="1:32" s="1561" customFormat="1" ht="18.75" hidden="1" customHeight="1">
      <c r="A86" s="24211"/>
      <c r="B86" s="839"/>
      <c r="C86" s="671"/>
      <c r="D86" s="669"/>
      <c r="E86" s="482" t="str">
        <f>FHD_NUM_P_48</f>
        <v/>
      </c>
      <c r="F86" s="1777" t="str">
        <f>FHD_P_48</f>
        <v/>
      </c>
      <c r="G86" s="1778" t="s">
        <v>831</v>
      </c>
      <c r="H86" s="906"/>
      <c r="I86" s="513"/>
      <c r="J86" s="225" t="str">
        <f>FHD_NOTE_P_48</f>
        <v/>
      </c>
      <c r="K86" s="670"/>
      <c r="L86" s="671"/>
      <c r="M86" s="671"/>
      <c r="N86" s="839"/>
      <c r="O86" s="839"/>
      <c r="P86" s="839"/>
      <c r="Q86" s="839"/>
      <c r="R86" s="671"/>
      <c r="S86" s="839"/>
      <c r="T86" s="839"/>
      <c r="U86" s="672"/>
      <c r="V86" s="839"/>
      <c r="W86" s="839"/>
      <c r="X86" s="839"/>
      <c r="Y86" s="839"/>
      <c r="Z86" s="839"/>
      <c r="AA86" s="673"/>
      <c r="AB86" s="673"/>
      <c r="AC86" s="673"/>
      <c r="AD86" s="673"/>
      <c r="AE86" s="673"/>
      <c r="AF86" s="675">
        <v>0</v>
      </c>
    </row>
    <row r="87" spans="1:32" s="1561" customFormat="1" ht="18.75" hidden="1" customHeight="1">
      <c r="A87" s="24211"/>
      <c r="B87" s="839"/>
      <c r="C87" s="671"/>
      <c r="D87" s="669"/>
      <c r="E87" s="482" t="str">
        <f>FHD_NUM_P_49</f>
        <v/>
      </c>
      <c r="F87" s="1777" t="str">
        <f>FHD_P_49</f>
        <v/>
      </c>
      <c r="G87" s="1778" t="s">
        <v>831</v>
      </c>
      <c r="H87" s="907">
        <f>SUM(H88:H89)</f>
        <v>0</v>
      </c>
      <c r="I87" s="685">
        <f>SUM(I88:I89)</f>
        <v>0</v>
      </c>
      <c r="J87" s="225" t="str">
        <f>FHD_NOTE_P_49</f>
        <v/>
      </c>
      <c r="K87" s="670"/>
      <c r="L87" s="671"/>
      <c r="M87" s="671"/>
      <c r="N87" s="839"/>
      <c r="O87" s="839"/>
      <c r="P87" s="839"/>
      <c r="Q87" s="839"/>
      <c r="R87" s="671"/>
      <c r="S87" s="839"/>
      <c r="T87" s="839"/>
      <c r="U87" s="672"/>
      <c r="V87" s="839"/>
      <c r="W87" s="839"/>
      <c r="X87" s="839"/>
      <c r="Y87" s="839"/>
      <c r="Z87" s="839"/>
      <c r="AA87" s="673"/>
      <c r="AB87" s="673"/>
      <c r="AC87" s="673"/>
      <c r="AD87" s="673"/>
      <c r="AE87" s="673"/>
      <c r="AF87" s="675">
        <v>0</v>
      </c>
    </row>
    <row r="88" spans="1:32" s="1561" customFormat="1" ht="18.75" hidden="1" customHeight="1">
      <c r="A88" s="24211"/>
      <c r="B88" s="839"/>
      <c r="C88" s="671"/>
      <c r="D88" s="669"/>
      <c r="E88" s="482" t="str">
        <f>FHD_NUM_P_50</f>
        <v/>
      </c>
      <c r="F88" s="1777" t="str">
        <f>FHD_P_50</f>
        <v/>
      </c>
      <c r="G88" s="1778" t="s">
        <v>831</v>
      </c>
      <c r="H88" s="906"/>
      <c r="I88" s="513"/>
      <c r="J88" s="225" t="str">
        <f>FHD_NOTE_P_50</f>
        <v/>
      </c>
      <c r="K88" s="670"/>
      <c r="L88" s="671"/>
      <c r="M88" s="671"/>
      <c r="N88" s="839"/>
      <c r="O88" s="839"/>
      <c r="P88" s="839"/>
      <c r="Q88" s="839"/>
      <c r="R88" s="671"/>
      <c r="S88" s="839"/>
      <c r="T88" s="839"/>
      <c r="U88" s="672"/>
      <c r="V88" s="839"/>
      <c r="W88" s="839"/>
      <c r="X88" s="839"/>
      <c r="Y88" s="839"/>
      <c r="Z88" s="839"/>
      <c r="AA88" s="673"/>
      <c r="AB88" s="673"/>
      <c r="AC88" s="673"/>
      <c r="AD88" s="673"/>
      <c r="AE88" s="673"/>
      <c r="AF88" s="675">
        <v>0</v>
      </c>
    </row>
    <row r="89" spans="1:32" s="1561" customFormat="1" ht="18.75" hidden="1" customHeight="1">
      <c r="A89" s="24211"/>
      <c r="B89" s="839"/>
      <c r="C89" s="671"/>
      <c r="D89" s="669"/>
      <c r="E89" s="482" t="str">
        <f>FHD_NUM_P_51</f>
        <v/>
      </c>
      <c r="F89" s="1777" t="str">
        <f>FHD_P_51</f>
        <v/>
      </c>
      <c r="G89" s="1778" t="s">
        <v>831</v>
      </c>
      <c r="H89" s="906"/>
      <c r="I89" s="513"/>
      <c r="J89" s="225" t="str">
        <f>FHD_NOTE_P_51</f>
        <v/>
      </c>
      <c r="K89" s="670"/>
      <c r="L89" s="671"/>
      <c r="M89" s="671"/>
      <c r="N89" s="839"/>
      <c r="O89" s="839"/>
      <c r="P89" s="839"/>
      <c r="Q89" s="839"/>
      <c r="R89" s="671"/>
      <c r="S89" s="839"/>
      <c r="T89" s="839"/>
      <c r="U89" s="672"/>
      <c r="V89" s="839"/>
      <c r="W89" s="839"/>
      <c r="X89" s="839"/>
      <c r="Y89" s="839"/>
      <c r="Z89" s="839"/>
      <c r="AA89" s="673"/>
      <c r="AB89" s="673"/>
      <c r="AC89" s="673"/>
      <c r="AD89" s="673"/>
      <c r="AE89" s="673"/>
      <c r="AF89" s="675">
        <v>0</v>
      </c>
    </row>
    <row r="90" spans="1:32" s="1561" customFormat="1" ht="18.75" hidden="1" customHeight="1">
      <c r="A90" s="24211"/>
      <c r="B90" s="839"/>
      <c r="C90" s="671"/>
      <c r="D90" s="669"/>
      <c r="E90" s="482" t="str">
        <f>FHD_NUM_P_52</f>
        <v/>
      </c>
      <c r="F90" s="1777" t="str">
        <f>FHD_P_52</f>
        <v/>
      </c>
      <c r="G90" s="1778" t="s">
        <v>808</v>
      </c>
      <c r="H90" s="905"/>
      <c r="I90" s="493"/>
      <c r="J90" s="225" t="str">
        <f>FHD_NOTE_P_52</f>
        <v/>
      </c>
      <c r="K90" s="670"/>
      <c r="L90" s="671"/>
      <c r="M90" s="671"/>
      <c r="N90" s="839"/>
      <c r="O90" s="839"/>
      <c r="P90" s="839"/>
      <c r="Q90" s="839"/>
      <c r="R90" s="671"/>
      <c r="S90" s="839"/>
      <c r="T90" s="839"/>
      <c r="U90" s="672"/>
      <c r="V90" s="839"/>
      <c r="W90" s="839"/>
      <c r="X90" s="839"/>
      <c r="Y90" s="839"/>
      <c r="Z90" s="839"/>
      <c r="AA90" s="673"/>
      <c r="AB90" s="673"/>
      <c r="AC90" s="673"/>
      <c r="AD90" s="673"/>
      <c r="AE90" s="673"/>
      <c r="AF90" s="675">
        <v>0</v>
      </c>
    </row>
    <row r="91" spans="1:32" s="1292" customFormat="1" ht="18.75" customHeight="1">
      <c r="A91" s="24211" t="s">
        <v>832</v>
      </c>
      <c r="C91" s="671"/>
      <c r="D91" s="669"/>
      <c r="E91" s="482" t="str">
        <f>FHD_NUM_P_53</f>
        <v>7</v>
      </c>
      <c r="F91" s="1777" t="str">
        <f>FHD_P_53</f>
        <v>Объём приобретаемой холодной воды, используемой для горячего водоснабжения</v>
      </c>
      <c r="G91" s="1778" t="s">
        <v>831</v>
      </c>
      <c r="H91" s="906"/>
      <c r="I91" s="513"/>
      <c r="J91" s="225" t="str">
        <f>FHD_NOTE_P_53</f>
        <v/>
      </c>
      <c r="K91" s="670"/>
      <c r="L91" s="671"/>
      <c r="M91" s="671"/>
      <c r="R91" s="671"/>
      <c r="U91" s="672"/>
      <c r="AA91" s="673"/>
      <c r="AB91" s="673"/>
      <c r="AC91" s="673"/>
      <c r="AD91" s="673"/>
      <c r="AE91" s="673"/>
      <c r="AF91" s="839">
        <v>0</v>
      </c>
    </row>
    <row r="92" spans="1:32" s="1292" customFormat="1" ht="18.75" customHeight="1">
      <c r="A92" s="24211"/>
      <c r="C92" s="671"/>
      <c r="D92" s="669"/>
      <c r="E92" s="482" t="str">
        <f>FHD_NUM_P_54</f>
        <v>8</v>
      </c>
      <c r="F92" s="1777" t="str">
        <f>FHD_P_54</f>
        <v>Объём холодной воды, получаемой с применением собственных источников водозабора (скважин) и используемой для горячего водоснабжения</v>
      </c>
      <c r="G92" s="1778" t="s">
        <v>831</v>
      </c>
      <c r="H92" s="906"/>
      <c r="I92" s="513"/>
      <c r="J92" s="225" t="str">
        <f>FHD_NOTE_P_54</f>
        <v/>
      </c>
      <c r="K92" s="670"/>
      <c r="L92" s="671"/>
      <c r="M92" s="671"/>
      <c r="R92" s="671"/>
      <c r="U92" s="672"/>
      <c r="AA92" s="673"/>
      <c r="AB92" s="673"/>
      <c r="AC92" s="673"/>
      <c r="AD92" s="673"/>
      <c r="AE92" s="673"/>
      <c r="AF92" s="839">
        <v>0</v>
      </c>
    </row>
    <row r="93" spans="1:32" s="1292" customFormat="1" ht="18.75" customHeight="1">
      <c r="A93" s="24211"/>
      <c r="C93" s="671"/>
      <c r="D93" s="674"/>
      <c r="E93" s="482" t="str">
        <f>FHD_NUM_P_55</f>
        <v>9</v>
      </c>
      <c r="F93" s="1777" t="str">
        <f>FHD_P_55</f>
        <v>Объём приобретаемой тепловой энергии (мощности), используемой для горячего водоснабжения</v>
      </c>
      <c r="G93" s="1781"/>
      <c r="H93" s="906"/>
      <c r="I93" s="513"/>
      <c r="J93" s="225" t="str">
        <f>FHD_NOTE_P_55</f>
        <v/>
      </c>
      <c r="K93" s="670"/>
      <c r="L93" s="671"/>
      <c r="M93" s="671"/>
      <c r="R93" s="671"/>
      <c r="U93" s="672"/>
      <c r="AA93" s="673"/>
      <c r="AB93" s="673"/>
      <c r="AC93" s="673"/>
      <c r="AD93" s="673"/>
      <c r="AE93" s="673"/>
      <c r="AF93" s="839">
        <v>0</v>
      </c>
    </row>
    <row r="94" spans="1:32" s="1292" customFormat="1" ht="18.75" customHeight="1">
      <c r="A94" s="24211"/>
      <c r="C94" s="671"/>
      <c r="D94" s="669"/>
      <c r="E94" s="482" t="str">
        <f>FHD_NUM_P_56</f>
        <v>10</v>
      </c>
      <c r="F94" s="1777" t="str">
        <f>FHD_P_56</f>
        <v>Объём тепловой энергии, производимой с применением собственных источников и используемой для горячего водоснабжения</v>
      </c>
      <c r="G94" s="1778" t="s">
        <v>833</v>
      </c>
      <c r="H94" s="906"/>
      <c r="I94" s="513"/>
      <c r="J94" s="225" t="str">
        <f>FHD_NOTE_P_56</f>
        <v/>
      </c>
      <c r="K94" s="670"/>
      <c r="L94" s="671"/>
      <c r="M94" s="671"/>
      <c r="R94" s="671"/>
      <c r="U94" s="672"/>
      <c r="AA94" s="673"/>
      <c r="AB94" s="673"/>
      <c r="AC94" s="673"/>
      <c r="AD94" s="673"/>
      <c r="AE94" s="673"/>
      <c r="AF94" s="839">
        <v>0</v>
      </c>
    </row>
    <row r="95" spans="1:32" s="1561" customFormat="1" ht="18.75" customHeight="1">
      <c r="A95" s="24211"/>
      <c r="B95" s="839"/>
      <c r="C95" s="671"/>
      <c r="D95" s="669"/>
      <c r="E95" s="482" t="str">
        <f>FHD_NUM_P_57</f>
        <v>11</v>
      </c>
      <c r="F95" s="1777" t="str">
        <f>FHD_P_57</f>
        <v>Потери горячей воды в сетях (процентов)</v>
      </c>
      <c r="G95" s="1778" t="s">
        <v>808</v>
      </c>
      <c r="H95" s="905"/>
      <c r="I95" s="493"/>
      <c r="J95" s="225" t="str">
        <f>FHD_NOTE_P_57</f>
        <v/>
      </c>
      <c r="K95" s="670"/>
      <c r="L95" s="671"/>
      <c r="M95" s="671"/>
      <c r="N95" s="839"/>
      <c r="O95" s="839"/>
      <c r="P95" s="839"/>
      <c r="Q95" s="839"/>
      <c r="R95" s="671"/>
      <c r="S95" s="839"/>
      <c r="T95" s="839"/>
      <c r="U95" s="672"/>
      <c r="V95" s="839"/>
      <c r="W95" s="839"/>
      <c r="X95" s="839"/>
      <c r="Y95" s="839"/>
      <c r="Z95" s="839"/>
      <c r="AA95" s="673"/>
      <c r="AB95" s="673"/>
      <c r="AC95" s="673"/>
      <c r="AD95" s="673"/>
      <c r="AE95" s="673"/>
      <c r="AF95" s="675">
        <v>0</v>
      </c>
    </row>
    <row r="96" spans="1:32" ht="18.75" hidden="1" customHeight="1">
      <c r="A96" s="24211" t="s">
        <v>834</v>
      </c>
      <c r="D96" s="1564"/>
      <c r="E96" s="482" t="str">
        <f>FHD_NUM_P_58</f>
        <v/>
      </c>
      <c r="F96" s="1777" t="str">
        <f>FHD_P_58</f>
        <v/>
      </c>
      <c r="G96" s="1778" t="s">
        <v>831</v>
      </c>
      <c r="H96" s="906"/>
      <c r="I96" s="513"/>
      <c r="J96" s="225" t="str">
        <f>FHD_NOTE_P_58</f>
        <v/>
      </c>
      <c r="K96" s="479"/>
      <c r="AF96" s="1557">
        <v>0</v>
      </c>
    </row>
    <row r="97" spans="1:32" ht="18.75" hidden="1" customHeight="1">
      <c r="A97" s="24211"/>
      <c r="D97" s="1564"/>
      <c r="E97" s="482" t="str">
        <f>FHD_NUM_P_59</f>
        <v/>
      </c>
      <c r="F97" s="1777" t="str">
        <f>FHD_P_59</f>
        <v/>
      </c>
      <c r="G97" s="1778" t="s">
        <v>831</v>
      </c>
      <c r="H97" s="906"/>
      <c r="I97" s="513"/>
      <c r="J97" s="225" t="str">
        <f>FHD_NOTE_P_59</f>
        <v/>
      </c>
      <c r="K97" s="479"/>
      <c r="AF97" s="1557">
        <v>0</v>
      </c>
    </row>
    <row r="98" spans="1:32" ht="18.75" hidden="1" customHeight="1">
      <c r="A98" s="24211"/>
      <c r="D98" s="1564"/>
      <c r="E98" s="482" t="str">
        <f>FHD_NUM_P_60</f>
        <v/>
      </c>
      <c r="F98" s="1777" t="str">
        <f>FHD_P_60</f>
        <v/>
      </c>
      <c r="G98" s="1778" t="s">
        <v>831</v>
      </c>
      <c r="H98" s="906"/>
      <c r="I98" s="513"/>
      <c r="J98" s="225" t="str">
        <f>FHD_NOTE_P_60</f>
        <v/>
      </c>
      <c r="K98" s="479"/>
      <c r="AF98" s="1557">
        <v>0</v>
      </c>
    </row>
    <row r="99" spans="1:32" s="1292" customFormat="1" ht="18.75" hidden="1" customHeight="1">
      <c r="A99" s="24211" t="s">
        <v>835</v>
      </c>
      <c r="C99" s="1562"/>
      <c r="D99" s="1564"/>
      <c r="E99" s="482" t="str">
        <f>FHD_NUM_P_61</f>
        <v/>
      </c>
      <c r="F99" s="1777" t="str">
        <f>FHD_P_61</f>
        <v/>
      </c>
      <c r="G99" s="1775" t="s">
        <v>806</v>
      </c>
      <c r="H99" s="908"/>
      <c r="I99" s="678"/>
      <c r="J99" s="225" t="str">
        <f>FHD_NOTE_P_61</f>
        <v/>
      </c>
      <c r="K99" s="479"/>
      <c r="L99" s="1562"/>
      <c r="M99" s="1562"/>
      <c r="R99" s="1562"/>
      <c r="U99" s="480"/>
      <c r="AA99" s="1558"/>
      <c r="AB99" s="1558"/>
      <c r="AC99" s="1558"/>
      <c r="AD99" s="1558"/>
      <c r="AE99" s="1558"/>
      <c r="AF99" s="1086">
        <v>0</v>
      </c>
    </row>
    <row r="100" spans="1:32" s="1568" customFormat="1" ht="0.75" hidden="1" customHeight="1">
      <c r="A100" s="24211"/>
      <c r="D100" s="484"/>
      <c r="E100" s="942" t="str">
        <f>E99&amp;".0"</f>
        <v>.0</v>
      </c>
      <c r="F100" s="923"/>
      <c r="G100" s="924"/>
      <c r="H100" s="921"/>
      <c r="I100" s="921"/>
      <c r="J100" s="925"/>
      <c r="AF100" s="1562">
        <v>0</v>
      </c>
    </row>
    <row r="101" spans="1:32" ht="15" hidden="1" customHeight="1">
      <c r="A101" s="24211"/>
      <c r="D101" s="1559"/>
      <c r="E101" s="900"/>
      <c r="F101" s="901" t="s">
        <v>836</v>
      </c>
      <c r="G101" s="508"/>
      <c r="H101" s="509"/>
      <c r="I101" s="509"/>
      <c r="J101" s="933" t="s">
        <v>837</v>
      </c>
      <c r="K101" s="479"/>
      <c r="AF101" s="1557">
        <v>0</v>
      </c>
    </row>
    <row r="102" spans="1:32" s="1292" customFormat="1" ht="18.75" hidden="1" customHeight="1">
      <c r="A102" s="24211"/>
      <c r="C102" s="1562"/>
      <c r="D102" s="1564"/>
      <c r="E102" s="482" t="str">
        <f>FHD_NUM_P_62</f>
        <v/>
      </c>
      <c r="F102" s="1777" t="str">
        <f>FHD_P_62</f>
        <v/>
      </c>
      <c r="G102" s="1774" t="s">
        <v>806</v>
      </c>
      <c r="H102" s="493"/>
      <c r="I102" s="493"/>
      <c r="J102" s="225" t="str">
        <f>FHD_NOTE_P_62</f>
        <v/>
      </c>
      <c r="K102" s="479"/>
      <c r="L102" s="1562"/>
      <c r="M102" s="1562"/>
      <c r="R102" s="1562"/>
      <c r="U102" s="480"/>
      <c r="AA102" s="1558"/>
      <c r="AB102" s="1558"/>
      <c r="AC102" s="1558"/>
      <c r="AD102" s="1558"/>
      <c r="AE102" s="1558"/>
      <c r="AF102" s="1086">
        <v>0</v>
      </c>
    </row>
    <row r="103" spans="1:32" s="1292" customFormat="1" ht="18.75" hidden="1" customHeight="1">
      <c r="A103" s="24211"/>
      <c r="C103" s="1562"/>
      <c r="D103" s="1564"/>
      <c r="E103" s="482" t="str">
        <f>FHD_NUM_P_63</f>
        <v/>
      </c>
      <c r="F103" s="1777" t="str">
        <f>FHD_P_63</f>
        <v/>
      </c>
      <c r="G103" s="1774" t="s">
        <v>833</v>
      </c>
      <c r="H103" s="513"/>
      <c r="I103" s="513"/>
      <c r="J103" s="225" t="str">
        <f>FHD_NOTE_P_63</f>
        <v/>
      </c>
      <c r="K103" s="479"/>
      <c r="L103" s="1562"/>
      <c r="M103" s="1562"/>
      <c r="R103" s="1562"/>
      <c r="U103" s="480"/>
      <c r="AA103" s="1558"/>
      <c r="AB103" s="1558"/>
      <c r="AC103" s="1558"/>
      <c r="AD103" s="1558"/>
      <c r="AE103" s="1558"/>
      <c r="AF103" s="1086">
        <v>0</v>
      </c>
    </row>
    <row r="104" spans="1:32" s="1292" customFormat="1" ht="18.75" hidden="1" customHeight="1">
      <c r="A104" s="24211"/>
      <c r="C104" s="1562" t="s">
        <v>838</v>
      </c>
      <c r="D104" s="1564"/>
      <c r="E104" s="482" t="str">
        <f>FHD_NUM_P_64</f>
        <v/>
      </c>
      <c r="F104" s="1777" t="str">
        <f>FHD_P_64</f>
        <v/>
      </c>
      <c r="G104" s="1774" t="s">
        <v>833</v>
      </c>
      <c r="H104" s="481"/>
      <c r="I104" s="481"/>
      <c r="J104" s="225" t="str">
        <f>FHD_NOTE_P_64</f>
        <v/>
      </c>
      <c r="K104" s="479"/>
      <c r="L104" s="1562"/>
      <c r="M104" s="1562"/>
      <c r="R104" s="1562"/>
      <c r="U104" s="480"/>
      <c r="AA104" s="1558"/>
      <c r="AB104" s="1558"/>
      <c r="AC104" s="1558"/>
      <c r="AD104" s="1558"/>
      <c r="AE104" s="1558"/>
      <c r="AF104" s="1086">
        <v>0</v>
      </c>
    </row>
    <row r="105" spans="1:32" s="1292" customFormat="1" ht="18.75" hidden="1" customHeight="1">
      <c r="A105" s="24211"/>
      <c r="C105" s="1562"/>
      <c r="D105" s="1564"/>
      <c r="E105" s="482" t="str">
        <f>FHD_NUM_P_65</f>
        <v/>
      </c>
      <c r="F105" s="1777" t="str">
        <f>FHD_P_65</f>
        <v/>
      </c>
      <c r="G105" s="1774" t="s">
        <v>833</v>
      </c>
      <c r="H105" s="513"/>
      <c r="I105" s="513"/>
      <c r="J105" s="225" t="str">
        <f>FHD_NOTE_P_65</f>
        <v/>
      </c>
      <c r="K105" s="479"/>
      <c r="L105" s="1562"/>
      <c r="M105" s="1562"/>
      <c r="R105" s="1562"/>
      <c r="U105" s="480"/>
      <c r="AA105" s="1558"/>
      <c r="AB105" s="1558"/>
      <c r="AC105" s="1558"/>
      <c r="AD105" s="1558"/>
      <c r="AE105" s="1558"/>
      <c r="AF105" s="1086">
        <v>0</v>
      </c>
    </row>
    <row r="106" spans="1:32" s="1292" customFormat="1" ht="18.75" hidden="1" customHeight="1">
      <c r="A106" s="24211"/>
      <c r="C106" s="1562"/>
      <c r="D106" s="1564"/>
      <c r="E106" s="482" t="str">
        <f>FHD_NUM_P_66</f>
        <v/>
      </c>
      <c r="F106" s="1450" t="str">
        <f>FHD_P_66</f>
        <v/>
      </c>
      <c r="G106" s="1774" t="s">
        <v>833</v>
      </c>
      <c r="H106" s="513"/>
      <c r="I106" s="513"/>
      <c r="J106" s="225" t="str">
        <f>FHD_NOTE_P_66</f>
        <v/>
      </c>
      <c r="K106" s="479"/>
      <c r="L106" s="1562"/>
      <c r="M106" s="1562"/>
      <c r="R106" s="1562"/>
      <c r="U106" s="480"/>
      <c r="AA106" s="1558"/>
      <c r="AB106" s="1558"/>
      <c r="AC106" s="1558"/>
      <c r="AD106" s="1558"/>
      <c r="AE106" s="1558"/>
      <c r="AF106" s="1086">
        <v>0</v>
      </c>
    </row>
    <row r="107" spans="1:32" s="1292" customFormat="1" ht="18.75" hidden="1" customHeight="1">
      <c r="A107" s="24211"/>
      <c r="C107" s="1562"/>
      <c r="D107" s="1564"/>
      <c r="E107" s="482" t="str">
        <f>FHD_NUM_P_67</f>
        <v/>
      </c>
      <c r="F107" s="1576" t="str">
        <f>FHD_P_67</f>
        <v/>
      </c>
      <c r="G107" s="1774" t="s">
        <v>833</v>
      </c>
      <c r="H107" s="513"/>
      <c r="I107" s="513"/>
      <c r="J107" s="225" t="str">
        <f>FHD_NOTE_P_67</f>
        <v/>
      </c>
      <c r="K107" s="479"/>
      <c r="L107" s="1562"/>
      <c r="M107" s="1562"/>
      <c r="R107" s="1562"/>
      <c r="U107" s="480"/>
      <c r="AA107" s="1558"/>
      <c r="AB107" s="1558"/>
      <c r="AC107" s="1558"/>
      <c r="AD107" s="1558"/>
      <c r="AE107" s="1558"/>
      <c r="AF107" s="1086">
        <v>0</v>
      </c>
    </row>
    <row r="108" spans="1:32" s="1292" customFormat="1" ht="18.75" hidden="1" customHeight="1">
      <c r="A108" s="24211"/>
      <c r="C108" s="1562"/>
      <c r="D108" s="1564"/>
      <c r="E108" s="482" t="str">
        <f>FHD_NUM_P_68</f>
        <v/>
      </c>
      <c r="F108" s="1450" t="str">
        <f>FHD_P_68</f>
        <v/>
      </c>
      <c r="G108" s="1774" t="s">
        <v>833</v>
      </c>
      <c r="H108" s="513"/>
      <c r="I108" s="513"/>
      <c r="J108" s="225" t="str">
        <f>FHD_NOTE_P_68</f>
        <v/>
      </c>
      <c r="K108" s="479"/>
      <c r="L108" s="1562"/>
      <c r="M108" s="1562"/>
      <c r="R108" s="1562"/>
      <c r="U108" s="480"/>
      <c r="AA108" s="1558"/>
      <c r="AB108" s="1558"/>
      <c r="AC108" s="1558"/>
      <c r="AD108" s="1558"/>
      <c r="AE108" s="1558"/>
      <c r="AF108" s="1086">
        <v>0</v>
      </c>
    </row>
    <row r="109" spans="1:32" s="1292" customFormat="1" ht="18.75" hidden="1" customHeight="1">
      <c r="A109" s="24211"/>
      <c r="C109" s="1562"/>
      <c r="D109" s="1564"/>
      <c r="E109" s="482" t="str">
        <f>FHD_NUM_P_69</f>
        <v/>
      </c>
      <c r="F109" s="1450" t="str">
        <f>FHD_P_69</f>
        <v/>
      </c>
      <c r="G109" s="1774" t="s">
        <v>833</v>
      </c>
      <c r="H109" s="513"/>
      <c r="I109" s="513"/>
      <c r="J109" s="225" t="str">
        <f>FHD_NOTE_P_69</f>
        <v/>
      </c>
      <c r="K109" s="479"/>
      <c r="L109" s="1562"/>
      <c r="M109" s="1562"/>
      <c r="R109" s="1562"/>
      <c r="U109" s="480"/>
      <c r="AA109" s="1558"/>
      <c r="AB109" s="1558"/>
      <c r="AC109" s="1558"/>
      <c r="AD109" s="1558"/>
      <c r="AE109" s="1558"/>
      <c r="AF109" s="1086">
        <v>0</v>
      </c>
    </row>
    <row r="110" spans="1:32" s="1292" customFormat="1" ht="22.5" hidden="1" customHeight="1">
      <c r="A110" s="24211"/>
      <c r="C110" s="1562"/>
      <c r="D110" s="1564"/>
      <c r="E110" s="482" t="str">
        <f>FHD_NUM_P_70</f>
        <v/>
      </c>
      <c r="F110" s="1777" t="str">
        <f>FHD_P_70</f>
        <v/>
      </c>
      <c r="G110" s="1774" t="s">
        <v>839</v>
      </c>
      <c r="H110" s="493"/>
      <c r="I110" s="493"/>
      <c r="J110" s="225" t="str">
        <f>FHD_NOTE_P_70</f>
        <v/>
      </c>
      <c r="K110" s="479"/>
      <c r="L110" s="1562"/>
      <c r="M110" s="1562"/>
      <c r="R110" s="1562"/>
      <c r="U110" s="480"/>
      <c r="AA110" s="1558"/>
      <c r="AB110" s="1558"/>
      <c r="AC110" s="1558"/>
      <c r="AD110" s="1558"/>
      <c r="AE110" s="1558"/>
      <c r="AF110" s="1086">
        <v>0</v>
      </c>
    </row>
    <row r="111" spans="1:32" s="1292" customFormat="1" ht="22.5" hidden="1" customHeight="1">
      <c r="A111" s="24211"/>
      <c r="C111" s="1562"/>
      <c r="D111" s="1564"/>
      <c r="E111" s="482" t="str">
        <f>FHD_NUM_P_71</f>
        <v/>
      </c>
      <c r="F111" s="1777" t="str">
        <f>FHD_P_71</f>
        <v/>
      </c>
      <c r="G111" s="1774" t="s">
        <v>839</v>
      </c>
      <c r="H111" s="493"/>
      <c r="I111" s="493"/>
      <c r="J111" s="225" t="str">
        <f>FHD_NOTE_P_71</f>
        <v/>
      </c>
      <c r="K111" s="479"/>
      <c r="L111" s="1562"/>
      <c r="M111" s="1562"/>
      <c r="R111" s="1562"/>
      <c r="U111" s="480"/>
      <c r="AA111" s="1558"/>
      <c r="AB111" s="1558"/>
      <c r="AC111" s="1558"/>
      <c r="AD111" s="1558"/>
      <c r="AE111" s="1558"/>
      <c r="AF111" s="1086">
        <v>0</v>
      </c>
    </row>
    <row r="112" spans="1:32" ht="19.899999999999999" customHeight="1">
      <c r="D112" s="1564"/>
      <c r="E112" s="482" t="str">
        <f>FHD_NUM_P_72</f>
        <v>12</v>
      </c>
      <c r="F112" s="1777" t="str">
        <f>FHD_P_72</f>
        <v>Среднесписочная численность основного производственного персонала</v>
      </c>
      <c r="G112" s="1773" t="s">
        <v>840</v>
      </c>
      <c r="H112" s="513"/>
      <c r="I112" s="513"/>
      <c r="J112" s="225" t="str">
        <f>FHD_NOTE_P_72</f>
        <v/>
      </c>
      <c r="K112" s="479"/>
      <c r="AF112" s="1557">
        <v>19</v>
      </c>
    </row>
    <row r="113" spans="1:32" ht="18.75" hidden="1" customHeight="1">
      <c r="A113" s="918" t="s">
        <v>841</v>
      </c>
      <c r="D113" s="1564"/>
      <c r="E113" s="482" t="str">
        <f>FHD_NUM_P_73</f>
        <v/>
      </c>
      <c r="F113" s="1777" t="str">
        <f>FHD_P_73</f>
        <v/>
      </c>
      <c r="G113" s="899" t="s">
        <v>840</v>
      </c>
      <c r="H113" s="897"/>
      <c r="I113" s="897"/>
      <c r="J113" s="225" t="str">
        <f>FHD_NOTE_P_73</f>
        <v/>
      </c>
      <c r="K113" s="479"/>
      <c r="AF113" s="1557">
        <v>0</v>
      </c>
    </row>
    <row r="114" spans="1:32" ht="33.75" customHeight="1">
      <c r="A114" s="918" t="s">
        <v>842</v>
      </c>
      <c r="D114" s="1564"/>
      <c r="E114" s="482" t="str">
        <f>FHD_NUM_P_74</f>
        <v>13</v>
      </c>
      <c r="F114" s="1777" t="str">
        <f>FHD_P_74</f>
        <v>Удельный расход электрической энергии на подачу воды в сеть</v>
      </c>
      <c r="G114" s="1773" t="s">
        <v>843</v>
      </c>
      <c r="H114" s="513"/>
      <c r="I114" s="513"/>
      <c r="J114" s="225" t="str">
        <f>FHD_NOTE_P_74</f>
        <v/>
      </c>
      <c r="K114" s="479"/>
      <c r="AF114" s="1557">
        <v>0</v>
      </c>
    </row>
    <row r="115" spans="1:32" s="1561" customFormat="1" ht="18.75" hidden="1" customHeight="1">
      <c r="A115" s="24211" t="s">
        <v>844</v>
      </c>
      <c r="B115" s="839"/>
      <c r="C115" s="671"/>
      <c r="D115" s="669"/>
      <c r="E115" s="482" t="str">
        <f>FHD_NUM_P_75</f>
        <v/>
      </c>
      <c r="F115" s="1777" t="str">
        <f>FHD_P_75</f>
        <v/>
      </c>
      <c r="G115" s="1773" t="s">
        <v>808</v>
      </c>
      <c r="H115" s="493"/>
      <c r="I115" s="493"/>
      <c r="J115" s="225" t="str">
        <f>FHD_NOTE_P_75</f>
        <v/>
      </c>
      <c r="K115" s="670"/>
      <c r="L115" s="671"/>
      <c r="M115" s="671"/>
      <c r="N115" s="839"/>
      <c r="O115" s="839"/>
      <c r="P115" s="839"/>
      <c r="Q115" s="839"/>
      <c r="R115" s="671"/>
      <c r="S115" s="839"/>
      <c r="T115" s="839"/>
      <c r="U115" s="672"/>
      <c r="V115" s="839"/>
      <c r="W115" s="839"/>
      <c r="X115" s="839"/>
      <c r="Y115" s="839"/>
      <c r="Z115" s="839"/>
      <c r="AA115" s="673"/>
      <c r="AB115" s="673"/>
      <c r="AC115" s="673"/>
      <c r="AD115" s="673"/>
      <c r="AE115" s="673"/>
      <c r="AF115" s="675">
        <v>0</v>
      </c>
    </row>
    <row r="116" spans="1:32" s="1561" customFormat="1" ht="18.75" hidden="1" customHeight="1">
      <c r="A116" s="24211"/>
      <c r="B116" s="839"/>
      <c r="C116" s="671"/>
      <c r="D116" s="669"/>
      <c r="E116" s="482" t="str">
        <f>FHD_NUM_P_76</f>
        <v/>
      </c>
      <c r="F116" s="1777" t="str">
        <f>FHD_P_76</f>
        <v/>
      </c>
      <c r="G116" s="1773" t="s">
        <v>808</v>
      </c>
      <c r="H116" s="493"/>
      <c r="I116" s="493"/>
      <c r="J116" s="225" t="str">
        <f>FHD_NOTE_P_76</f>
        <v/>
      </c>
      <c r="K116" s="670"/>
      <c r="L116" s="671"/>
      <c r="M116" s="671"/>
      <c r="N116" s="839"/>
      <c r="O116" s="839"/>
      <c r="P116" s="839"/>
      <c r="Q116" s="839"/>
      <c r="R116" s="671"/>
      <c r="S116" s="839"/>
      <c r="T116" s="839"/>
      <c r="U116" s="672"/>
      <c r="V116" s="839"/>
      <c r="W116" s="839"/>
      <c r="X116" s="839"/>
      <c r="Y116" s="839"/>
      <c r="Z116" s="839"/>
      <c r="AA116" s="673"/>
      <c r="AB116" s="673"/>
      <c r="AC116" s="673"/>
      <c r="AD116" s="673"/>
      <c r="AE116" s="673"/>
      <c r="AF116" s="675">
        <v>0</v>
      </c>
    </row>
    <row r="117" spans="1:32" s="1561" customFormat="1" ht="18.75" hidden="1" customHeight="1">
      <c r="A117" s="24211"/>
      <c r="B117" s="839"/>
      <c r="C117" s="671"/>
      <c r="D117" s="669"/>
      <c r="E117" s="482" t="str">
        <f>FHD_NUM_P_77</f>
        <v/>
      </c>
      <c r="F117" s="1777" t="str">
        <f>FHD_P_77</f>
        <v/>
      </c>
      <c r="G117" s="1773" t="s">
        <v>808</v>
      </c>
      <c r="H117" s="493"/>
      <c r="I117" s="493"/>
      <c r="J117" s="225" t="str">
        <f>FHD_NOTE_P_77</f>
        <v/>
      </c>
      <c r="K117" s="670"/>
      <c r="L117" s="671"/>
      <c r="M117" s="671"/>
      <c r="N117" s="839"/>
      <c r="O117" s="839"/>
      <c r="P117" s="839"/>
      <c r="Q117" s="839"/>
      <c r="R117" s="671"/>
      <c r="S117" s="839"/>
      <c r="T117" s="839"/>
      <c r="U117" s="672"/>
      <c r="V117" s="839"/>
      <c r="W117" s="839"/>
      <c r="X117" s="839"/>
      <c r="Y117" s="839"/>
      <c r="Z117" s="839"/>
      <c r="AA117" s="673"/>
      <c r="AB117" s="673"/>
      <c r="AC117" s="673"/>
      <c r="AD117" s="673"/>
      <c r="AE117" s="673"/>
      <c r="AF117" s="675">
        <v>0</v>
      </c>
    </row>
    <row r="118" spans="1:32" s="1568" customFormat="1" ht="0.75" hidden="1" customHeight="1">
      <c r="A118" s="24211"/>
      <c r="D118" s="484"/>
      <c r="E118" s="942" t="str">
        <f>E117&amp;".0"</f>
        <v>.0</v>
      </c>
      <c r="F118" s="926"/>
      <c r="G118" s="1577"/>
      <c r="H118" s="921"/>
      <c r="I118" s="921"/>
      <c r="J118" s="925"/>
      <c r="AF118" s="1562">
        <v>0</v>
      </c>
    </row>
    <row r="119" spans="1:32" s="1561" customFormat="1" ht="15" hidden="1" customHeight="1">
      <c r="A119" s="24211"/>
      <c r="B119" s="839"/>
      <c r="C119" s="671"/>
      <c r="D119" s="682"/>
      <c r="E119" s="902"/>
      <c r="F119" s="903" t="s">
        <v>845</v>
      </c>
      <c r="G119" s="683"/>
      <c r="H119" s="684"/>
      <c r="I119" s="684"/>
      <c r="J119" s="932" t="s">
        <v>846</v>
      </c>
      <c r="K119" s="670"/>
      <c r="L119" s="671"/>
      <c r="M119" s="671"/>
      <c r="N119" s="839"/>
      <c r="O119" s="839"/>
      <c r="P119" s="839"/>
      <c r="Q119" s="839"/>
      <c r="R119" s="671"/>
      <c r="S119" s="839"/>
      <c r="T119" s="839"/>
      <c r="U119" s="672"/>
      <c r="V119" s="839"/>
      <c r="W119" s="839"/>
      <c r="X119" s="839"/>
      <c r="Y119" s="839"/>
      <c r="Z119" s="839"/>
      <c r="AA119" s="673"/>
      <c r="AB119" s="673"/>
      <c r="AC119" s="673"/>
      <c r="AD119" s="673"/>
      <c r="AE119" s="673"/>
      <c r="AF119" s="675">
        <v>0</v>
      </c>
    </row>
    <row r="120" spans="1:32" ht="22.5" hidden="1" customHeight="1">
      <c r="A120" s="24211" t="s">
        <v>847</v>
      </c>
      <c r="D120" s="1564"/>
      <c r="E120" s="482" t="str">
        <f>FHD_NUM_P_78</f>
        <v/>
      </c>
      <c r="F120" s="1777" t="str">
        <f>FHD_P_78</f>
        <v/>
      </c>
      <c r="G120" s="1774" t="s">
        <v>810</v>
      </c>
      <c r="H120" s="513"/>
      <c r="I120" s="513"/>
      <c r="J120" s="225" t="str">
        <f>FHD_NOTE_P_78</f>
        <v/>
      </c>
      <c r="K120" s="479"/>
      <c r="AF120" s="1557">
        <v>0</v>
      </c>
    </row>
    <row r="121" spans="1:32" s="1568" customFormat="1" ht="0.75" hidden="1" customHeight="1">
      <c r="A121" s="24211"/>
      <c r="D121" s="484"/>
      <c r="E121" s="942" t="str">
        <f>E120&amp;".0"</f>
        <v>.0</v>
      </c>
      <c r="F121" s="926"/>
      <c r="G121" s="1577"/>
      <c r="H121" s="921"/>
      <c r="I121" s="921"/>
      <c r="J121" s="925"/>
      <c r="AF121" s="1562">
        <v>0</v>
      </c>
    </row>
    <row r="122" spans="1:32" ht="15" hidden="1" customHeight="1">
      <c r="A122" s="24211"/>
      <c r="D122" s="1559"/>
      <c r="E122" s="506"/>
      <c r="F122" s="1094" t="s">
        <v>836</v>
      </c>
      <c r="G122" s="508"/>
      <c r="H122" s="509"/>
      <c r="I122" s="509"/>
      <c r="J122" s="933" t="s">
        <v>848</v>
      </c>
      <c r="K122" s="479"/>
      <c r="AF122" s="1557">
        <v>0</v>
      </c>
    </row>
    <row r="123" spans="1:32" ht="22.5" hidden="1" customHeight="1">
      <c r="A123" s="24211"/>
      <c r="D123" s="1564"/>
      <c r="E123" s="482" t="str">
        <f>FHD_NUM_P_79</f>
        <v/>
      </c>
      <c r="F123" s="1777" t="str">
        <f>FHD_P_79</f>
        <v/>
      </c>
      <c r="G123" s="1775" t="s">
        <v>812</v>
      </c>
      <c r="H123" s="513"/>
      <c r="I123" s="513"/>
      <c r="J123" s="225" t="str">
        <f>FHD_NOTE_P_79</f>
        <v/>
      </c>
      <c r="K123" s="479"/>
      <c r="AF123" s="1557">
        <v>0</v>
      </c>
    </row>
    <row r="124" spans="1:32" s="1568" customFormat="1" ht="0.75" hidden="1" customHeight="1">
      <c r="A124" s="24211"/>
      <c r="D124" s="484"/>
      <c r="E124" s="942" t="str">
        <f>E123&amp;".0"</f>
        <v>.0</v>
      </c>
      <c r="F124" s="927"/>
      <c r="G124" s="1577"/>
      <c r="H124" s="921"/>
      <c r="I124" s="921"/>
      <c r="J124" s="925"/>
      <c r="AF124" s="1562">
        <v>0</v>
      </c>
    </row>
    <row r="125" spans="1:32" ht="15" hidden="1" customHeight="1">
      <c r="A125" s="24211"/>
      <c r="D125" s="1559"/>
      <c r="E125" s="506"/>
      <c r="F125" s="1094" t="s">
        <v>836</v>
      </c>
      <c r="G125" s="508"/>
      <c r="H125" s="509"/>
      <c r="I125" s="509"/>
      <c r="J125" s="933" t="s">
        <v>849</v>
      </c>
      <c r="K125" s="479"/>
      <c r="AF125" s="1557">
        <v>0</v>
      </c>
    </row>
    <row r="126" spans="1:32" ht="22.5" hidden="1" customHeight="1">
      <c r="A126" s="24211"/>
      <c r="D126" s="1564"/>
      <c r="E126" s="482" t="str">
        <f>FHD_NUM_P_80</f>
        <v/>
      </c>
      <c r="F126" s="1777" t="str">
        <f>FHD_P_80</f>
        <v/>
      </c>
      <c r="G126" s="1775" t="s">
        <v>850</v>
      </c>
      <c r="H126" s="493"/>
      <c r="I126" s="493"/>
      <c r="J126" s="225" t="str">
        <f>FHD_NOTE_P_80</f>
        <v/>
      </c>
      <c r="K126" s="479"/>
      <c r="AF126" s="1557">
        <v>0</v>
      </c>
    </row>
    <row r="127" spans="1:32" ht="18.75" hidden="1" customHeight="1">
      <c r="A127" s="24211"/>
      <c r="D127" s="1564"/>
      <c r="E127" s="482" t="str">
        <f>FHD_NUM_P_81</f>
        <v/>
      </c>
      <c r="F127" s="1777" t="str">
        <f>FHD_P_81</f>
        <v/>
      </c>
      <c r="G127" s="1775" t="s">
        <v>851</v>
      </c>
      <c r="H127" s="493"/>
      <c r="I127" s="493"/>
      <c r="J127" s="225" t="str">
        <f>FHD_NOTE_P_81</f>
        <v/>
      </c>
      <c r="K127" s="479"/>
      <c r="AF127" s="1557">
        <v>0</v>
      </c>
    </row>
    <row r="128" spans="1:32" ht="18.75" hidden="1" customHeight="1">
      <c r="A128" s="24211"/>
      <c r="C128" s="1562" t="s">
        <v>838</v>
      </c>
      <c r="D128" s="1564"/>
      <c r="E128" s="482" t="str">
        <f>FHD_NUM_P_82</f>
        <v/>
      </c>
      <c r="F128" s="1777" t="str">
        <f>FHD_P_82</f>
        <v/>
      </c>
      <c r="G128" s="1775" t="s">
        <v>535</v>
      </c>
      <c r="H128" s="337"/>
      <c r="I128" s="337"/>
      <c r="J128" s="225" t="str">
        <f>FHD_NOTE_P_82</f>
        <v/>
      </c>
      <c r="K128" s="479"/>
      <c r="AF128" s="1557">
        <v>0</v>
      </c>
    </row>
    <row r="129" spans="1:32" ht="18.75" hidden="1" customHeight="1">
      <c r="A129" s="24211"/>
      <c r="C129" s="1562" t="s">
        <v>838</v>
      </c>
      <c r="D129" s="1564"/>
      <c r="E129" s="482" t="str">
        <f>FHD_NUM_P_83</f>
        <v/>
      </c>
      <c r="F129" s="1450" t="str">
        <f>FHD_P_83</f>
        <v/>
      </c>
      <c r="G129" s="1775" t="s">
        <v>535</v>
      </c>
      <c r="H129" s="337"/>
      <c r="I129" s="337"/>
      <c r="J129" s="225" t="str">
        <f>FHD_NOTE_P_83</f>
        <v/>
      </c>
      <c r="K129" s="479"/>
      <c r="AF129" s="1557">
        <v>0</v>
      </c>
    </row>
    <row r="130" spans="1:32" ht="18.75" hidden="1" customHeight="1">
      <c r="A130" s="24211"/>
      <c r="C130" s="1562" t="s">
        <v>838</v>
      </c>
      <c r="D130" s="1564"/>
      <c r="E130" s="482" t="str">
        <f>FHD_NUM_P_84</f>
        <v/>
      </c>
      <c r="F130" s="1450" t="str">
        <f>FHD_P_84</f>
        <v/>
      </c>
      <c r="G130" s="1775" t="s">
        <v>535</v>
      </c>
      <c r="H130" s="337"/>
      <c r="I130" s="337"/>
      <c r="J130" s="225" t="str">
        <f>FHD_NOTE_P_84</f>
        <v/>
      </c>
      <c r="K130" s="479"/>
      <c r="AF130" s="1557">
        <v>0</v>
      </c>
    </row>
    <row r="131" spans="1:32" ht="11.45" customHeight="1">
      <c r="D131" s="1564"/>
      <c r="AF131" s="1557">
        <v>11</v>
      </c>
    </row>
    <row r="132" spans="1:32" ht="13.5" customHeight="1">
      <c r="D132" s="1564"/>
      <c r="E132" s="272"/>
      <c r="F132" s="305"/>
      <c r="G132" s="305"/>
      <c r="H132" s="305"/>
      <c r="I132" s="1573"/>
      <c r="J132" s="517"/>
      <c r="AF132" s="1557">
        <v>13</v>
      </c>
    </row>
    <row r="133" spans="1:32" s="1567" customFormat="1" ht="11.45" customHeight="1">
      <c r="A133" s="916"/>
      <c r="B133" s="1562"/>
      <c r="C133" s="1562"/>
      <c r="D133" s="287"/>
      <c r="F133" s="1566"/>
      <c r="G133" s="1557"/>
      <c r="H133" s="1557"/>
      <c r="I133" s="155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H136" s="502" t="str">
        <f>IF(H30-H31&lt;&gt;H72,"WARNING","")</f>
        <v/>
      </c>
      <c r="I136" s="502" t="str">
        <f>IF(I30-I31&lt;&gt;I72,"WARNING","")</f>
        <v/>
      </c>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s="1567" customFormat="1" ht="11.45" customHeight="1">
      <c r="A203" s="916"/>
      <c r="B203" s="1562"/>
      <c r="C203" s="1562"/>
      <c r="D203" s="287"/>
      <c r="K203" s="1086"/>
      <c r="L203" s="1562"/>
      <c r="M203" s="1562"/>
      <c r="N203" s="1086"/>
      <c r="O203" s="1086"/>
      <c r="P203" s="1086"/>
      <c r="Q203" s="1086"/>
      <c r="R203" s="1562"/>
      <c r="S203" s="1086"/>
      <c r="T203" s="1086"/>
      <c r="U203" s="480"/>
      <c r="V203" s="1086"/>
      <c r="W203" s="1086"/>
      <c r="X203" s="1086"/>
      <c r="Y203" s="1086"/>
      <c r="Z203" s="1086"/>
      <c r="AA203" s="1558"/>
      <c r="AB203" s="502"/>
      <c r="AC203" s="502"/>
      <c r="AD203" s="502"/>
      <c r="AE203" s="502"/>
      <c r="AF203" s="1567">
        <v>11</v>
      </c>
    </row>
    <row r="204" spans="1:32" s="1567" customFormat="1" ht="11.45" customHeight="1">
      <c r="A204" s="916"/>
      <c r="B204" s="1562"/>
      <c r="C204" s="1562"/>
      <c r="D204" s="287"/>
      <c r="K204" s="1086"/>
      <c r="L204" s="1562"/>
      <c r="M204" s="1562"/>
      <c r="N204" s="1086"/>
      <c r="O204" s="1086"/>
      <c r="P204" s="1086"/>
      <c r="Q204" s="1086"/>
      <c r="R204" s="1562"/>
      <c r="S204" s="1086"/>
      <c r="T204" s="1086"/>
      <c r="U204" s="480"/>
      <c r="V204" s="1086"/>
      <c r="W204" s="1086"/>
      <c r="X204" s="1086"/>
      <c r="Y204" s="1086"/>
      <c r="Z204" s="1086"/>
      <c r="AA204" s="1558"/>
      <c r="AB204" s="502"/>
      <c r="AC204" s="502"/>
      <c r="AD204" s="502"/>
      <c r="AE204" s="502"/>
      <c r="AF204" s="1567">
        <v>11</v>
      </c>
    </row>
    <row r="205" spans="1:32" s="1567" customFormat="1" ht="11.45" customHeight="1">
      <c r="A205" s="916"/>
      <c r="B205" s="1562"/>
      <c r="C205" s="1562"/>
      <c r="D205" s="287"/>
      <c r="K205" s="1086"/>
      <c r="L205" s="1562"/>
      <c r="M205" s="1562"/>
      <c r="N205" s="1086"/>
      <c r="O205" s="1086"/>
      <c r="P205" s="1086"/>
      <c r="Q205" s="1086"/>
      <c r="R205" s="1562"/>
      <c r="S205" s="1086"/>
      <c r="T205" s="1086"/>
      <c r="U205" s="480"/>
      <c r="V205" s="1086"/>
      <c r="W205" s="1086"/>
      <c r="X205" s="1086"/>
      <c r="Y205" s="1086"/>
      <c r="Z205" s="1086"/>
      <c r="AA205" s="1558"/>
      <c r="AB205" s="502"/>
      <c r="AC205" s="502"/>
      <c r="AD205" s="502"/>
      <c r="AE205" s="502"/>
      <c r="AF205" s="1567">
        <v>11</v>
      </c>
    </row>
    <row r="206" spans="1:32" s="1567" customFormat="1" ht="11.45" customHeight="1">
      <c r="A206" s="916"/>
      <c r="B206" s="1562"/>
      <c r="C206" s="1562"/>
      <c r="D206" s="287"/>
      <c r="K206" s="1086"/>
      <c r="L206" s="1562"/>
      <c r="M206" s="1562"/>
      <c r="N206" s="1086"/>
      <c r="O206" s="1086"/>
      <c r="P206" s="1086"/>
      <c r="Q206" s="1086"/>
      <c r="R206" s="1562"/>
      <c r="S206" s="1086"/>
      <c r="T206" s="1086"/>
      <c r="U206" s="480"/>
      <c r="V206" s="1086"/>
      <c r="W206" s="1086"/>
      <c r="X206" s="1086"/>
      <c r="Y206" s="1086"/>
      <c r="Z206" s="1086"/>
      <c r="AA206" s="1558"/>
      <c r="AB206" s="502"/>
      <c r="AC206" s="502"/>
      <c r="AD206" s="502"/>
      <c r="AE206" s="502"/>
      <c r="AF206" s="1567">
        <v>11</v>
      </c>
    </row>
    <row r="207" spans="1:32" s="1567" customFormat="1" ht="11.45" customHeight="1">
      <c r="A207" s="916"/>
      <c r="B207" s="1562"/>
      <c r="C207" s="1562"/>
      <c r="D207" s="287"/>
      <c r="K207" s="1086"/>
      <c r="L207" s="1562"/>
      <c r="M207" s="1562"/>
      <c r="N207" s="1086"/>
      <c r="O207" s="1086"/>
      <c r="P207" s="1086"/>
      <c r="Q207" s="1086"/>
      <c r="R207" s="1562"/>
      <c r="S207" s="1086"/>
      <c r="T207" s="1086"/>
      <c r="U207" s="480"/>
      <c r="V207" s="1086"/>
      <c r="W207" s="1086"/>
      <c r="X207" s="1086"/>
      <c r="Y207" s="1086"/>
      <c r="Z207" s="1086"/>
      <c r="AA207" s="1558"/>
      <c r="AB207" s="502"/>
      <c r="AC207" s="502"/>
      <c r="AD207" s="502"/>
      <c r="AE207" s="502"/>
      <c r="AF207" s="1567">
        <v>11</v>
      </c>
    </row>
    <row r="208" spans="1:32" s="1567" customFormat="1" ht="11.45" customHeight="1">
      <c r="A208" s="916"/>
      <c r="B208" s="1562"/>
      <c r="C208" s="1562"/>
      <c r="D208" s="287"/>
      <c r="K208" s="1086"/>
      <c r="L208" s="1562"/>
      <c r="M208" s="1562"/>
      <c r="N208" s="1086"/>
      <c r="O208" s="1086"/>
      <c r="P208" s="1086"/>
      <c r="Q208" s="1086"/>
      <c r="R208" s="1562"/>
      <c r="S208" s="1086"/>
      <c r="T208" s="1086"/>
      <c r="U208" s="480"/>
      <c r="V208" s="1086"/>
      <c r="W208" s="1086"/>
      <c r="X208" s="1086"/>
      <c r="Y208" s="1086"/>
      <c r="Z208" s="1086"/>
      <c r="AA208" s="1558"/>
      <c r="AB208" s="502"/>
      <c r="AC208" s="502"/>
      <c r="AD208" s="502"/>
      <c r="AE208" s="502"/>
      <c r="AF208" s="1567">
        <v>11</v>
      </c>
    </row>
    <row r="209" spans="1:32" s="1567" customFormat="1" ht="11.45" customHeight="1">
      <c r="A209" s="916"/>
      <c r="B209" s="1562"/>
      <c r="C209" s="1562"/>
      <c r="D209" s="287"/>
      <c r="K209" s="1086"/>
      <c r="L209" s="1562"/>
      <c r="M209" s="1562"/>
      <c r="N209" s="1086"/>
      <c r="O209" s="1086"/>
      <c r="P209" s="1086"/>
      <c r="Q209" s="1086"/>
      <c r="R209" s="1562"/>
      <c r="S209" s="1086"/>
      <c r="T209" s="1086"/>
      <c r="U209" s="480"/>
      <c r="V209" s="1086"/>
      <c r="W209" s="1086"/>
      <c r="X209" s="1086"/>
      <c r="Y209" s="1086"/>
      <c r="Z209" s="1086"/>
      <c r="AA209" s="1558"/>
      <c r="AB209" s="502"/>
      <c r="AC209" s="502"/>
      <c r="AD209" s="502"/>
      <c r="AE209" s="502"/>
      <c r="AF209" s="1567">
        <v>11</v>
      </c>
    </row>
    <row r="210" spans="1:32" s="1567" customFormat="1" ht="11.45" customHeight="1">
      <c r="A210" s="916"/>
      <c r="B210" s="1562"/>
      <c r="C210" s="1562"/>
      <c r="D210" s="287"/>
      <c r="K210" s="1086"/>
      <c r="L210" s="1562"/>
      <c r="M210" s="1562"/>
      <c r="N210" s="1086"/>
      <c r="O210" s="1086"/>
      <c r="P210" s="1086"/>
      <c r="Q210" s="1086"/>
      <c r="R210" s="1562"/>
      <c r="S210" s="1086"/>
      <c r="T210" s="1086"/>
      <c r="U210" s="480"/>
      <c r="V210" s="1086"/>
      <c r="W210" s="1086"/>
      <c r="X210" s="1086"/>
      <c r="Y210" s="1086"/>
      <c r="Z210" s="1086"/>
      <c r="AA210" s="1558"/>
      <c r="AB210" s="502"/>
      <c r="AC210" s="502"/>
      <c r="AD210" s="502"/>
      <c r="AE210" s="502"/>
      <c r="AF210" s="1567">
        <v>11</v>
      </c>
    </row>
    <row r="211" spans="1:32" s="1567" customFormat="1" ht="11.45" customHeight="1">
      <c r="A211" s="916"/>
      <c r="B211" s="1562"/>
      <c r="C211" s="1562"/>
      <c r="D211" s="287"/>
      <c r="K211" s="1086"/>
      <c r="L211" s="1562"/>
      <c r="M211" s="1562"/>
      <c r="N211" s="1086"/>
      <c r="O211" s="1086"/>
      <c r="P211" s="1086"/>
      <c r="Q211" s="1086"/>
      <c r="R211" s="1562"/>
      <c r="S211" s="1086"/>
      <c r="T211" s="1086"/>
      <c r="U211" s="480"/>
      <c r="V211" s="1086"/>
      <c r="W211" s="1086"/>
      <c r="X211" s="1086"/>
      <c r="Y211" s="1086"/>
      <c r="Z211" s="1086"/>
      <c r="AA211" s="1558"/>
      <c r="AB211" s="502"/>
      <c r="AC211" s="502"/>
      <c r="AD211" s="502"/>
      <c r="AE211" s="502"/>
      <c r="AF211" s="1567">
        <v>11</v>
      </c>
    </row>
    <row r="212" spans="1:32" s="1567" customFormat="1" ht="11.45" customHeight="1">
      <c r="A212" s="916"/>
      <c r="B212" s="1562"/>
      <c r="C212" s="1562"/>
      <c r="D212" s="287"/>
      <c r="K212" s="1086"/>
      <c r="L212" s="1562"/>
      <c r="M212" s="1562"/>
      <c r="N212" s="1086"/>
      <c r="O212" s="1086"/>
      <c r="P212" s="1086"/>
      <c r="Q212" s="1086"/>
      <c r="R212" s="1562"/>
      <c r="S212" s="1086"/>
      <c r="T212" s="1086"/>
      <c r="U212" s="480"/>
      <c r="V212" s="1086"/>
      <c r="W212" s="1086"/>
      <c r="X212" s="1086"/>
      <c r="Y212" s="1086"/>
      <c r="Z212" s="1086"/>
      <c r="AA212" s="1558"/>
      <c r="AB212" s="502"/>
      <c r="AC212" s="502"/>
      <c r="AD212" s="502"/>
      <c r="AE212" s="502"/>
      <c r="AF212" s="1567">
        <v>11</v>
      </c>
    </row>
    <row r="213" spans="1:32" s="1567" customFormat="1" ht="11.45" customHeight="1">
      <c r="A213" s="916"/>
      <c r="B213" s="1562"/>
      <c r="C213" s="1562"/>
      <c r="D213" s="287"/>
      <c r="K213" s="1086"/>
      <c r="L213" s="1562"/>
      <c r="M213" s="1562"/>
      <c r="N213" s="1086"/>
      <c r="O213" s="1086"/>
      <c r="P213" s="1086"/>
      <c r="Q213" s="1086"/>
      <c r="R213" s="1562"/>
      <c r="S213" s="1086"/>
      <c r="T213" s="1086"/>
      <c r="U213" s="480"/>
      <c r="V213" s="1086"/>
      <c r="W213" s="1086"/>
      <c r="X213" s="1086"/>
      <c r="Y213" s="1086"/>
      <c r="Z213" s="1086"/>
      <c r="AA213" s="1558"/>
      <c r="AB213" s="502"/>
      <c r="AC213" s="502"/>
      <c r="AD213" s="502"/>
      <c r="AE213" s="502"/>
      <c r="AF213" s="1567">
        <v>11</v>
      </c>
    </row>
    <row r="214" spans="1:32" s="1567" customFormat="1" ht="11.45" customHeight="1">
      <c r="A214" s="916"/>
      <c r="B214" s="1562"/>
      <c r="C214" s="1562"/>
      <c r="D214" s="287"/>
      <c r="K214" s="1086"/>
      <c r="L214" s="1562"/>
      <c r="M214" s="1562"/>
      <c r="N214" s="1086"/>
      <c r="O214" s="1086"/>
      <c r="P214" s="1086"/>
      <c r="Q214" s="1086"/>
      <c r="R214" s="1562"/>
      <c r="S214" s="1086"/>
      <c r="T214" s="1086"/>
      <c r="U214" s="480"/>
      <c r="V214" s="1086"/>
      <c r="W214" s="1086"/>
      <c r="X214" s="1086"/>
      <c r="Y214" s="1086"/>
      <c r="Z214" s="1086"/>
      <c r="AA214" s="1558"/>
      <c r="AB214" s="502"/>
      <c r="AC214" s="502"/>
      <c r="AD214" s="502"/>
      <c r="AE214" s="502"/>
      <c r="AF214" s="1567">
        <v>11</v>
      </c>
    </row>
    <row r="215" spans="1:32" s="1567" customFormat="1" ht="11.45" customHeight="1">
      <c r="A215" s="916"/>
      <c r="B215" s="1562"/>
      <c r="C215" s="1562"/>
      <c r="D215" s="287"/>
      <c r="K215" s="1086"/>
      <c r="L215" s="1562"/>
      <c r="M215" s="1562"/>
      <c r="N215" s="1086"/>
      <c r="O215" s="1086"/>
      <c r="P215" s="1086"/>
      <c r="Q215" s="1086"/>
      <c r="R215" s="1562"/>
      <c r="S215" s="1086"/>
      <c r="T215" s="1086"/>
      <c r="U215" s="480"/>
      <c r="V215" s="1086"/>
      <c r="W215" s="1086"/>
      <c r="X215" s="1086"/>
      <c r="Y215" s="1086"/>
      <c r="Z215" s="1086"/>
      <c r="AA215" s="1558"/>
      <c r="AB215" s="502"/>
      <c r="AC215" s="502"/>
      <c r="AD215" s="502"/>
      <c r="AE215" s="502"/>
      <c r="AF215" s="1567">
        <v>11</v>
      </c>
    </row>
    <row r="216" spans="1:32" s="1567" customFormat="1" ht="11.45" customHeight="1">
      <c r="A216" s="916"/>
      <c r="B216" s="1562"/>
      <c r="C216" s="1562"/>
      <c r="D216" s="287"/>
      <c r="K216" s="1086"/>
      <c r="L216" s="1562"/>
      <c r="M216" s="1562"/>
      <c r="N216" s="1086"/>
      <c r="O216" s="1086"/>
      <c r="P216" s="1086"/>
      <c r="Q216" s="1086"/>
      <c r="R216" s="1562"/>
      <c r="S216" s="1086"/>
      <c r="T216" s="1086"/>
      <c r="U216" s="480"/>
      <c r="V216" s="1086"/>
      <c r="W216" s="1086"/>
      <c r="X216" s="1086"/>
      <c r="Y216" s="1086"/>
      <c r="Z216" s="1086"/>
      <c r="AA216" s="1558"/>
      <c r="AB216" s="502"/>
      <c r="AC216" s="502"/>
      <c r="AD216" s="502"/>
      <c r="AE216" s="502"/>
      <c r="AF216" s="1567">
        <v>11</v>
      </c>
    </row>
    <row r="217" spans="1:32" s="1567" customFormat="1" ht="11.45" customHeight="1">
      <c r="A217" s="916"/>
      <c r="B217" s="1562"/>
      <c r="C217" s="1562"/>
      <c r="D217" s="287"/>
      <c r="K217" s="1086"/>
      <c r="L217" s="1562"/>
      <c r="M217" s="1562"/>
      <c r="N217" s="1086"/>
      <c r="O217" s="1086"/>
      <c r="P217" s="1086"/>
      <c r="Q217" s="1086"/>
      <c r="R217" s="1562"/>
      <c r="S217" s="1086"/>
      <c r="T217" s="1086"/>
      <c r="U217" s="480"/>
      <c r="V217" s="1086"/>
      <c r="W217" s="1086"/>
      <c r="X217" s="1086"/>
      <c r="Y217" s="1086"/>
      <c r="Z217" s="1086"/>
      <c r="AA217" s="1558"/>
      <c r="AB217" s="502"/>
      <c r="AC217" s="502"/>
      <c r="AD217" s="502"/>
      <c r="AE217" s="502"/>
      <c r="AF217" s="1567">
        <v>11</v>
      </c>
    </row>
    <row r="218" spans="1:32" s="1567" customFormat="1" ht="11.45" customHeight="1">
      <c r="A218" s="916"/>
      <c r="B218" s="1562"/>
      <c r="C218" s="1562"/>
      <c r="D218" s="287"/>
      <c r="K218" s="1086"/>
      <c r="L218" s="1562"/>
      <c r="M218" s="1562"/>
      <c r="N218" s="1086"/>
      <c r="O218" s="1086"/>
      <c r="P218" s="1086"/>
      <c r="Q218" s="1086"/>
      <c r="R218" s="1562"/>
      <c r="S218" s="1086"/>
      <c r="T218" s="1086"/>
      <c r="U218" s="480"/>
      <c r="V218" s="1086"/>
      <c r="W218" s="1086"/>
      <c r="X218" s="1086"/>
      <c r="Y218" s="1086"/>
      <c r="Z218" s="1086"/>
      <c r="AA218" s="1558"/>
      <c r="AB218" s="502"/>
      <c r="AC218" s="502"/>
      <c r="AD218" s="502"/>
      <c r="AE218" s="502"/>
      <c r="AF218" s="1567">
        <v>11</v>
      </c>
    </row>
    <row r="219" spans="1:32" s="1567" customFormat="1" ht="11.45" customHeight="1">
      <c r="A219" s="916"/>
      <c r="B219" s="1562"/>
      <c r="C219" s="1562"/>
      <c r="D219" s="287"/>
      <c r="K219" s="1086"/>
      <c r="L219" s="1562"/>
      <c r="M219" s="1562"/>
      <c r="N219" s="1086"/>
      <c r="O219" s="1086"/>
      <c r="P219" s="1086"/>
      <c r="Q219" s="1086"/>
      <c r="R219" s="1562"/>
      <c r="S219" s="1086"/>
      <c r="T219" s="1086"/>
      <c r="U219" s="480"/>
      <c r="V219" s="1086"/>
      <c r="W219" s="1086"/>
      <c r="X219" s="1086"/>
      <c r="Y219" s="1086"/>
      <c r="Z219" s="1086"/>
      <c r="AA219" s="1558"/>
      <c r="AB219" s="502"/>
      <c r="AC219" s="502"/>
      <c r="AD219" s="502"/>
      <c r="AE219" s="502"/>
      <c r="AF219" s="1567">
        <v>11</v>
      </c>
    </row>
    <row r="220" spans="1:32" s="1567" customFormat="1" ht="11.45" customHeight="1">
      <c r="A220" s="916"/>
      <c r="B220" s="1562"/>
      <c r="C220" s="1562"/>
      <c r="D220" s="287"/>
      <c r="K220" s="1086"/>
      <c r="L220" s="1562"/>
      <c r="M220" s="1562"/>
      <c r="N220" s="1086"/>
      <c r="O220" s="1086"/>
      <c r="P220" s="1086"/>
      <c r="Q220" s="1086"/>
      <c r="R220" s="1562"/>
      <c r="S220" s="1086"/>
      <c r="T220" s="1086"/>
      <c r="U220" s="480"/>
      <c r="V220" s="1086"/>
      <c r="W220" s="1086"/>
      <c r="X220" s="1086"/>
      <c r="Y220" s="1086"/>
      <c r="Z220" s="1086"/>
      <c r="AA220" s="1558"/>
      <c r="AB220" s="502"/>
      <c r="AC220" s="502"/>
      <c r="AD220" s="502"/>
      <c r="AE220" s="502"/>
      <c r="AF220" s="1567">
        <v>11</v>
      </c>
    </row>
    <row r="221" spans="1:32" s="1567" customFormat="1" ht="11.45" customHeight="1">
      <c r="A221" s="916"/>
      <c r="B221" s="1562"/>
      <c r="C221" s="1562"/>
      <c r="D221" s="287"/>
      <c r="K221" s="1086"/>
      <c r="L221" s="1562"/>
      <c r="M221" s="1562"/>
      <c r="N221" s="1086"/>
      <c r="O221" s="1086"/>
      <c r="P221" s="1086"/>
      <c r="Q221" s="1086"/>
      <c r="R221" s="1562"/>
      <c r="S221" s="1086"/>
      <c r="T221" s="1086"/>
      <c r="U221" s="480"/>
      <c r="V221" s="1086"/>
      <c r="W221" s="1086"/>
      <c r="X221" s="1086"/>
      <c r="Y221" s="1086"/>
      <c r="Z221" s="1086"/>
      <c r="AA221" s="1558"/>
      <c r="AB221" s="502"/>
      <c r="AC221" s="502"/>
      <c r="AD221" s="502"/>
      <c r="AE221" s="502"/>
      <c r="AF221" s="1567">
        <v>11</v>
      </c>
    </row>
    <row r="222" spans="1:32" s="1567" customFormat="1" ht="11.45" customHeight="1">
      <c r="A222" s="916"/>
      <c r="B222" s="1562"/>
      <c r="C222" s="1562"/>
      <c r="D222" s="287"/>
      <c r="K222" s="1086"/>
      <c r="L222" s="1562"/>
      <c r="M222" s="1562"/>
      <c r="N222" s="1086"/>
      <c r="O222" s="1086"/>
      <c r="P222" s="1086"/>
      <c r="Q222" s="1086"/>
      <c r="R222" s="1562"/>
      <c r="S222" s="1086"/>
      <c r="T222" s="1086"/>
      <c r="U222" s="480"/>
      <c r="V222" s="1086"/>
      <c r="W222" s="1086"/>
      <c r="X222" s="1086"/>
      <c r="Y222" s="1086"/>
      <c r="Z222" s="1086"/>
      <c r="AA222" s="1558"/>
      <c r="AB222" s="502"/>
      <c r="AC222" s="502"/>
      <c r="AD222" s="502"/>
      <c r="AE222" s="502"/>
      <c r="AF222" s="1567">
        <v>11</v>
      </c>
    </row>
    <row r="223" spans="1:32" s="1567" customFormat="1" ht="11.45" customHeight="1">
      <c r="A223" s="916"/>
      <c r="B223" s="1562"/>
      <c r="C223" s="1562"/>
      <c r="D223" s="287"/>
      <c r="K223" s="1086"/>
      <c r="L223" s="1562"/>
      <c r="M223" s="1562"/>
      <c r="N223" s="1086"/>
      <c r="O223" s="1086"/>
      <c r="P223" s="1086"/>
      <c r="Q223" s="1086"/>
      <c r="R223" s="1562"/>
      <c r="S223" s="1086"/>
      <c r="T223" s="1086"/>
      <c r="U223" s="480"/>
      <c r="V223" s="1086"/>
      <c r="W223" s="1086"/>
      <c r="X223" s="1086"/>
      <c r="Y223" s="1086"/>
      <c r="Z223" s="1086"/>
      <c r="AA223" s="1558"/>
      <c r="AB223" s="502"/>
      <c r="AC223" s="502"/>
      <c r="AD223" s="502"/>
      <c r="AE223" s="502"/>
      <c r="AF223" s="1567">
        <v>11</v>
      </c>
    </row>
    <row r="224" spans="1:32" s="1567" customFormat="1" ht="11.45" customHeight="1">
      <c r="A224" s="916"/>
      <c r="B224" s="1562"/>
      <c r="C224" s="1562"/>
      <c r="D224" s="287"/>
      <c r="K224" s="1086"/>
      <c r="L224" s="1562"/>
      <c r="M224" s="1562"/>
      <c r="N224" s="1086"/>
      <c r="O224" s="1086"/>
      <c r="P224" s="1086"/>
      <c r="Q224" s="1086"/>
      <c r="R224" s="1562"/>
      <c r="S224" s="1086"/>
      <c r="T224" s="1086"/>
      <c r="U224" s="480"/>
      <c r="V224" s="1086"/>
      <c r="W224" s="1086"/>
      <c r="X224" s="1086"/>
      <c r="Y224" s="1086"/>
      <c r="Z224" s="1086"/>
      <c r="AA224" s="1558"/>
      <c r="AB224" s="502"/>
      <c r="AC224" s="502"/>
      <c r="AD224" s="502"/>
      <c r="AE224" s="502"/>
      <c r="AF224" s="1567">
        <v>11</v>
      </c>
    </row>
    <row r="225" spans="1:32" s="1567" customFormat="1" ht="11.45" customHeight="1">
      <c r="A225" s="916"/>
      <c r="B225" s="1562"/>
      <c r="C225" s="1562"/>
      <c r="D225" s="287"/>
      <c r="K225" s="1086"/>
      <c r="L225" s="1562"/>
      <c r="M225" s="1562"/>
      <c r="N225" s="1086"/>
      <c r="O225" s="1086"/>
      <c r="P225" s="1086"/>
      <c r="Q225" s="1086"/>
      <c r="R225" s="1562"/>
      <c r="S225" s="1086"/>
      <c r="T225" s="1086"/>
      <c r="U225" s="480"/>
      <c r="V225" s="1086"/>
      <c r="W225" s="1086"/>
      <c r="X225" s="1086"/>
      <c r="Y225" s="1086"/>
      <c r="Z225" s="1086"/>
      <c r="AA225" s="1558"/>
      <c r="AB225" s="502"/>
      <c r="AC225" s="502"/>
      <c r="AD225" s="502"/>
      <c r="AE225" s="502"/>
      <c r="AF225" s="1567">
        <v>11</v>
      </c>
    </row>
    <row r="226" spans="1:32" s="1567" customFormat="1" ht="11.45" customHeight="1">
      <c r="A226" s="916"/>
      <c r="B226" s="1562"/>
      <c r="C226" s="1562"/>
      <c r="D226" s="287"/>
      <c r="K226" s="1086"/>
      <c r="L226" s="1562"/>
      <c r="M226" s="1562"/>
      <c r="N226" s="1086"/>
      <c r="O226" s="1086"/>
      <c r="P226" s="1086"/>
      <c r="Q226" s="1086"/>
      <c r="R226" s="1562"/>
      <c r="S226" s="1086"/>
      <c r="T226" s="1086"/>
      <c r="U226" s="480"/>
      <c r="V226" s="1086"/>
      <c r="W226" s="1086"/>
      <c r="X226" s="1086"/>
      <c r="Y226" s="1086"/>
      <c r="Z226" s="1086"/>
      <c r="AA226" s="1558"/>
      <c r="AB226" s="502"/>
      <c r="AC226" s="502"/>
      <c r="AD226" s="502"/>
      <c r="AE226" s="502"/>
      <c r="AF226" s="1567">
        <v>11</v>
      </c>
    </row>
    <row r="227" spans="1:32" s="1567" customFormat="1" ht="11.45" customHeight="1">
      <c r="A227" s="916"/>
      <c r="B227" s="1562"/>
      <c r="C227" s="1562"/>
      <c r="D227" s="287"/>
      <c r="K227" s="1086"/>
      <c r="L227" s="1562"/>
      <c r="M227" s="1562"/>
      <c r="N227" s="1086"/>
      <c r="O227" s="1086"/>
      <c r="P227" s="1086"/>
      <c r="Q227" s="1086"/>
      <c r="R227" s="1562"/>
      <c r="S227" s="1086"/>
      <c r="T227" s="1086"/>
      <c r="U227" s="480"/>
      <c r="V227" s="1086"/>
      <c r="W227" s="1086"/>
      <c r="X227" s="1086"/>
      <c r="Y227" s="1086"/>
      <c r="Z227" s="1086"/>
      <c r="AA227" s="1558"/>
      <c r="AB227" s="502"/>
      <c r="AC227" s="502"/>
      <c r="AD227" s="502"/>
      <c r="AE227" s="502"/>
      <c r="AF227" s="1567">
        <v>11</v>
      </c>
    </row>
    <row r="228" spans="1:32" s="1567" customFormat="1" ht="11.45" customHeight="1">
      <c r="A228" s="916"/>
      <c r="B228" s="1562"/>
      <c r="C228" s="1562"/>
      <c r="D228" s="287"/>
      <c r="K228" s="1086"/>
      <c r="L228" s="1562"/>
      <c r="M228" s="1562"/>
      <c r="N228" s="1086"/>
      <c r="O228" s="1086"/>
      <c r="P228" s="1086"/>
      <c r="Q228" s="1086"/>
      <c r="R228" s="1562"/>
      <c r="S228" s="1086"/>
      <c r="T228" s="1086"/>
      <c r="U228" s="480"/>
      <c r="V228" s="1086"/>
      <c r="W228" s="1086"/>
      <c r="X228" s="1086"/>
      <c r="Y228" s="1086"/>
      <c r="Z228" s="1086"/>
      <c r="AA228" s="1558"/>
      <c r="AB228" s="502"/>
      <c r="AC228" s="502"/>
      <c r="AD228" s="502"/>
      <c r="AE228" s="502"/>
      <c r="AF228" s="1567">
        <v>11</v>
      </c>
    </row>
    <row r="229" spans="1:32" s="1567" customFormat="1" ht="11.45" customHeight="1">
      <c r="A229" s="916"/>
      <c r="B229" s="1562"/>
      <c r="C229" s="1562"/>
      <c r="D229" s="287"/>
      <c r="K229" s="1086"/>
      <c r="L229" s="1562"/>
      <c r="M229" s="1562"/>
      <c r="N229" s="1086"/>
      <c r="O229" s="1086"/>
      <c r="P229" s="1086"/>
      <c r="Q229" s="1086"/>
      <c r="R229" s="1562"/>
      <c r="S229" s="1086"/>
      <c r="T229" s="1086"/>
      <c r="U229" s="480"/>
      <c r="V229" s="1086"/>
      <c r="W229" s="1086"/>
      <c r="X229" s="1086"/>
      <c r="Y229" s="1086"/>
      <c r="Z229" s="1086"/>
      <c r="AA229" s="1558"/>
      <c r="AB229" s="502"/>
      <c r="AC229" s="502"/>
      <c r="AD229" s="502"/>
      <c r="AE229" s="502"/>
      <c r="AF229" s="1567">
        <v>11</v>
      </c>
    </row>
    <row r="230" spans="1:32" s="1567" customFormat="1" ht="11.45" customHeight="1">
      <c r="A230" s="916"/>
      <c r="B230" s="1562"/>
      <c r="C230" s="1562"/>
      <c r="D230" s="287"/>
      <c r="K230" s="1086"/>
      <c r="L230" s="1562"/>
      <c r="M230" s="1562"/>
      <c r="N230" s="1086"/>
      <c r="O230" s="1086"/>
      <c r="P230" s="1086"/>
      <c r="Q230" s="1086"/>
      <c r="R230" s="1562"/>
      <c r="S230" s="1086"/>
      <c r="T230" s="1086"/>
      <c r="U230" s="480"/>
      <c r="V230" s="1086"/>
      <c r="W230" s="1086"/>
      <c r="X230" s="1086"/>
      <c r="Y230" s="1086"/>
      <c r="Z230" s="1086"/>
      <c r="AA230" s="1558"/>
      <c r="AB230" s="502"/>
      <c r="AC230" s="502"/>
      <c r="AD230" s="502"/>
      <c r="AE230" s="502"/>
      <c r="AF230" s="1567">
        <v>11</v>
      </c>
    </row>
    <row r="231" spans="1:32" s="1567" customFormat="1" ht="11.45" customHeight="1">
      <c r="A231" s="916"/>
      <c r="B231" s="1562"/>
      <c r="C231" s="1562"/>
      <c r="D231" s="287"/>
      <c r="K231" s="1086"/>
      <c r="L231" s="1562"/>
      <c r="M231" s="1562"/>
      <c r="N231" s="1086"/>
      <c r="O231" s="1086"/>
      <c r="P231" s="1086"/>
      <c r="Q231" s="1086"/>
      <c r="R231" s="1562"/>
      <c r="S231" s="1086"/>
      <c r="T231" s="1086"/>
      <c r="U231" s="480"/>
      <c r="V231" s="1086"/>
      <c r="W231" s="1086"/>
      <c r="X231" s="1086"/>
      <c r="Y231" s="1086"/>
      <c r="Z231" s="1086"/>
      <c r="AA231" s="1558"/>
      <c r="AB231" s="502"/>
      <c r="AC231" s="502"/>
      <c r="AD231" s="502"/>
      <c r="AE231" s="502"/>
      <c r="AF231" s="1567">
        <v>11</v>
      </c>
    </row>
    <row r="232" spans="1:32" s="1567" customFormat="1" ht="11.45" customHeight="1">
      <c r="A232" s="916"/>
      <c r="B232" s="1562"/>
      <c r="C232" s="1562"/>
      <c r="D232" s="287"/>
      <c r="K232" s="1086"/>
      <c r="L232" s="1562"/>
      <c r="M232" s="1562"/>
      <c r="N232" s="1086"/>
      <c r="O232" s="1086"/>
      <c r="P232" s="1086"/>
      <c r="Q232" s="1086"/>
      <c r="R232" s="1562"/>
      <c r="S232" s="1086"/>
      <c r="T232" s="1086"/>
      <c r="U232" s="480"/>
      <c r="V232" s="1086"/>
      <c r="W232" s="1086"/>
      <c r="X232" s="1086"/>
      <c r="Y232" s="1086"/>
      <c r="Z232" s="1086"/>
      <c r="AA232" s="1558"/>
      <c r="AB232" s="502"/>
      <c r="AC232" s="502"/>
      <c r="AD232" s="502"/>
      <c r="AE232" s="502"/>
      <c r="AF232" s="1567">
        <v>11</v>
      </c>
    </row>
    <row r="233" spans="1:32" s="1567" customFormat="1" ht="11.45" customHeight="1">
      <c r="A233" s="916"/>
      <c r="B233" s="1562"/>
      <c r="C233" s="1562"/>
      <c r="D233" s="287"/>
      <c r="K233" s="1086"/>
      <c r="L233" s="1562"/>
      <c r="M233" s="1562"/>
      <c r="N233" s="1086"/>
      <c r="O233" s="1086"/>
      <c r="P233" s="1086"/>
      <c r="Q233" s="1086"/>
      <c r="R233" s="1562"/>
      <c r="S233" s="1086"/>
      <c r="T233" s="1086"/>
      <c r="U233" s="480"/>
      <c r="V233" s="1086"/>
      <c r="W233" s="1086"/>
      <c r="X233" s="1086"/>
      <c r="Y233" s="1086"/>
      <c r="Z233" s="1086"/>
      <c r="AA233" s="1558"/>
      <c r="AB233" s="502"/>
      <c r="AC233" s="502"/>
      <c r="AD233" s="502"/>
      <c r="AE233" s="502"/>
      <c r="AF233" s="1567">
        <v>11</v>
      </c>
    </row>
    <row r="234" spans="1:32" s="1567" customFormat="1" ht="11.45" customHeight="1">
      <c r="A234" s="916"/>
      <c r="B234" s="1562"/>
      <c r="C234" s="1562"/>
      <c r="D234" s="287"/>
      <c r="K234" s="1086"/>
      <c r="L234" s="1562"/>
      <c r="M234" s="1562"/>
      <c r="N234" s="1086"/>
      <c r="O234" s="1086"/>
      <c r="P234" s="1086"/>
      <c r="Q234" s="1086"/>
      <c r="R234" s="1562"/>
      <c r="S234" s="1086"/>
      <c r="T234" s="1086"/>
      <c r="U234" s="480"/>
      <c r="V234" s="1086"/>
      <c r="W234" s="1086"/>
      <c r="X234" s="1086"/>
      <c r="Y234" s="1086"/>
      <c r="Z234" s="1086"/>
      <c r="AA234" s="1558"/>
      <c r="AB234" s="502"/>
      <c r="AC234" s="502"/>
      <c r="AD234" s="502"/>
      <c r="AE234" s="502"/>
      <c r="AF234" s="1567">
        <v>11</v>
      </c>
    </row>
    <row r="235" spans="1:32" s="1567" customFormat="1" ht="11.45" customHeight="1">
      <c r="A235" s="916"/>
      <c r="B235" s="1562"/>
      <c r="C235" s="1562"/>
      <c r="D235" s="287"/>
      <c r="K235" s="1086"/>
      <c r="L235" s="1562"/>
      <c r="M235" s="1562"/>
      <c r="N235" s="1086"/>
      <c r="O235" s="1086"/>
      <c r="P235" s="1086"/>
      <c r="Q235" s="1086"/>
      <c r="R235" s="1562"/>
      <c r="S235" s="1086"/>
      <c r="T235" s="1086"/>
      <c r="U235" s="480"/>
      <c r="V235" s="1086"/>
      <c r="W235" s="1086"/>
      <c r="X235" s="1086"/>
      <c r="Y235" s="1086"/>
      <c r="Z235" s="1086"/>
      <c r="AA235" s="1558"/>
      <c r="AB235" s="502"/>
      <c r="AC235" s="502"/>
      <c r="AD235" s="502"/>
      <c r="AE235" s="502"/>
      <c r="AF235" s="1567">
        <v>11</v>
      </c>
    </row>
    <row r="236" spans="1:32" s="1567" customFormat="1" ht="11.45" customHeight="1">
      <c r="A236" s="916"/>
      <c r="B236" s="1562"/>
      <c r="C236" s="1562"/>
      <c r="D236" s="287"/>
      <c r="K236" s="1086"/>
      <c r="L236" s="1562"/>
      <c r="M236" s="1562"/>
      <c r="N236" s="1086"/>
      <c r="O236" s="1086"/>
      <c r="P236" s="1086"/>
      <c r="Q236" s="1086"/>
      <c r="R236" s="1562"/>
      <c r="S236" s="1086"/>
      <c r="T236" s="1086"/>
      <c r="U236" s="480"/>
      <c r="V236" s="1086"/>
      <c r="W236" s="1086"/>
      <c r="X236" s="1086"/>
      <c r="Y236" s="1086"/>
      <c r="Z236" s="1086"/>
      <c r="AA236" s="1558"/>
      <c r="AB236" s="502"/>
      <c r="AC236" s="502"/>
      <c r="AD236" s="502"/>
      <c r="AE236" s="502"/>
      <c r="AF236" s="1567">
        <v>11</v>
      </c>
    </row>
    <row r="237" spans="1:32" s="1567" customFormat="1" ht="11.45" customHeight="1">
      <c r="A237" s="916"/>
      <c r="B237" s="1562"/>
      <c r="C237" s="1562"/>
      <c r="D237" s="287"/>
      <c r="K237" s="1086"/>
      <c r="L237" s="1562"/>
      <c r="M237" s="1562"/>
      <c r="N237" s="1086"/>
      <c r="O237" s="1086"/>
      <c r="P237" s="1086"/>
      <c r="Q237" s="1086"/>
      <c r="R237" s="1562"/>
      <c r="S237" s="1086"/>
      <c r="T237" s="1086"/>
      <c r="U237" s="480"/>
      <c r="V237" s="1086"/>
      <c r="W237" s="1086"/>
      <c r="X237" s="1086"/>
      <c r="Y237" s="1086"/>
      <c r="Z237" s="1086"/>
      <c r="AA237" s="1558"/>
      <c r="AB237" s="502"/>
      <c r="AC237" s="502"/>
      <c r="AD237" s="502"/>
      <c r="AE237" s="502"/>
      <c r="AF237" s="1567">
        <v>11</v>
      </c>
    </row>
    <row r="238" spans="1:32" s="1567" customFormat="1" ht="11.45" customHeight="1">
      <c r="A238" s="916"/>
      <c r="B238" s="1562"/>
      <c r="C238" s="1562"/>
      <c r="D238" s="287"/>
      <c r="K238" s="1086"/>
      <c r="L238" s="1562"/>
      <c r="M238" s="1562"/>
      <c r="N238" s="1086"/>
      <c r="O238" s="1086"/>
      <c r="P238" s="1086"/>
      <c r="Q238" s="1086"/>
      <c r="R238" s="1562"/>
      <c r="S238" s="1086"/>
      <c r="T238" s="1086"/>
      <c r="U238" s="480"/>
      <c r="V238" s="1086"/>
      <c r="W238" s="1086"/>
      <c r="X238" s="1086"/>
      <c r="Y238" s="1086"/>
      <c r="Z238" s="1086"/>
      <c r="AA238" s="1558"/>
      <c r="AB238" s="502"/>
      <c r="AC238" s="502"/>
      <c r="AD238" s="502"/>
      <c r="AE238" s="502"/>
      <c r="AF238" s="1567">
        <v>11</v>
      </c>
    </row>
    <row r="239" spans="1:32" s="1567" customFormat="1" ht="11.45" customHeight="1">
      <c r="A239" s="916"/>
      <c r="B239" s="1562"/>
      <c r="C239" s="1562"/>
      <c r="D239" s="287"/>
      <c r="K239" s="1086"/>
      <c r="L239" s="1562"/>
      <c r="M239" s="1562"/>
      <c r="N239" s="1086"/>
      <c r="O239" s="1086"/>
      <c r="P239" s="1086"/>
      <c r="Q239" s="1086"/>
      <c r="R239" s="1562"/>
      <c r="S239" s="1086"/>
      <c r="T239" s="1086"/>
      <c r="U239" s="480"/>
      <c r="V239" s="1086"/>
      <c r="W239" s="1086"/>
      <c r="X239" s="1086"/>
      <c r="Y239" s="1086"/>
      <c r="Z239" s="1086"/>
      <c r="AA239" s="1558"/>
      <c r="AB239" s="502"/>
      <c r="AC239" s="502"/>
      <c r="AD239" s="502"/>
      <c r="AE239" s="502"/>
      <c r="AF239" s="1567">
        <v>11</v>
      </c>
    </row>
    <row r="240" spans="1:32" s="1567" customFormat="1" ht="11.45" customHeight="1">
      <c r="A240" s="916"/>
      <c r="B240" s="1562"/>
      <c r="C240" s="1562"/>
      <c r="D240" s="287"/>
      <c r="K240" s="1086"/>
      <c r="L240" s="1562"/>
      <c r="M240" s="1562"/>
      <c r="N240" s="1086"/>
      <c r="O240" s="1086"/>
      <c r="P240" s="1086"/>
      <c r="Q240" s="1086"/>
      <c r="R240" s="1562"/>
      <c r="S240" s="1086"/>
      <c r="T240" s="1086"/>
      <c r="U240" s="480"/>
      <c r="V240" s="1086"/>
      <c r="W240" s="1086"/>
      <c r="X240" s="1086"/>
      <c r="Y240" s="1086"/>
      <c r="Z240" s="1086"/>
      <c r="AA240" s="1558"/>
      <c r="AB240" s="502"/>
      <c r="AC240" s="502"/>
      <c r="AD240" s="502"/>
      <c r="AE240" s="502"/>
      <c r="AF240" s="1567">
        <v>11</v>
      </c>
    </row>
    <row r="241" spans="1:32" s="1567" customFormat="1" ht="11.45" customHeight="1">
      <c r="A241" s="916"/>
      <c r="B241" s="1562"/>
      <c r="C241" s="1562"/>
      <c r="D241" s="287"/>
      <c r="K241" s="1086"/>
      <c r="L241" s="1562"/>
      <c r="M241" s="1562"/>
      <c r="N241" s="1086"/>
      <c r="O241" s="1086"/>
      <c r="P241" s="1086"/>
      <c r="Q241" s="1086"/>
      <c r="R241" s="1562"/>
      <c r="S241" s="1086"/>
      <c r="T241" s="1086"/>
      <c r="U241" s="480"/>
      <c r="V241" s="1086"/>
      <c r="W241" s="1086"/>
      <c r="X241" s="1086"/>
      <c r="Y241" s="1086"/>
      <c r="Z241" s="1086"/>
      <c r="AA241" s="1558"/>
      <c r="AB241" s="502"/>
      <c r="AC241" s="502"/>
      <c r="AD241" s="502"/>
      <c r="AE241" s="502"/>
      <c r="AF241" s="1567">
        <v>11</v>
      </c>
    </row>
    <row r="242" spans="1:32" s="1567" customFormat="1" ht="11.45" customHeight="1">
      <c r="A242" s="916"/>
      <c r="B242" s="1562"/>
      <c r="C242" s="1562"/>
      <c r="D242" s="287"/>
      <c r="K242" s="1086"/>
      <c r="L242" s="1562"/>
      <c r="M242" s="1562"/>
      <c r="N242" s="1086"/>
      <c r="O242" s="1086"/>
      <c r="P242" s="1086"/>
      <c r="Q242" s="1086"/>
      <c r="R242" s="1562"/>
      <c r="S242" s="1086"/>
      <c r="T242" s="1086"/>
      <c r="U242" s="480"/>
      <c r="V242" s="1086"/>
      <c r="W242" s="1086"/>
      <c r="X242" s="1086"/>
      <c r="Y242" s="1086"/>
      <c r="Z242" s="1086"/>
      <c r="AA242" s="1558"/>
      <c r="AB242" s="502"/>
      <c r="AC242" s="502"/>
      <c r="AD242" s="502"/>
      <c r="AE242" s="502"/>
      <c r="AF242" s="1567">
        <v>11</v>
      </c>
    </row>
    <row r="243" spans="1:32" s="1567" customFormat="1" ht="11.45" customHeight="1">
      <c r="A243" s="916"/>
      <c r="B243" s="1562"/>
      <c r="C243" s="1562"/>
      <c r="D243" s="287"/>
      <c r="K243" s="1086"/>
      <c r="L243" s="1562"/>
      <c r="M243" s="1562"/>
      <c r="N243" s="1086"/>
      <c r="O243" s="1086"/>
      <c r="P243" s="1086"/>
      <c r="Q243" s="1086"/>
      <c r="R243" s="1562"/>
      <c r="S243" s="1086"/>
      <c r="T243" s="1086"/>
      <c r="U243" s="480"/>
      <c r="V243" s="1086"/>
      <c r="W243" s="1086"/>
      <c r="X243" s="1086"/>
      <c r="Y243" s="1086"/>
      <c r="Z243" s="1086"/>
      <c r="AA243" s="1558"/>
      <c r="AB243" s="502"/>
      <c r="AC243" s="502"/>
      <c r="AD243" s="502"/>
      <c r="AE243" s="502"/>
      <c r="AF243" s="1567">
        <v>11</v>
      </c>
    </row>
    <row r="244" spans="1:32" s="1567" customFormat="1" ht="11.45" customHeight="1">
      <c r="A244" s="916"/>
      <c r="B244" s="1562"/>
      <c r="C244" s="1562"/>
      <c r="D244" s="287"/>
      <c r="K244" s="1086"/>
      <c r="L244" s="1562"/>
      <c r="M244" s="1562"/>
      <c r="N244" s="1086"/>
      <c r="O244" s="1086"/>
      <c r="P244" s="1086"/>
      <c r="Q244" s="1086"/>
      <c r="R244" s="1562"/>
      <c r="S244" s="1086"/>
      <c r="T244" s="1086"/>
      <c r="U244" s="480"/>
      <c r="V244" s="1086"/>
      <c r="W244" s="1086"/>
      <c r="X244" s="1086"/>
      <c r="Y244" s="1086"/>
      <c r="Z244" s="1086"/>
      <c r="AA244" s="1558"/>
      <c r="AB244" s="502"/>
      <c r="AC244" s="502"/>
      <c r="AD244" s="502"/>
      <c r="AE244" s="502"/>
      <c r="AF244" s="1567">
        <v>11</v>
      </c>
    </row>
    <row r="245" spans="1:32" s="1567" customFormat="1" ht="11.45" customHeight="1">
      <c r="A245" s="916"/>
      <c r="B245" s="1562"/>
      <c r="C245" s="1562"/>
      <c r="D245" s="287"/>
      <c r="K245" s="1086"/>
      <c r="L245" s="1562"/>
      <c r="M245" s="1562"/>
      <c r="N245" s="1086"/>
      <c r="O245" s="1086"/>
      <c r="P245" s="1086"/>
      <c r="Q245" s="1086"/>
      <c r="R245" s="1562"/>
      <c r="S245" s="1086"/>
      <c r="T245" s="1086"/>
      <c r="U245" s="480"/>
      <c r="V245" s="1086"/>
      <c r="W245" s="1086"/>
      <c r="X245" s="1086"/>
      <c r="Y245" s="1086"/>
      <c r="Z245" s="1086"/>
      <c r="AA245" s="1558"/>
      <c r="AB245" s="502"/>
      <c r="AC245" s="502"/>
      <c r="AD245" s="502"/>
      <c r="AE245" s="502"/>
      <c r="AF245" s="1567">
        <v>11</v>
      </c>
    </row>
    <row r="246" spans="1:32" s="1567" customFormat="1" ht="11.45" customHeight="1">
      <c r="A246" s="916"/>
      <c r="B246" s="1562"/>
      <c r="C246" s="1562"/>
      <c r="D246" s="287"/>
      <c r="K246" s="1086"/>
      <c r="L246" s="1562"/>
      <c r="M246" s="1562"/>
      <c r="N246" s="1086"/>
      <c r="O246" s="1086"/>
      <c r="P246" s="1086"/>
      <c r="Q246" s="1086"/>
      <c r="R246" s="1562"/>
      <c r="S246" s="1086"/>
      <c r="T246" s="1086"/>
      <c r="U246" s="480"/>
      <c r="V246" s="1086"/>
      <c r="W246" s="1086"/>
      <c r="X246" s="1086"/>
      <c r="Y246" s="1086"/>
      <c r="Z246" s="1086"/>
      <c r="AA246" s="1558"/>
      <c r="AB246" s="502"/>
      <c r="AC246" s="502"/>
      <c r="AD246" s="502"/>
      <c r="AE246" s="502"/>
      <c r="AF246" s="1567">
        <v>11</v>
      </c>
    </row>
    <row r="247" spans="1:32" s="1567" customFormat="1" ht="11.45" customHeight="1">
      <c r="A247" s="916"/>
      <c r="B247" s="1562"/>
      <c r="C247" s="1562"/>
      <c r="D247" s="287"/>
      <c r="K247" s="1086"/>
      <c r="L247" s="1562"/>
      <c r="M247" s="1562"/>
      <c r="N247" s="1086"/>
      <c r="O247" s="1086"/>
      <c r="P247" s="1086"/>
      <c r="Q247" s="1086"/>
      <c r="R247" s="1562"/>
      <c r="S247" s="1086"/>
      <c r="T247" s="1086"/>
      <c r="U247" s="480"/>
      <c r="V247" s="1086"/>
      <c r="W247" s="1086"/>
      <c r="X247" s="1086"/>
      <c r="Y247" s="1086"/>
      <c r="Z247" s="1086"/>
      <c r="AA247" s="1558"/>
      <c r="AB247" s="502"/>
      <c r="AC247" s="502"/>
      <c r="AD247" s="502"/>
      <c r="AE247" s="502"/>
      <c r="AF247" s="1567">
        <v>11</v>
      </c>
    </row>
    <row r="248" spans="1:32" s="1567" customFormat="1" ht="11.45" customHeight="1">
      <c r="A248" s="916"/>
      <c r="B248" s="1562"/>
      <c r="C248" s="1562"/>
      <c r="D248" s="287"/>
      <c r="K248" s="1086"/>
      <c r="L248" s="1562"/>
      <c r="M248" s="1562"/>
      <c r="N248" s="1086"/>
      <c r="O248" s="1086"/>
      <c r="P248" s="1086"/>
      <c r="Q248" s="1086"/>
      <c r="R248" s="1562"/>
      <c r="S248" s="1086"/>
      <c r="T248" s="1086"/>
      <c r="U248" s="480"/>
      <c r="V248" s="1086"/>
      <c r="W248" s="1086"/>
      <c r="X248" s="1086"/>
      <c r="Y248" s="1086"/>
      <c r="Z248" s="1086"/>
      <c r="AA248" s="1558"/>
      <c r="AB248" s="502"/>
      <c r="AC248" s="502"/>
      <c r="AD248" s="502"/>
      <c r="AE248" s="502"/>
      <c r="AF248" s="1567">
        <v>11</v>
      </c>
    </row>
    <row r="249" spans="1:32" s="1567" customFormat="1" ht="11.45" customHeight="1">
      <c r="A249" s="916"/>
      <c r="B249" s="1562"/>
      <c r="C249" s="1562"/>
      <c r="D249" s="287"/>
      <c r="K249" s="1086"/>
      <c r="L249" s="1562"/>
      <c r="M249" s="1562"/>
      <c r="N249" s="1086"/>
      <c r="O249" s="1086"/>
      <c r="P249" s="1086"/>
      <c r="Q249" s="1086"/>
      <c r="R249" s="1562"/>
      <c r="S249" s="1086"/>
      <c r="T249" s="1086"/>
      <c r="U249" s="480"/>
      <c r="V249" s="1086"/>
      <c r="W249" s="1086"/>
      <c r="X249" s="1086"/>
      <c r="Y249" s="1086"/>
      <c r="Z249" s="1086"/>
      <c r="AA249" s="1558"/>
      <c r="AB249" s="502"/>
      <c r="AC249" s="502"/>
      <c r="AD249" s="502"/>
      <c r="AE249" s="502"/>
      <c r="AF249" s="1567">
        <v>11</v>
      </c>
    </row>
    <row r="250" spans="1:32" s="1567" customFormat="1" ht="11.45" customHeight="1">
      <c r="A250" s="916"/>
      <c r="B250" s="1562"/>
      <c r="C250" s="1562"/>
      <c r="D250" s="287"/>
      <c r="K250" s="1086"/>
      <c r="L250" s="1562"/>
      <c r="M250" s="1562"/>
      <c r="N250" s="1086"/>
      <c r="O250" s="1086"/>
      <c r="P250" s="1086"/>
      <c r="Q250" s="1086"/>
      <c r="R250" s="1562"/>
      <c r="S250" s="1086"/>
      <c r="T250" s="1086"/>
      <c r="U250" s="480"/>
      <c r="V250" s="1086"/>
      <c r="W250" s="1086"/>
      <c r="X250" s="1086"/>
      <c r="Y250" s="1086"/>
      <c r="Z250" s="1086"/>
      <c r="AA250" s="1558"/>
      <c r="AB250" s="502"/>
      <c r="AC250" s="502"/>
      <c r="AD250" s="502"/>
      <c r="AE250" s="502"/>
      <c r="AF250" s="1567">
        <v>11</v>
      </c>
    </row>
    <row r="251" spans="1:32" s="1567" customFormat="1" ht="11.45" customHeight="1">
      <c r="A251" s="916"/>
      <c r="B251" s="1562"/>
      <c r="C251" s="1562"/>
      <c r="D251" s="287"/>
      <c r="K251" s="1086"/>
      <c r="L251" s="1562"/>
      <c r="M251" s="1562"/>
      <c r="N251" s="1086"/>
      <c r="O251" s="1086"/>
      <c r="P251" s="1086"/>
      <c r="Q251" s="1086"/>
      <c r="R251" s="1562"/>
      <c r="S251" s="1086"/>
      <c r="T251" s="1086"/>
      <c r="U251" s="480"/>
      <c r="V251" s="1086"/>
      <c r="W251" s="1086"/>
      <c r="X251" s="1086"/>
      <c r="Y251" s="1086"/>
      <c r="Z251" s="1086"/>
      <c r="AA251" s="1558"/>
      <c r="AB251" s="502"/>
      <c r="AC251" s="502"/>
      <c r="AD251" s="502"/>
      <c r="AE251" s="502"/>
      <c r="AF251" s="1567">
        <v>11</v>
      </c>
    </row>
    <row r="252" spans="1:32" s="1567" customFormat="1" ht="11.45" customHeight="1">
      <c r="A252" s="916"/>
      <c r="B252" s="1562"/>
      <c r="C252" s="1562"/>
      <c r="D252" s="287"/>
      <c r="K252" s="1086"/>
      <c r="L252" s="1562"/>
      <c r="M252" s="1562"/>
      <c r="N252" s="1086"/>
      <c r="O252" s="1086"/>
      <c r="P252" s="1086"/>
      <c r="Q252" s="1086"/>
      <c r="R252" s="1562"/>
      <c r="S252" s="1086"/>
      <c r="T252" s="1086"/>
      <c r="U252" s="480"/>
      <c r="V252" s="1086"/>
      <c r="W252" s="1086"/>
      <c r="X252" s="1086"/>
      <c r="Y252" s="1086"/>
      <c r="Z252" s="1086"/>
      <c r="AA252" s="1558"/>
      <c r="AB252" s="502"/>
      <c r="AC252" s="502"/>
      <c r="AD252" s="502"/>
      <c r="AE252" s="502"/>
      <c r="AF252" s="1567">
        <v>11</v>
      </c>
    </row>
    <row r="253" spans="1:32" s="1567" customFormat="1" ht="11.45" customHeight="1">
      <c r="A253" s="916"/>
      <c r="B253" s="1562"/>
      <c r="C253" s="1562"/>
      <c r="D253" s="287"/>
      <c r="K253" s="1086"/>
      <c r="L253" s="1562"/>
      <c r="M253" s="1562"/>
      <c r="N253" s="1086"/>
      <c r="O253" s="1086"/>
      <c r="P253" s="1086"/>
      <c r="Q253" s="1086"/>
      <c r="R253" s="1562"/>
      <c r="S253" s="1086"/>
      <c r="T253" s="1086"/>
      <c r="U253" s="480"/>
      <c r="V253" s="1086"/>
      <c r="W253" s="1086"/>
      <c r="X253" s="1086"/>
      <c r="Y253" s="1086"/>
      <c r="Z253" s="1086"/>
      <c r="AA253" s="1558"/>
      <c r="AB253" s="502"/>
      <c r="AC253" s="502"/>
      <c r="AD253" s="502"/>
      <c r="AE253" s="502"/>
      <c r="AF253" s="1567">
        <v>11</v>
      </c>
    </row>
    <row r="254" spans="1:32" s="1567" customFormat="1" ht="11.45" customHeight="1">
      <c r="A254" s="916"/>
      <c r="B254" s="1562"/>
      <c r="C254" s="1562"/>
      <c r="D254" s="287"/>
      <c r="K254" s="1086"/>
      <c r="L254" s="1562"/>
      <c r="M254" s="1562"/>
      <c r="N254" s="1086"/>
      <c r="O254" s="1086"/>
      <c r="P254" s="1086"/>
      <c r="Q254" s="1086"/>
      <c r="R254" s="1562"/>
      <c r="S254" s="1086"/>
      <c r="T254" s="1086"/>
      <c r="U254" s="480"/>
      <c r="V254" s="1086"/>
      <c r="W254" s="1086"/>
      <c r="X254" s="1086"/>
      <c r="Y254" s="1086"/>
      <c r="Z254" s="1086"/>
      <c r="AA254" s="1558"/>
      <c r="AB254" s="502"/>
      <c r="AC254" s="502"/>
      <c r="AD254" s="502"/>
      <c r="AE254" s="502"/>
      <c r="AF254" s="1567">
        <v>11</v>
      </c>
    </row>
    <row r="255" spans="1:32" s="1567" customFormat="1" ht="11.45" customHeight="1">
      <c r="A255" s="916"/>
      <c r="B255" s="1562"/>
      <c r="C255" s="1562"/>
      <c r="D255" s="287"/>
      <c r="K255" s="1086"/>
      <c r="L255" s="1562"/>
      <c r="M255" s="1562"/>
      <c r="N255" s="1086"/>
      <c r="O255" s="1086"/>
      <c r="P255" s="1086"/>
      <c r="Q255" s="1086"/>
      <c r="R255" s="1562"/>
      <c r="S255" s="1086"/>
      <c r="T255" s="1086"/>
      <c r="U255" s="480"/>
      <c r="V255" s="1086"/>
      <c r="W255" s="1086"/>
      <c r="X255" s="1086"/>
      <c r="Y255" s="1086"/>
      <c r="Z255" s="1086"/>
      <c r="AA255" s="1558"/>
      <c r="AB255" s="502"/>
      <c r="AC255" s="502"/>
      <c r="AD255" s="502"/>
      <c r="AE255" s="502"/>
      <c r="AF255" s="1567">
        <v>11</v>
      </c>
    </row>
    <row r="256" spans="1:32" s="1567" customFormat="1" ht="11.45" customHeight="1">
      <c r="A256" s="916"/>
      <c r="B256" s="1562"/>
      <c r="C256" s="1562"/>
      <c r="D256" s="287"/>
      <c r="K256" s="1086"/>
      <c r="L256" s="1562"/>
      <c r="M256" s="1562"/>
      <c r="N256" s="1086"/>
      <c r="O256" s="1086"/>
      <c r="P256" s="1086"/>
      <c r="Q256" s="1086"/>
      <c r="R256" s="1562"/>
      <c r="S256" s="1086"/>
      <c r="T256" s="1086"/>
      <c r="U256" s="480"/>
      <c r="V256" s="1086"/>
      <c r="W256" s="1086"/>
      <c r="X256" s="1086"/>
      <c r="Y256" s="1086"/>
      <c r="Z256" s="1086"/>
      <c r="AA256" s="1558"/>
      <c r="AB256" s="502"/>
      <c r="AC256" s="502"/>
      <c r="AD256" s="502"/>
      <c r="AE256" s="502"/>
      <c r="AF256" s="1567">
        <v>11</v>
      </c>
    </row>
    <row r="257" spans="1:32" s="1567" customFormat="1" ht="11.45" customHeight="1">
      <c r="A257" s="916"/>
      <c r="B257" s="1562"/>
      <c r="C257" s="1562"/>
      <c r="D257" s="287"/>
      <c r="K257" s="1086"/>
      <c r="L257" s="1562"/>
      <c r="M257" s="1562"/>
      <c r="N257" s="1086"/>
      <c r="O257" s="1086"/>
      <c r="P257" s="1086"/>
      <c r="Q257" s="1086"/>
      <c r="R257" s="1562"/>
      <c r="S257" s="1086"/>
      <c r="T257" s="1086"/>
      <c r="U257" s="480"/>
      <c r="V257" s="1086"/>
      <c r="W257" s="1086"/>
      <c r="X257" s="1086"/>
      <c r="Y257" s="1086"/>
      <c r="Z257" s="1086"/>
      <c r="AA257" s="1558"/>
      <c r="AB257" s="502"/>
      <c r="AC257" s="502"/>
      <c r="AD257" s="502"/>
      <c r="AE257" s="502"/>
      <c r="AF257" s="1567">
        <v>11</v>
      </c>
    </row>
    <row r="258" spans="1:32" s="1567" customFormat="1" ht="11.45" customHeight="1">
      <c r="A258" s="916"/>
      <c r="B258" s="1562"/>
      <c r="C258" s="1562"/>
      <c r="D258" s="287"/>
      <c r="K258" s="1086"/>
      <c r="L258" s="1562"/>
      <c r="M258" s="1562"/>
      <c r="N258" s="1086"/>
      <c r="O258" s="1086"/>
      <c r="P258" s="1086"/>
      <c r="Q258" s="1086"/>
      <c r="R258" s="1562"/>
      <c r="S258" s="1086"/>
      <c r="T258" s="1086"/>
      <c r="U258" s="480"/>
      <c r="V258" s="1086"/>
      <c r="W258" s="1086"/>
      <c r="X258" s="1086"/>
      <c r="Y258" s="1086"/>
      <c r="Z258" s="1086"/>
      <c r="AA258" s="1558"/>
      <c r="AB258" s="502"/>
      <c r="AC258" s="502"/>
      <c r="AD258" s="502"/>
      <c r="AE258" s="502"/>
      <c r="AF258" s="1567">
        <v>11</v>
      </c>
    </row>
    <row r="259" spans="1:32" s="1567" customFormat="1" ht="11.45" customHeight="1">
      <c r="A259" s="916"/>
      <c r="B259" s="1562"/>
      <c r="C259" s="1562"/>
      <c r="D259" s="287"/>
      <c r="K259" s="1086"/>
      <c r="L259" s="1562"/>
      <c r="M259" s="1562"/>
      <c r="N259" s="1086"/>
      <c r="O259" s="1086"/>
      <c r="P259" s="1086"/>
      <c r="Q259" s="1086"/>
      <c r="R259" s="1562"/>
      <c r="S259" s="1086"/>
      <c r="T259" s="1086"/>
      <c r="U259" s="480"/>
      <c r="V259" s="1086"/>
      <c r="W259" s="1086"/>
      <c r="X259" s="1086"/>
      <c r="Y259" s="1086"/>
      <c r="Z259" s="1086"/>
      <c r="AA259" s="1558"/>
      <c r="AB259" s="502"/>
      <c r="AC259" s="502"/>
      <c r="AD259" s="502"/>
      <c r="AE259" s="502"/>
      <c r="AF259" s="1567">
        <v>11</v>
      </c>
    </row>
    <row r="260" spans="1:32" s="1567" customFormat="1" ht="11.45" customHeight="1">
      <c r="A260" s="916"/>
      <c r="B260" s="1562"/>
      <c r="C260" s="1562"/>
      <c r="D260" s="287"/>
      <c r="K260" s="1086"/>
      <c r="L260" s="1562"/>
      <c r="M260" s="1562"/>
      <c r="N260" s="1086"/>
      <c r="O260" s="1086"/>
      <c r="P260" s="1086"/>
      <c r="Q260" s="1086"/>
      <c r="R260" s="1562"/>
      <c r="S260" s="1086"/>
      <c r="T260" s="1086"/>
      <c r="U260" s="480"/>
      <c r="V260" s="1086"/>
      <c r="W260" s="1086"/>
      <c r="X260" s="1086"/>
      <c r="Y260" s="1086"/>
      <c r="Z260" s="1086"/>
      <c r="AA260" s="1558"/>
      <c r="AB260" s="502"/>
      <c r="AC260" s="502"/>
      <c r="AD260" s="502"/>
      <c r="AE260" s="502"/>
      <c r="AF260" s="1567">
        <v>11</v>
      </c>
    </row>
    <row r="261" spans="1:32" s="1567" customFormat="1" ht="11.45" customHeight="1">
      <c r="A261" s="916"/>
      <c r="B261" s="1562"/>
      <c r="C261" s="1562"/>
      <c r="D261" s="287"/>
      <c r="K261" s="1086"/>
      <c r="L261" s="1562"/>
      <c r="M261" s="1562"/>
      <c r="N261" s="1086"/>
      <c r="O261" s="1086"/>
      <c r="P261" s="1086"/>
      <c r="Q261" s="1086"/>
      <c r="R261" s="1562"/>
      <c r="S261" s="1086"/>
      <c r="T261" s="1086"/>
      <c r="U261" s="480"/>
      <c r="V261" s="1086"/>
      <c r="W261" s="1086"/>
      <c r="X261" s="1086"/>
      <c r="Y261" s="1086"/>
      <c r="Z261" s="1086"/>
      <c r="AA261" s="1558"/>
      <c r="AB261" s="502"/>
      <c r="AC261" s="502"/>
      <c r="AD261" s="502"/>
      <c r="AE261" s="502"/>
      <c r="AF261" s="1567">
        <v>11</v>
      </c>
    </row>
    <row r="262" spans="1:32" s="1567" customFormat="1" ht="11.45" customHeight="1">
      <c r="A262" s="916"/>
      <c r="B262" s="1562"/>
      <c r="C262" s="1562"/>
      <c r="D262" s="287"/>
      <c r="K262" s="1086"/>
      <c r="L262" s="1562"/>
      <c r="M262" s="1562"/>
      <c r="N262" s="1086"/>
      <c r="O262" s="1086"/>
      <c r="P262" s="1086"/>
      <c r="Q262" s="1086"/>
      <c r="R262" s="1562"/>
      <c r="S262" s="1086"/>
      <c r="T262" s="1086"/>
      <c r="U262" s="480"/>
      <c r="V262" s="1086"/>
      <c r="W262" s="1086"/>
      <c r="X262" s="1086"/>
      <c r="Y262" s="1086"/>
      <c r="Z262" s="1086"/>
      <c r="AA262" s="1558"/>
      <c r="AB262" s="502"/>
      <c r="AC262" s="502"/>
      <c r="AD262" s="502"/>
      <c r="AE262" s="502"/>
      <c r="AF262" s="1567">
        <v>11</v>
      </c>
    </row>
    <row r="263" spans="1:32" s="1567" customFormat="1" ht="11.45" customHeight="1">
      <c r="A263" s="916"/>
      <c r="B263" s="1562"/>
      <c r="C263" s="1562"/>
      <c r="D263" s="287"/>
      <c r="K263" s="1086"/>
      <c r="L263" s="1562"/>
      <c r="M263" s="1562"/>
      <c r="N263" s="1086"/>
      <c r="O263" s="1086"/>
      <c r="P263" s="1086"/>
      <c r="Q263" s="1086"/>
      <c r="R263" s="1562"/>
      <c r="S263" s="1086"/>
      <c r="T263" s="1086"/>
      <c r="U263" s="480"/>
      <c r="V263" s="1086"/>
      <c r="W263" s="1086"/>
      <c r="X263" s="1086"/>
      <c r="Y263" s="1086"/>
      <c r="Z263" s="1086"/>
      <c r="AA263" s="1558"/>
      <c r="AB263" s="502"/>
      <c r="AC263" s="502"/>
      <c r="AD263" s="502"/>
      <c r="AE263" s="502"/>
      <c r="AF263" s="1567">
        <v>11</v>
      </c>
    </row>
    <row r="264" spans="1:32" s="1567" customFormat="1" ht="11.45" customHeight="1">
      <c r="A264" s="916"/>
      <c r="B264" s="1562"/>
      <c r="C264" s="1562"/>
      <c r="D264" s="287"/>
      <c r="K264" s="1086"/>
      <c r="L264" s="1562"/>
      <c r="M264" s="1562"/>
      <c r="N264" s="1086"/>
      <c r="O264" s="1086"/>
      <c r="P264" s="1086"/>
      <c r="Q264" s="1086"/>
      <c r="R264" s="1562"/>
      <c r="S264" s="1086"/>
      <c r="T264" s="1086"/>
      <c r="U264" s="480"/>
      <c r="V264" s="1086"/>
      <c r="W264" s="1086"/>
      <c r="X264" s="1086"/>
      <c r="Y264" s="1086"/>
      <c r="Z264" s="1086"/>
      <c r="AA264" s="1558"/>
      <c r="AB264" s="502"/>
      <c r="AC264" s="502"/>
      <c r="AD264" s="502"/>
      <c r="AE264" s="502"/>
      <c r="AF264" s="1567">
        <v>11</v>
      </c>
    </row>
    <row r="265" spans="1:32" s="1567" customFormat="1" ht="11.45" customHeight="1">
      <c r="A265" s="916"/>
      <c r="B265" s="1562"/>
      <c r="C265" s="1562"/>
      <c r="D265" s="287"/>
      <c r="K265" s="1086"/>
      <c r="L265" s="1562"/>
      <c r="M265" s="1562"/>
      <c r="N265" s="1086"/>
      <c r="O265" s="1086"/>
      <c r="P265" s="1086"/>
      <c r="Q265" s="1086"/>
      <c r="R265" s="1562"/>
      <c r="S265" s="1086"/>
      <c r="T265" s="1086"/>
      <c r="U265" s="480"/>
      <c r="V265" s="1086"/>
      <c r="W265" s="1086"/>
      <c r="X265" s="1086"/>
      <c r="Y265" s="1086"/>
      <c r="Z265" s="1086"/>
      <c r="AA265" s="1558"/>
      <c r="AB265" s="502"/>
      <c r="AC265" s="502"/>
      <c r="AD265" s="502"/>
      <c r="AE265" s="502"/>
      <c r="AF265" s="1567">
        <v>11</v>
      </c>
    </row>
    <row r="266" spans="1:32" s="1567" customFormat="1" ht="11.45" customHeight="1">
      <c r="A266" s="916"/>
      <c r="B266" s="1562"/>
      <c r="C266" s="1562"/>
      <c r="D266" s="287"/>
      <c r="K266" s="1086"/>
      <c r="L266" s="1562"/>
      <c r="M266" s="1562"/>
      <c r="N266" s="1086"/>
      <c r="O266" s="1086"/>
      <c r="P266" s="1086"/>
      <c r="Q266" s="1086"/>
      <c r="R266" s="1562"/>
      <c r="S266" s="1086"/>
      <c r="T266" s="1086"/>
      <c r="U266" s="480"/>
      <c r="V266" s="1086"/>
      <c r="W266" s="1086"/>
      <c r="X266" s="1086"/>
      <c r="Y266" s="1086"/>
      <c r="Z266" s="1086"/>
      <c r="AA266" s="1558"/>
      <c r="AB266" s="502"/>
      <c r="AC266" s="502"/>
      <c r="AD266" s="502"/>
      <c r="AE266" s="502"/>
      <c r="AF266" s="1567">
        <v>11</v>
      </c>
    </row>
    <row r="267" spans="1:32" s="1567" customFormat="1" ht="11.45" customHeight="1">
      <c r="A267" s="916"/>
      <c r="B267" s="1562"/>
      <c r="C267" s="1562"/>
      <c r="D267" s="287"/>
      <c r="K267" s="1086"/>
      <c r="L267" s="1562"/>
      <c r="M267" s="1562"/>
      <c r="N267" s="1086"/>
      <c r="O267" s="1086"/>
      <c r="P267" s="1086"/>
      <c r="Q267" s="1086"/>
      <c r="R267" s="1562"/>
      <c r="S267" s="1086"/>
      <c r="T267" s="1086"/>
      <c r="U267" s="480"/>
      <c r="V267" s="1086"/>
      <c r="W267" s="1086"/>
      <c r="X267" s="1086"/>
      <c r="Y267" s="1086"/>
      <c r="Z267" s="1086"/>
      <c r="AA267" s="1558"/>
      <c r="AB267" s="502"/>
      <c r="AC267" s="502"/>
      <c r="AD267" s="502"/>
      <c r="AE267" s="502"/>
      <c r="AF267" s="1567">
        <v>11</v>
      </c>
    </row>
    <row r="268" spans="1:32" s="1567" customFormat="1" ht="11.45" customHeight="1">
      <c r="A268" s="916"/>
      <c r="B268" s="1562"/>
      <c r="C268" s="1562"/>
      <c r="D268" s="287"/>
      <c r="K268" s="1086"/>
      <c r="L268" s="1562"/>
      <c r="M268" s="1562"/>
      <c r="N268" s="1086"/>
      <c r="O268" s="1086"/>
      <c r="P268" s="1086"/>
      <c r="Q268" s="1086"/>
      <c r="R268" s="1562"/>
      <c r="S268" s="1086"/>
      <c r="T268" s="1086"/>
      <c r="U268" s="480"/>
      <c r="V268" s="1086"/>
      <c r="W268" s="1086"/>
      <c r="X268" s="1086"/>
      <c r="Y268" s="1086"/>
      <c r="Z268" s="1086"/>
      <c r="AA268" s="1558"/>
      <c r="AB268" s="502"/>
      <c r="AC268" s="502"/>
      <c r="AD268" s="502"/>
      <c r="AE268" s="502"/>
      <c r="AF268" s="1567">
        <v>11</v>
      </c>
    </row>
    <row r="269" spans="1:32" s="1567" customFormat="1" ht="11.45" customHeight="1">
      <c r="A269" s="916"/>
      <c r="B269" s="1562"/>
      <c r="C269" s="1562"/>
      <c r="D269" s="287"/>
      <c r="K269" s="1086"/>
      <c r="L269" s="1562"/>
      <c r="M269" s="1562"/>
      <c r="N269" s="1086"/>
      <c r="O269" s="1086"/>
      <c r="P269" s="1086"/>
      <c r="Q269" s="1086"/>
      <c r="R269" s="1562"/>
      <c r="S269" s="1086"/>
      <c r="T269" s="1086"/>
      <c r="U269" s="480"/>
      <c r="V269" s="1086"/>
      <c r="W269" s="1086"/>
      <c r="X269" s="1086"/>
      <c r="Y269" s="1086"/>
      <c r="Z269" s="1086"/>
      <c r="AA269" s="1558"/>
      <c r="AB269" s="502"/>
      <c r="AC269" s="502"/>
      <c r="AD269" s="502"/>
      <c r="AE269" s="502"/>
      <c r="AF269" s="1567">
        <v>11</v>
      </c>
    </row>
    <row r="270" spans="1:32" s="1567" customFormat="1" ht="11.45" customHeight="1">
      <c r="A270" s="916"/>
      <c r="B270" s="1562"/>
      <c r="C270" s="1562"/>
      <c r="D270" s="287"/>
      <c r="K270" s="1086"/>
      <c r="L270" s="1562"/>
      <c r="M270" s="1562"/>
      <c r="N270" s="1086"/>
      <c r="O270" s="1086"/>
      <c r="P270" s="1086"/>
      <c r="Q270" s="1086"/>
      <c r="R270" s="1562"/>
      <c r="S270" s="1086"/>
      <c r="T270" s="1086"/>
      <c r="U270" s="480"/>
      <c r="V270" s="1086"/>
      <c r="W270" s="1086"/>
      <c r="X270" s="1086"/>
      <c r="Y270" s="1086"/>
      <c r="Z270" s="1086"/>
      <c r="AA270" s="1558"/>
      <c r="AB270" s="502"/>
      <c r="AC270" s="502"/>
      <c r="AD270" s="502"/>
      <c r="AE270" s="502"/>
      <c r="AF270" s="1567">
        <v>11</v>
      </c>
    </row>
    <row r="271" spans="1:32" s="1567" customFormat="1" ht="11.45" customHeight="1">
      <c r="A271" s="916"/>
      <c r="B271" s="1562"/>
      <c r="C271" s="1562"/>
      <c r="D271" s="287"/>
      <c r="K271" s="1086"/>
      <c r="L271" s="1562"/>
      <c r="M271" s="1562"/>
      <c r="N271" s="1086"/>
      <c r="O271" s="1086"/>
      <c r="P271" s="1086"/>
      <c r="Q271" s="1086"/>
      <c r="R271" s="1562"/>
      <c r="S271" s="1086"/>
      <c r="T271" s="1086"/>
      <c r="U271" s="480"/>
      <c r="V271" s="1086"/>
      <c r="W271" s="1086"/>
      <c r="X271" s="1086"/>
      <c r="Y271" s="1086"/>
      <c r="Z271" s="1086"/>
      <c r="AA271" s="1558"/>
      <c r="AB271" s="502"/>
      <c r="AC271" s="502"/>
      <c r="AD271" s="502"/>
      <c r="AE271" s="502"/>
      <c r="AF271" s="1567">
        <v>11</v>
      </c>
    </row>
    <row r="272" spans="1:32" s="1567" customFormat="1" ht="11.45" customHeight="1">
      <c r="A272" s="916"/>
      <c r="B272" s="1562"/>
      <c r="C272" s="1562"/>
      <c r="D272" s="287"/>
      <c r="K272" s="1086"/>
      <c r="L272" s="1562"/>
      <c r="M272" s="1562"/>
      <c r="N272" s="1086"/>
      <c r="O272" s="1086"/>
      <c r="P272" s="1086"/>
      <c r="Q272" s="1086"/>
      <c r="R272" s="1562"/>
      <c r="S272" s="1086"/>
      <c r="T272" s="1086"/>
      <c r="U272" s="480"/>
      <c r="V272" s="1086"/>
      <c r="W272" s="1086"/>
      <c r="X272" s="1086"/>
      <c r="Y272" s="1086"/>
      <c r="Z272" s="1086"/>
      <c r="AA272" s="1558"/>
      <c r="AB272" s="502"/>
      <c r="AC272" s="502"/>
      <c r="AD272" s="502"/>
      <c r="AE272" s="502"/>
      <c r="AF272" s="1567">
        <v>11</v>
      </c>
    </row>
    <row r="273" spans="1:32" s="1567" customFormat="1" ht="11.45" customHeight="1">
      <c r="A273" s="916"/>
      <c r="B273" s="1562"/>
      <c r="C273" s="1562"/>
      <c r="D273" s="287"/>
      <c r="K273" s="1086"/>
      <c r="L273" s="1562"/>
      <c r="M273" s="1562"/>
      <c r="N273" s="1086"/>
      <c r="O273" s="1086"/>
      <c r="P273" s="1086"/>
      <c r="Q273" s="1086"/>
      <c r="R273" s="1562"/>
      <c r="S273" s="1086"/>
      <c r="T273" s="1086"/>
      <c r="U273" s="480"/>
      <c r="V273" s="1086"/>
      <c r="W273" s="1086"/>
      <c r="X273" s="1086"/>
      <c r="Y273" s="1086"/>
      <c r="Z273" s="1086"/>
      <c r="AA273" s="1558"/>
      <c r="AB273" s="502"/>
      <c r="AC273" s="502"/>
      <c r="AD273" s="502"/>
      <c r="AE273" s="502"/>
      <c r="AF273" s="1567">
        <v>11</v>
      </c>
    </row>
    <row r="274" spans="1:32" s="1567" customFormat="1" ht="11.45" customHeight="1">
      <c r="A274" s="916"/>
      <c r="B274" s="1562"/>
      <c r="C274" s="1562"/>
      <c r="D274" s="287"/>
      <c r="K274" s="1086"/>
      <c r="L274" s="1562"/>
      <c r="M274" s="1562"/>
      <c r="N274" s="1086"/>
      <c r="O274" s="1086"/>
      <c r="P274" s="1086"/>
      <c r="Q274" s="1086"/>
      <c r="R274" s="1562"/>
      <c r="S274" s="1086"/>
      <c r="T274" s="1086"/>
      <c r="U274" s="480"/>
      <c r="V274" s="1086"/>
      <c r="W274" s="1086"/>
      <c r="X274" s="1086"/>
      <c r="Y274" s="1086"/>
      <c r="Z274" s="1086"/>
      <c r="AA274" s="1558"/>
      <c r="AB274" s="502"/>
      <c r="AC274" s="502"/>
      <c r="AD274" s="502"/>
      <c r="AE274" s="502"/>
      <c r="AF274" s="1567">
        <v>11</v>
      </c>
    </row>
    <row r="275" spans="1:32" s="1567" customFormat="1" ht="11.45" customHeight="1">
      <c r="A275" s="916"/>
      <c r="B275" s="1562"/>
      <c r="C275" s="1562"/>
      <c r="D275" s="287"/>
      <c r="K275" s="1086"/>
      <c r="L275" s="1562"/>
      <c r="M275" s="1562"/>
      <c r="N275" s="1086"/>
      <c r="O275" s="1086"/>
      <c r="P275" s="1086"/>
      <c r="Q275" s="1086"/>
      <c r="R275" s="1562"/>
      <c r="S275" s="1086"/>
      <c r="T275" s="1086"/>
      <c r="U275" s="480"/>
      <c r="V275" s="1086"/>
      <c r="W275" s="1086"/>
      <c r="X275" s="1086"/>
      <c r="Y275" s="1086"/>
      <c r="Z275" s="1086"/>
      <c r="AA275" s="1558"/>
      <c r="AB275" s="502"/>
      <c r="AC275" s="502"/>
      <c r="AD275" s="502"/>
      <c r="AE275" s="502"/>
      <c r="AF275" s="1567">
        <v>11</v>
      </c>
    </row>
    <row r="276" spans="1:32" s="1567" customFormat="1" ht="11.45" customHeight="1">
      <c r="A276" s="916"/>
      <c r="B276" s="1562"/>
      <c r="C276" s="1562"/>
      <c r="D276" s="287"/>
      <c r="K276" s="1086"/>
      <c r="L276" s="1562"/>
      <c r="M276" s="1562"/>
      <c r="N276" s="1086"/>
      <c r="O276" s="1086"/>
      <c r="P276" s="1086"/>
      <c r="Q276" s="1086"/>
      <c r="R276" s="1562"/>
      <c r="S276" s="1086"/>
      <c r="T276" s="1086"/>
      <c r="U276" s="480"/>
      <c r="V276" s="1086"/>
      <c r="W276" s="1086"/>
      <c r="X276" s="1086"/>
      <c r="Y276" s="1086"/>
      <c r="Z276" s="1086"/>
      <c r="AA276" s="1558"/>
      <c r="AB276" s="502"/>
      <c r="AC276" s="502"/>
      <c r="AD276" s="502"/>
      <c r="AE276" s="502"/>
      <c r="AF276" s="1567">
        <v>11</v>
      </c>
    </row>
    <row r="277" spans="1:32" s="1567" customFormat="1" ht="11.45" customHeight="1">
      <c r="A277" s="916"/>
      <c r="B277" s="1562"/>
      <c r="C277" s="1562"/>
      <c r="D277" s="287"/>
      <c r="K277" s="1086"/>
      <c r="L277" s="1562"/>
      <c r="M277" s="1562"/>
      <c r="N277" s="1086"/>
      <c r="O277" s="1086"/>
      <c r="P277" s="1086"/>
      <c r="Q277" s="1086"/>
      <c r="R277" s="1562"/>
      <c r="S277" s="1086"/>
      <c r="T277" s="1086"/>
      <c r="U277" s="480"/>
      <c r="V277" s="1086"/>
      <c r="W277" s="1086"/>
      <c r="X277" s="1086"/>
      <c r="Y277" s="1086"/>
      <c r="Z277" s="1086"/>
      <c r="AA277" s="1558"/>
      <c r="AB277" s="502"/>
      <c r="AC277" s="502"/>
      <c r="AD277" s="502"/>
      <c r="AE277" s="502"/>
      <c r="AF277" s="1567">
        <v>11</v>
      </c>
    </row>
    <row r="278" spans="1:32" s="1567" customFormat="1" ht="11.45" customHeight="1">
      <c r="A278" s="916"/>
      <c r="B278" s="1562"/>
      <c r="C278" s="1562"/>
      <c r="D278" s="287"/>
      <c r="K278" s="1086"/>
      <c r="L278" s="1562"/>
      <c r="M278" s="1562"/>
      <c r="N278" s="1086"/>
      <c r="O278" s="1086"/>
      <c r="P278" s="1086"/>
      <c r="Q278" s="1086"/>
      <c r="R278" s="1562"/>
      <c r="S278" s="1086"/>
      <c r="T278" s="1086"/>
      <c r="U278" s="480"/>
      <c r="V278" s="1086"/>
      <c r="W278" s="1086"/>
      <c r="X278" s="1086"/>
      <c r="Y278" s="1086"/>
      <c r="Z278" s="1086"/>
      <c r="AA278" s="1558"/>
      <c r="AB278" s="502"/>
      <c r="AC278" s="502"/>
      <c r="AD278" s="502"/>
      <c r="AE278" s="502"/>
      <c r="AF278" s="1567">
        <v>11</v>
      </c>
    </row>
    <row r="279" spans="1:32" s="1567" customFormat="1" ht="11.45" customHeight="1">
      <c r="A279" s="916"/>
      <c r="B279" s="1562"/>
      <c r="C279" s="1562"/>
      <c r="D279" s="287"/>
      <c r="K279" s="1086"/>
      <c r="L279" s="1562"/>
      <c r="M279" s="1562"/>
      <c r="N279" s="1086"/>
      <c r="O279" s="1086"/>
      <c r="P279" s="1086"/>
      <c r="Q279" s="1086"/>
      <c r="R279" s="1562"/>
      <c r="S279" s="1086"/>
      <c r="T279" s="1086"/>
      <c r="U279" s="480"/>
      <c r="V279" s="1086"/>
      <c r="W279" s="1086"/>
      <c r="X279" s="1086"/>
      <c r="Y279" s="1086"/>
      <c r="Z279" s="1086"/>
      <c r="AA279" s="1558"/>
      <c r="AB279" s="502"/>
      <c r="AC279" s="502"/>
      <c r="AD279" s="502"/>
      <c r="AE279" s="502"/>
      <c r="AF279" s="1567">
        <v>11</v>
      </c>
    </row>
    <row r="280" spans="1:32" s="1567" customFormat="1" ht="11.45" customHeight="1">
      <c r="A280" s="916"/>
      <c r="B280" s="1562"/>
      <c r="C280" s="1562"/>
      <c r="D280" s="287"/>
      <c r="K280" s="1086"/>
      <c r="L280" s="1562"/>
      <c r="M280" s="1562"/>
      <c r="N280" s="1086"/>
      <c r="O280" s="1086"/>
      <c r="P280" s="1086"/>
      <c r="Q280" s="1086"/>
      <c r="R280" s="1562"/>
      <c r="S280" s="1086"/>
      <c r="T280" s="1086"/>
      <c r="U280" s="480"/>
      <c r="V280" s="1086"/>
      <c r="W280" s="1086"/>
      <c r="X280" s="1086"/>
      <c r="Y280" s="1086"/>
      <c r="Z280" s="1086"/>
      <c r="AA280" s="1558"/>
      <c r="AB280" s="502"/>
      <c r="AC280" s="502"/>
      <c r="AD280" s="502"/>
      <c r="AE280" s="502"/>
      <c r="AF280" s="1567">
        <v>11</v>
      </c>
    </row>
    <row r="281" spans="1:32" s="1567" customFormat="1" ht="11.45" customHeight="1">
      <c r="A281" s="916"/>
      <c r="B281" s="1562"/>
      <c r="C281" s="1562"/>
      <c r="D281" s="287"/>
      <c r="K281" s="1086"/>
      <c r="L281" s="1562"/>
      <c r="M281" s="1562"/>
      <c r="N281" s="1086"/>
      <c r="O281" s="1086"/>
      <c r="P281" s="1086"/>
      <c r="Q281" s="1086"/>
      <c r="R281" s="1562"/>
      <c r="S281" s="1086"/>
      <c r="T281" s="1086"/>
      <c r="U281" s="480"/>
      <c r="V281" s="1086"/>
      <c r="W281" s="1086"/>
      <c r="X281" s="1086"/>
      <c r="Y281" s="1086"/>
      <c r="Z281" s="1086"/>
      <c r="AA281" s="1558"/>
      <c r="AB281" s="502"/>
      <c r="AC281" s="502"/>
      <c r="AD281" s="502"/>
      <c r="AE281" s="502"/>
      <c r="AF281" s="1567">
        <v>11</v>
      </c>
    </row>
    <row r="282" spans="1:32" s="1567" customFormat="1" ht="11.45" customHeight="1">
      <c r="A282" s="916"/>
      <c r="B282" s="1562"/>
      <c r="C282" s="1562"/>
      <c r="D282" s="287"/>
      <c r="K282" s="1086"/>
      <c r="L282" s="1562"/>
      <c r="M282" s="1562"/>
      <c r="N282" s="1086"/>
      <c r="O282" s="1086"/>
      <c r="P282" s="1086"/>
      <c r="Q282" s="1086"/>
      <c r="R282" s="1562"/>
      <c r="S282" s="1086"/>
      <c r="T282" s="1086"/>
      <c r="U282" s="480"/>
      <c r="V282" s="1086"/>
      <c r="W282" s="1086"/>
      <c r="X282" s="1086"/>
      <c r="Y282" s="1086"/>
      <c r="Z282" s="1086"/>
      <c r="AA282" s="1558"/>
      <c r="AB282" s="502"/>
      <c r="AC282" s="502"/>
      <c r="AD282" s="502"/>
      <c r="AE282" s="502"/>
      <c r="AF282" s="1567">
        <v>11</v>
      </c>
    </row>
    <row r="283" spans="1:32" s="1567" customFormat="1" ht="11.45" customHeight="1">
      <c r="A283" s="916"/>
      <c r="B283" s="1562"/>
      <c r="C283" s="1562"/>
      <c r="D283" s="287"/>
      <c r="K283" s="1086"/>
      <c r="L283" s="1562"/>
      <c r="M283" s="1562"/>
      <c r="N283" s="1086"/>
      <c r="O283" s="1086"/>
      <c r="P283" s="1086"/>
      <c r="Q283" s="1086"/>
      <c r="R283" s="1562"/>
      <c r="S283" s="1086"/>
      <c r="T283" s="1086"/>
      <c r="U283" s="480"/>
      <c r="V283" s="1086"/>
      <c r="W283" s="1086"/>
      <c r="X283" s="1086"/>
      <c r="Y283" s="1086"/>
      <c r="Z283" s="1086"/>
      <c r="AA283" s="1558"/>
      <c r="AB283" s="502"/>
      <c r="AC283" s="502"/>
      <c r="AD283" s="502"/>
      <c r="AE283" s="502"/>
      <c r="AF283" s="1567">
        <v>11</v>
      </c>
    </row>
    <row r="284" spans="1:32" s="1567" customFormat="1" ht="11.45" customHeight="1">
      <c r="A284" s="916"/>
      <c r="B284" s="1562"/>
      <c r="C284" s="1562"/>
      <c r="D284" s="287"/>
      <c r="K284" s="1086"/>
      <c r="L284" s="1562"/>
      <c r="M284" s="1562"/>
      <c r="N284" s="1086"/>
      <c r="O284" s="1086"/>
      <c r="P284" s="1086"/>
      <c r="Q284" s="1086"/>
      <c r="R284" s="1562"/>
      <c r="S284" s="1086"/>
      <c r="T284" s="1086"/>
      <c r="U284" s="480"/>
      <c r="V284" s="1086"/>
      <c r="W284" s="1086"/>
      <c r="X284" s="1086"/>
      <c r="Y284" s="1086"/>
      <c r="Z284" s="1086"/>
      <c r="AA284" s="1558"/>
      <c r="AB284" s="502"/>
      <c r="AC284" s="502"/>
      <c r="AD284" s="502"/>
      <c r="AE284" s="502"/>
      <c r="AF284" s="1567">
        <v>11</v>
      </c>
    </row>
    <row r="285" spans="1:32" s="1567" customFormat="1" ht="11.45" customHeight="1">
      <c r="A285" s="916"/>
      <c r="B285" s="1562"/>
      <c r="C285" s="1562"/>
      <c r="D285" s="287"/>
      <c r="K285" s="1086"/>
      <c r="L285" s="1562"/>
      <c r="M285" s="1562"/>
      <c r="N285" s="1086"/>
      <c r="O285" s="1086"/>
      <c r="P285" s="1086"/>
      <c r="Q285" s="1086"/>
      <c r="R285" s="1562"/>
      <c r="S285" s="1086"/>
      <c r="T285" s="1086"/>
      <c r="U285" s="480"/>
      <c r="V285" s="1086"/>
      <c r="W285" s="1086"/>
      <c r="X285" s="1086"/>
      <c r="Y285" s="1086"/>
      <c r="Z285" s="1086"/>
      <c r="AA285" s="1558"/>
      <c r="AB285" s="502"/>
      <c r="AC285" s="502"/>
      <c r="AD285" s="502"/>
      <c r="AE285" s="502"/>
      <c r="AF285" s="1567">
        <v>11</v>
      </c>
    </row>
    <row r="286" spans="1:32" s="1567" customFormat="1" ht="11.45" customHeight="1">
      <c r="A286" s="916"/>
      <c r="B286" s="1562"/>
      <c r="C286" s="1562"/>
      <c r="D286" s="287"/>
      <c r="K286" s="1086"/>
      <c r="L286" s="1562"/>
      <c r="M286" s="1562"/>
      <c r="N286" s="1086"/>
      <c r="O286" s="1086"/>
      <c r="P286" s="1086"/>
      <c r="Q286" s="1086"/>
      <c r="R286" s="1562"/>
      <c r="S286" s="1086"/>
      <c r="T286" s="1086"/>
      <c r="U286" s="480"/>
      <c r="V286" s="1086"/>
      <c r="W286" s="1086"/>
      <c r="X286" s="1086"/>
      <c r="Y286" s="1086"/>
      <c r="Z286" s="1086"/>
      <c r="AA286" s="1558"/>
      <c r="AB286" s="502"/>
      <c r="AC286" s="502"/>
      <c r="AD286" s="502"/>
      <c r="AE286" s="502"/>
      <c r="AF286" s="1567">
        <v>11</v>
      </c>
    </row>
    <row r="287" spans="1:32" s="1567" customFormat="1" ht="11.45" customHeight="1">
      <c r="A287" s="916"/>
      <c r="B287" s="1562"/>
      <c r="C287" s="1562"/>
      <c r="D287" s="287"/>
      <c r="K287" s="1086"/>
      <c r="L287" s="1562"/>
      <c r="M287" s="1562"/>
      <c r="N287" s="1086"/>
      <c r="O287" s="1086"/>
      <c r="P287" s="1086"/>
      <c r="Q287" s="1086"/>
      <c r="R287" s="1562"/>
      <c r="S287" s="1086"/>
      <c r="T287" s="1086"/>
      <c r="U287" s="480"/>
      <c r="V287" s="1086"/>
      <c r="W287" s="1086"/>
      <c r="X287" s="1086"/>
      <c r="Y287" s="1086"/>
      <c r="Z287" s="1086"/>
      <c r="AA287" s="1558"/>
      <c r="AB287" s="502"/>
      <c r="AC287" s="502"/>
      <c r="AD287" s="502"/>
      <c r="AE287" s="502"/>
      <c r="AF287" s="1567">
        <v>11</v>
      </c>
    </row>
    <row r="288" spans="1:32" s="1567" customFormat="1" ht="11.45" customHeight="1">
      <c r="A288" s="916"/>
      <c r="B288" s="1562"/>
      <c r="C288" s="1562"/>
      <c r="D288" s="287"/>
      <c r="K288" s="1086"/>
      <c r="L288" s="1562"/>
      <c r="M288" s="1562"/>
      <c r="N288" s="1086"/>
      <c r="O288" s="1086"/>
      <c r="P288" s="1086"/>
      <c r="Q288" s="1086"/>
      <c r="R288" s="1562"/>
      <c r="S288" s="1086"/>
      <c r="T288" s="1086"/>
      <c r="U288" s="480"/>
      <c r="V288" s="1086"/>
      <c r="W288" s="1086"/>
      <c r="X288" s="1086"/>
      <c r="Y288" s="1086"/>
      <c r="Z288" s="1086"/>
      <c r="AA288" s="1558"/>
      <c r="AB288" s="502"/>
      <c r="AC288" s="502"/>
      <c r="AD288" s="502"/>
      <c r="AE288" s="502"/>
      <c r="AF288" s="1567">
        <v>11</v>
      </c>
    </row>
    <row r="289" spans="1:32" ht="11.45" customHeight="1">
      <c r="AF289" s="1557">
        <v>11</v>
      </c>
    </row>
    <row r="290" spans="1:32" ht="11.45" customHeight="1">
      <c r="AF290" s="1557">
        <v>11</v>
      </c>
    </row>
    <row r="291" spans="1:32" ht="11.45" customHeight="1">
      <c r="AF291" s="1557">
        <v>11</v>
      </c>
    </row>
    <row r="292" spans="1:32" ht="11.45" customHeight="1">
      <c r="A292" s="919"/>
      <c r="B292" s="1557"/>
      <c r="D292" s="1557"/>
      <c r="K292" s="1557"/>
      <c r="N292" s="1557"/>
      <c r="O292" s="1557"/>
      <c r="P292" s="1557"/>
      <c r="Q292" s="1557"/>
      <c r="S292" s="1557"/>
      <c r="T292" s="1557"/>
      <c r="U292" s="1557"/>
      <c r="V292" s="1557"/>
      <c r="W292" s="1557"/>
      <c r="X292" s="1557"/>
      <c r="Y292" s="1557"/>
      <c r="Z292" s="1557"/>
      <c r="AA292" s="1557"/>
      <c r="AB292" s="1557"/>
      <c r="AC292" s="1557"/>
      <c r="AD292" s="1557"/>
      <c r="AE292" s="1557"/>
      <c r="AF292" s="1557">
        <v>11</v>
      </c>
    </row>
    <row r="293" spans="1:32" ht="11.45" customHeight="1">
      <c r="A293" s="919"/>
      <c r="B293" s="1557"/>
      <c r="D293" s="1557"/>
      <c r="K293" s="1557"/>
      <c r="N293" s="1557"/>
      <c r="O293" s="1557"/>
      <c r="P293" s="1557"/>
      <c r="Q293" s="1557"/>
      <c r="S293" s="1557"/>
      <c r="T293" s="1557"/>
      <c r="U293" s="1557"/>
      <c r="V293" s="1557"/>
      <c r="W293" s="1557"/>
      <c r="X293" s="1557"/>
      <c r="Y293" s="1557"/>
      <c r="Z293" s="1557"/>
      <c r="AA293" s="1557"/>
      <c r="AB293" s="1557"/>
      <c r="AC293" s="1557"/>
      <c r="AD293" s="1557"/>
      <c r="AE293" s="1557"/>
      <c r="AF293" s="1557">
        <v>11</v>
      </c>
    </row>
    <row r="294" spans="1:32" ht="11.45" customHeight="1">
      <c r="A294" s="919"/>
      <c r="B294" s="1557"/>
      <c r="D294" s="1557"/>
      <c r="K294" s="1557"/>
      <c r="N294" s="1557"/>
      <c r="O294" s="1557"/>
      <c r="P294" s="1557"/>
      <c r="Q294" s="1557"/>
      <c r="S294" s="1557"/>
      <c r="T294" s="1557"/>
      <c r="U294" s="1557"/>
      <c r="V294" s="1557"/>
      <c r="W294" s="1557"/>
      <c r="X294" s="1557"/>
      <c r="Y294" s="1557"/>
      <c r="Z294" s="1557"/>
      <c r="AA294" s="1557"/>
      <c r="AB294" s="1557"/>
      <c r="AC294" s="1557"/>
      <c r="AD294" s="1557"/>
      <c r="AE294" s="1557"/>
      <c r="AF294" s="1557">
        <v>11</v>
      </c>
    </row>
    <row r="295" spans="1:32" ht="11.45" customHeight="1">
      <c r="A295" s="919"/>
      <c r="B295" s="1557"/>
      <c r="D295" s="1557"/>
      <c r="K295" s="1557"/>
      <c r="N295" s="1557"/>
      <c r="O295" s="1557"/>
      <c r="P295" s="1557"/>
      <c r="Q295" s="1557"/>
      <c r="S295" s="1557"/>
      <c r="T295" s="1557"/>
      <c r="U295" s="1557"/>
      <c r="V295" s="1557"/>
      <c r="W295" s="1557"/>
      <c r="X295" s="1557"/>
      <c r="Y295" s="1557"/>
      <c r="Z295" s="1557"/>
      <c r="AA295" s="1557"/>
      <c r="AB295" s="1557"/>
      <c r="AC295" s="1557"/>
      <c r="AD295" s="1557"/>
      <c r="AE295" s="1557"/>
      <c r="AF295" s="1557">
        <v>11</v>
      </c>
    </row>
    <row r="296" spans="1:32" ht="11.45" customHeight="1">
      <c r="A296" s="919"/>
      <c r="B296" s="1557"/>
      <c r="D296" s="1557"/>
      <c r="K296" s="1557"/>
      <c r="N296" s="1557"/>
      <c r="O296" s="1557"/>
      <c r="P296" s="1557"/>
      <c r="Q296" s="1557"/>
      <c r="S296" s="1557"/>
      <c r="T296" s="1557"/>
      <c r="U296" s="1557"/>
      <c r="V296" s="1557"/>
      <c r="W296" s="1557"/>
      <c r="X296" s="1557"/>
      <c r="Y296" s="1557"/>
      <c r="Z296" s="1557"/>
      <c r="AA296" s="1557"/>
      <c r="AB296" s="1557"/>
      <c r="AC296" s="1557"/>
      <c r="AD296" s="1557"/>
      <c r="AE296" s="1557"/>
      <c r="AF296" s="1557">
        <v>11</v>
      </c>
    </row>
    <row r="297" spans="1:32" ht="11.45" customHeight="1">
      <c r="A297" s="919"/>
      <c r="B297" s="1557"/>
      <c r="D297" s="1557"/>
      <c r="K297" s="1557"/>
      <c r="N297" s="1557"/>
      <c r="O297" s="1557"/>
      <c r="P297" s="1557"/>
      <c r="Q297" s="1557"/>
      <c r="S297" s="1557"/>
      <c r="T297" s="1557"/>
      <c r="U297" s="1557"/>
      <c r="V297" s="1557"/>
      <c r="W297" s="1557"/>
      <c r="X297" s="1557"/>
      <c r="Y297" s="1557"/>
      <c r="Z297" s="1557"/>
      <c r="AA297" s="1557"/>
      <c r="AB297" s="1557"/>
      <c r="AC297" s="1557"/>
      <c r="AD297" s="1557"/>
      <c r="AE297" s="1557"/>
      <c r="AF297" s="1557">
        <v>11</v>
      </c>
    </row>
    <row r="298" spans="1:32" ht="11.45" customHeight="1">
      <c r="A298" s="919"/>
      <c r="B298" s="1557"/>
      <c r="D298" s="1557"/>
      <c r="K298" s="1557"/>
      <c r="N298" s="1557"/>
      <c r="O298" s="1557"/>
      <c r="P298" s="1557"/>
      <c r="Q298" s="1557"/>
      <c r="S298" s="1557"/>
      <c r="T298" s="1557"/>
      <c r="U298" s="1557"/>
      <c r="V298" s="1557"/>
      <c r="W298" s="1557"/>
      <c r="X298" s="1557"/>
      <c r="Y298" s="1557"/>
      <c r="Z298" s="1557"/>
      <c r="AA298" s="1557"/>
      <c r="AB298" s="1557"/>
      <c r="AC298" s="1557"/>
      <c r="AD298" s="1557"/>
      <c r="AE298" s="1557"/>
      <c r="AF298" s="1557">
        <v>11</v>
      </c>
    </row>
    <row r="299" spans="1:32" ht="11.45" customHeight="1">
      <c r="A299" s="919"/>
      <c r="B299" s="1557"/>
      <c r="D299" s="1557"/>
      <c r="K299" s="1557"/>
      <c r="N299" s="1557"/>
      <c r="O299" s="1557"/>
      <c r="P299" s="1557"/>
      <c r="Q299" s="1557"/>
      <c r="S299" s="1557"/>
      <c r="T299" s="1557"/>
      <c r="U299" s="1557"/>
      <c r="V299" s="1557"/>
      <c r="W299" s="1557"/>
      <c r="X299" s="1557"/>
      <c r="Y299" s="1557"/>
      <c r="Z299" s="1557"/>
      <c r="AA299" s="1557"/>
      <c r="AB299" s="1557"/>
      <c r="AC299" s="1557"/>
      <c r="AD299" s="1557"/>
      <c r="AE299" s="1557"/>
      <c r="AF299" s="1557">
        <v>11</v>
      </c>
    </row>
    <row r="300" spans="1:32" ht="11.45" customHeight="1">
      <c r="A300" s="919"/>
      <c r="B300" s="1557"/>
      <c r="D300" s="1557"/>
      <c r="K300" s="1557"/>
      <c r="N300" s="1557"/>
      <c r="O300" s="1557"/>
      <c r="P300" s="1557"/>
      <c r="Q300" s="1557"/>
      <c r="S300" s="1557"/>
      <c r="T300" s="1557"/>
      <c r="U300" s="1557"/>
      <c r="V300" s="1557"/>
      <c r="W300" s="1557"/>
      <c r="X300" s="1557"/>
      <c r="Y300" s="1557"/>
      <c r="Z300" s="1557"/>
      <c r="AA300" s="1557"/>
      <c r="AB300" s="1557"/>
      <c r="AC300" s="1557"/>
      <c r="AD300" s="1557"/>
      <c r="AE300" s="1557"/>
      <c r="AF300" s="1557">
        <v>11</v>
      </c>
    </row>
    <row r="301" spans="1:32" ht="11.45" customHeight="1">
      <c r="A301" s="919"/>
      <c r="B301" s="1557"/>
      <c r="D301" s="1557"/>
      <c r="K301" s="1557"/>
      <c r="N301" s="1557"/>
      <c r="O301" s="1557"/>
      <c r="P301" s="1557"/>
      <c r="Q301" s="1557"/>
      <c r="S301" s="1557"/>
      <c r="T301" s="1557"/>
      <c r="U301" s="1557"/>
      <c r="V301" s="1557"/>
      <c r="W301" s="1557"/>
      <c r="X301" s="1557"/>
      <c r="Y301" s="1557"/>
      <c r="Z301" s="1557"/>
      <c r="AA301" s="1557"/>
      <c r="AB301" s="1557"/>
      <c r="AC301" s="1557"/>
      <c r="AD301" s="1557"/>
      <c r="AE301" s="1557"/>
      <c r="AF301" s="1557">
        <v>11</v>
      </c>
    </row>
    <row r="302" spans="1:32" ht="11.45" customHeight="1">
      <c r="A302" s="919"/>
      <c r="B302" s="1557"/>
      <c r="D302" s="1557"/>
      <c r="K302" s="1557"/>
      <c r="N302" s="1557"/>
      <c r="O302" s="1557"/>
      <c r="P302" s="1557"/>
      <c r="Q302" s="1557"/>
      <c r="S302" s="1557"/>
      <c r="T302" s="1557"/>
      <c r="U302" s="1557"/>
      <c r="V302" s="1557"/>
      <c r="W302" s="1557"/>
      <c r="X302" s="1557"/>
      <c r="Y302" s="1557"/>
      <c r="Z302" s="1557"/>
      <c r="AA302" s="1557"/>
      <c r="AB302" s="1557"/>
      <c r="AC302" s="1557"/>
      <c r="AD302" s="1557"/>
      <c r="AE302" s="1557"/>
      <c r="AF302" s="1557">
        <v>11</v>
      </c>
    </row>
    <row r="303" spans="1:32" ht="11.25" hidden="1" customHeight="1">
      <c r="A303" s="916" t="s">
        <v>73</v>
      </c>
      <c r="B303" s="1086">
        <v>0</v>
      </c>
      <c r="C303" s="1562">
        <v>0</v>
      </c>
      <c r="D303" s="1561">
        <v>3</v>
      </c>
      <c r="E303" s="1557">
        <v>7</v>
      </c>
      <c r="F303" s="1557">
        <v>54</v>
      </c>
      <c r="G303" s="1557">
        <v>10</v>
      </c>
      <c r="H303" s="1557">
        <v>0</v>
      </c>
      <c r="I303" s="1557">
        <v>40</v>
      </c>
      <c r="J303" s="1557">
        <v>102</v>
      </c>
      <c r="K303" s="1086">
        <v>9</v>
      </c>
      <c r="L303" s="1562">
        <v>5</v>
      </c>
      <c r="M303" s="1562">
        <v>3</v>
      </c>
      <c r="N303" s="1086">
        <v>3</v>
      </c>
      <c r="O303" s="1086">
        <v>3</v>
      </c>
      <c r="P303" s="1086">
        <v>3</v>
      </c>
      <c r="Q303" s="1086">
        <v>3</v>
      </c>
      <c r="R303" s="1562">
        <v>10</v>
      </c>
      <c r="S303" s="1086">
        <v>34</v>
      </c>
      <c r="T303" s="1086">
        <v>9</v>
      </c>
      <c r="U303" s="480">
        <v>8</v>
      </c>
      <c r="V303" s="1086">
        <v>8</v>
      </c>
      <c r="W303" s="1086">
        <v>8</v>
      </c>
      <c r="X303" s="1086">
        <v>8</v>
      </c>
      <c r="Y303" s="1086">
        <v>8</v>
      </c>
      <c r="Z303" s="1086">
        <v>8</v>
      </c>
      <c r="AA303" s="1558">
        <v>8</v>
      </c>
      <c r="AB303" s="1558">
        <v>8</v>
      </c>
      <c r="AC303" s="1558">
        <v>8</v>
      </c>
      <c r="AD303" s="1558">
        <v>8</v>
      </c>
      <c r="AE303" s="1558">
        <v>8</v>
      </c>
      <c r="AF303" s="1557">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4069"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069"/>
      <c r="G5" s="24069"/>
      <c r="H5" s="24069"/>
      <c r="I5" s="24069"/>
      <c r="J5" s="24069"/>
      <c r="K5" s="24069"/>
      <c r="L5" s="549"/>
      <c r="M5" s="549"/>
      <c r="CF5" s="441">
        <v>28</v>
      </c>
    </row>
    <row r="6" spans="1:84" s="1561" customFormat="1" ht="16.899999999999999" customHeight="1">
      <c r="A6" s="546"/>
      <c r="B6" s="693"/>
      <c r="C6" s="445"/>
      <c r="D6" s="987"/>
      <c r="E6" s="24042" t="str">
        <f>IF(org=0,"Не определено",org)</f>
        <v>ООО "Смоленскрегионтеплоэнерго"</v>
      </c>
      <c r="F6" s="24042"/>
      <c r="G6" s="24042"/>
      <c r="H6" s="24042"/>
      <c r="I6" s="24042"/>
      <c r="J6" s="24042"/>
      <c r="K6" s="24042"/>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5"/>
      <c r="E9" s="23928" t="s">
        <v>529</v>
      </c>
      <c r="F9" s="23933"/>
      <c r="G9" s="23933"/>
      <c r="H9" s="23933"/>
      <c r="I9" s="23933"/>
      <c r="J9" s="23933"/>
      <c r="K9" s="23933"/>
      <c r="L9" s="23933"/>
      <c r="M9" s="23933"/>
      <c r="N9" s="23933"/>
      <c r="O9" s="23933"/>
      <c r="P9" s="23933"/>
      <c r="Q9" s="23933"/>
      <c r="R9" s="23927"/>
      <c r="S9" s="23947" t="s">
        <v>530</v>
      </c>
      <c r="T9" s="270"/>
      <c r="CF9" s="441">
        <v>19</v>
      </c>
    </row>
    <row r="10" spans="1:84" ht="48.2" customHeight="1">
      <c r="D10" s="487" t="s">
        <v>79</v>
      </c>
      <c r="E10" s="23947" t="s">
        <v>79</v>
      </c>
      <c r="F10" s="23947"/>
      <c r="G10" s="457" t="s">
        <v>531</v>
      </c>
      <c r="H10" s="23947" t="s">
        <v>79</v>
      </c>
      <c r="I10" s="23947"/>
      <c r="J10" s="457" t="s">
        <v>852</v>
      </c>
      <c r="K10" s="457" t="s">
        <v>853</v>
      </c>
      <c r="L10" s="23947" t="s">
        <v>79</v>
      </c>
      <c r="M10" s="23947"/>
      <c r="N10" s="457" t="s">
        <v>854</v>
      </c>
      <c r="O10" s="457" t="s">
        <v>855</v>
      </c>
      <c r="P10" s="457" t="s">
        <v>856</v>
      </c>
      <c r="Q10" s="457" t="s">
        <v>857</v>
      </c>
      <c r="R10" s="457" t="s">
        <v>858</v>
      </c>
      <c r="S10" s="23947"/>
      <c r="T10" s="270"/>
      <c r="CF10" s="441">
        <v>46</v>
      </c>
    </row>
    <row r="11" spans="1:84" s="1568" customFormat="1" ht="15" hidden="1" customHeight="1">
      <c r="A11" s="981"/>
      <c r="D11" s="954" t="s">
        <v>218</v>
      </c>
      <c r="E11" s="954"/>
      <c r="F11" s="954" t="s">
        <v>95</v>
      </c>
      <c r="G11" s="954" t="s">
        <v>81</v>
      </c>
      <c r="H11" s="954"/>
      <c r="I11" s="954" t="s">
        <v>82</v>
      </c>
      <c r="J11" s="954" t="s">
        <v>109</v>
      </c>
      <c r="K11" s="954" t="s">
        <v>83</v>
      </c>
      <c r="L11" s="954"/>
      <c r="M11" s="954" t="s">
        <v>84</v>
      </c>
      <c r="N11" s="954" t="s">
        <v>90</v>
      </c>
      <c r="O11" s="954" t="s">
        <v>128</v>
      </c>
      <c r="P11" s="954" t="s">
        <v>133</v>
      </c>
      <c r="Q11" s="954" t="s">
        <v>138</v>
      </c>
      <c r="R11" s="954" t="s">
        <v>147</v>
      </c>
      <c r="S11" s="954" t="s">
        <v>101</v>
      </c>
      <c r="U11" s="547"/>
      <c r="V11" s="547"/>
      <c r="W11" s="547"/>
      <c r="CF11" s="447">
        <v>0</v>
      </c>
    </row>
    <row r="12" spans="1:84" s="1561" customFormat="1" ht="1.1499999999999999" customHeight="1">
      <c r="A12" s="551"/>
      <c r="B12" s="298"/>
      <c r="D12" s="484"/>
      <c r="E12" s="282"/>
      <c r="F12" s="282"/>
      <c r="Q12" s="552"/>
      <c r="R12" s="553"/>
      <c r="T12" s="554"/>
      <c r="U12" s="555"/>
      <c r="V12" s="555"/>
      <c r="W12" s="556"/>
      <c r="X12" s="298"/>
      <c r="Y12" s="298"/>
      <c r="Z12" s="298"/>
      <c r="AA12" s="298"/>
      <c r="CF12" s="445">
        <v>1</v>
      </c>
    </row>
    <row r="13" spans="1:84" s="1567" customFormat="1" ht="1.1499999999999999" customHeight="1">
      <c r="A13" s="557"/>
      <c r="B13" s="502"/>
      <c r="D13" s="484" t="s">
        <v>605</v>
      </c>
      <c r="E13" s="496"/>
      <c r="F13" s="496"/>
      <c r="G13" s="496"/>
      <c r="H13" s="496"/>
      <c r="I13" s="496"/>
      <c r="J13" s="496"/>
      <c r="K13" s="496"/>
      <c r="L13" s="496"/>
      <c r="M13" s="496"/>
      <c r="N13" s="496"/>
      <c r="O13" s="496"/>
      <c r="P13" s="496"/>
      <c r="Q13" s="496"/>
      <c r="R13" s="496"/>
      <c r="T13" s="270"/>
      <c r="U13" s="547"/>
      <c r="V13" s="547"/>
      <c r="W13" s="558"/>
      <c r="X13" s="502"/>
      <c r="Y13" s="502"/>
      <c r="Z13" s="502"/>
      <c r="AA13" s="502"/>
      <c r="CF13" s="432">
        <v>1</v>
      </c>
    </row>
    <row r="14" spans="1:84" s="1747" customFormat="1" ht="15" hidden="1" customHeight="1">
      <c r="A14" s="559" t="s">
        <v>223</v>
      </c>
      <c r="B14" s="560"/>
      <c r="C14" s="560"/>
      <c r="D14" s="24217" t="s">
        <v>218</v>
      </c>
      <c r="E14" s="24224" t="s">
        <v>214</v>
      </c>
      <c r="F14" s="24225"/>
      <c r="G14" s="24226"/>
      <c r="H14" s="24220">
        <f>IF(A14="","",INDEX(DIFFERENTIATION_UNMERGE_VD,MATCH(A14,DIFFERENTIATION_ID_DIFF,0)))</f>
        <v>0</v>
      </c>
      <c r="I14" s="24220"/>
      <c r="J14" s="24220"/>
      <c r="K14" s="24220"/>
      <c r="L14" s="24220"/>
      <c r="M14" s="24220"/>
      <c r="N14" s="24220"/>
      <c r="O14" s="24220"/>
      <c r="P14" s="24220"/>
      <c r="Q14" s="24220"/>
      <c r="R14" s="24220"/>
      <c r="S14" s="655"/>
      <c r="T14" s="652"/>
      <c r="U14" s="561"/>
      <c r="V14" s="561"/>
      <c r="W14" s="562"/>
      <c r="X14" s="562"/>
      <c r="Y14" s="562"/>
      <c r="Z14" s="562"/>
      <c r="AA14" s="563"/>
      <c r="AB14" s="564"/>
      <c r="AC14" s="24223"/>
      <c r="AD14" s="565"/>
      <c r="AE14" s="566" t="s">
        <v>17</v>
      </c>
      <c r="AF14" s="566"/>
      <c r="AG14" s="567" t="s">
        <v>859</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29">
        <v>0</v>
      </c>
    </row>
    <row r="15" spans="1:84" s="1747" customFormat="1" ht="15" hidden="1" customHeight="1">
      <c r="A15" s="559"/>
      <c r="B15" s="560"/>
      <c r="C15" s="560"/>
      <c r="D15" s="24218"/>
      <c r="E15" s="24224" t="s">
        <v>814</v>
      </c>
      <c r="F15" s="24225"/>
      <c r="G15" s="24226"/>
      <c r="H15" s="24220" t="str">
        <f>IF(A14="","",INDEX(DIFFERENTIATION_UNMERGE_AREA,MATCH(A14,DIFFERENTIATION_ID_DIFF,0)))</f>
        <v/>
      </c>
      <c r="I15" s="24220"/>
      <c r="J15" s="24220"/>
      <c r="K15" s="24220"/>
      <c r="L15" s="24220"/>
      <c r="M15" s="24220"/>
      <c r="N15" s="24220"/>
      <c r="O15" s="24220"/>
      <c r="P15" s="24220"/>
      <c r="Q15" s="24220"/>
      <c r="R15" s="24220"/>
      <c r="S15" s="655"/>
      <c r="T15" s="652"/>
      <c r="U15" s="561"/>
      <c r="V15" s="561"/>
      <c r="W15" s="562"/>
      <c r="X15" s="562"/>
      <c r="Y15" s="562"/>
      <c r="Z15" s="562"/>
      <c r="AA15" s="563"/>
      <c r="AB15" s="564"/>
      <c r="AC15" s="24223"/>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29">
        <v>0</v>
      </c>
    </row>
    <row r="16" spans="1:84" s="1747" customFormat="1" ht="15" hidden="1" customHeight="1">
      <c r="A16" s="559"/>
      <c r="B16" s="560"/>
      <c r="C16" s="560"/>
      <c r="D16" s="24218"/>
      <c r="E16" s="24224" t="s">
        <v>815</v>
      </c>
      <c r="F16" s="24225"/>
      <c r="G16" s="24226"/>
      <c r="H16" s="24220" t="str">
        <f>IF(A14="","",INDEX(DIFFERENTIATION_UNMERGE_SYSTEM,MATCH(A14,DIFFERENTIATION_ID_DIFF,0)))</f>
        <v>без дифференциации</v>
      </c>
      <c r="I16" s="24220"/>
      <c r="J16" s="24220"/>
      <c r="K16" s="24220"/>
      <c r="L16" s="24220"/>
      <c r="M16" s="24220"/>
      <c r="N16" s="24220"/>
      <c r="O16" s="24220"/>
      <c r="P16" s="24220"/>
      <c r="Q16" s="24220"/>
      <c r="R16" s="24220"/>
      <c r="S16" s="655"/>
      <c r="T16" s="652"/>
      <c r="U16" s="561"/>
      <c r="V16" s="561"/>
      <c r="W16" s="562"/>
      <c r="X16" s="562"/>
      <c r="Y16" s="562"/>
      <c r="Z16" s="562"/>
      <c r="AA16" s="563"/>
      <c r="AB16" s="564"/>
      <c r="AC16" s="24223"/>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29">
        <v>0</v>
      </c>
    </row>
    <row r="17" spans="1:84" s="1747" customFormat="1" ht="22.5" hidden="1" customHeight="1">
      <c r="A17" s="569"/>
      <c r="B17" s="353"/>
      <c r="C17" s="348"/>
      <c r="D17" s="24218"/>
      <c r="E17" s="24222" t="s">
        <v>860</v>
      </c>
      <c r="F17" s="24222"/>
      <c r="G17" s="24222"/>
      <c r="H17" s="24222"/>
      <c r="I17" s="24222"/>
      <c r="J17" s="24222"/>
      <c r="K17" s="24222"/>
      <c r="L17" s="24222"/>
      <c r="M17" s="24222"/>
      <c r="N17" s="24222"/>
      <c r="O17" s="24222"/>
      <c r="P17" s="24222"/>
      <c r="Q17" s="494">
        <f>SUMIF(T18:T19,"i",Q18:Q19)</f>
        <v>0</v>
      </c>
      <c r="R17" s="946"/>
      <c r="S17" s="826" t="s">
        <v>861</v>
      </c>
      <c r="T17" s="653" t="s">
        <v>862</v>
      </c>
      <c r="U17" s="24092">
        <v>1</v>
      </c>
      <c r="V17" s="24092" t="str">
        <f>INDEX(B_FHD_FLAG_INDEX_1,1,MATCH(A14,B_FHD_FLAG_DIFFERENTIATION,0))</f>
        <v>отсутствует</v>
      </c>
      <c r="W17" s="353"/>
      <c r="X17" s="353"/>
      <c r="Y17" s="353"/>
      <c r="Z17" s="353"/>
      <c r="AA17" s="447"/>
      <c r="AB17" s="353"/>
      <c r="AC17" s="24223"/>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747" customFormat="1" ht="11.25" hidden="1" customHeight="1">
      <c r="A18" s="570"/>
      <c r="B18" s="447"/>
      <c r="C18" s="447"/>
      <c r="D18" s="24218"/>
      <c r="E18" s="571"/>
      <c r="F18" s="571">
        <v>0</v>
      </c>
      <c r="G18" s="571"/>
      <c r="H18" s="571"/>
      <c r="I18" s="571"/>
      <c r="J18" s="571"/>
      <c r="K18" s="571"/>
      <c r="L18" s="571"/>
      <c r="M18" s="571"/>
      <c r="N18" s="571"/>
      <c r="O18" s="571"/>
      <c r="P18" s="571"/>
      <c r="Q18" s="571"/>
      <c r="R18" s="571"/>
      <c r="S18" s="572"/>
      <c r="T18" s="654"/>
      <c r="U18" s="24092"/>
      <c r="V18" s="24092"/>
      <c r="W18" s="447"/>
      <c r="X18" s="447"/>
      <c r="Y18" s="447"/>
      <c r="Z18" s="447"/>
      <c r="AA18" s="447"/>
      <c r="AB18" s="353"/>
      <c r="AC18" s="24223"/>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747" customFormat="1" ht="11.25" hidden="1" customHeight="1">
      <c r="A19" s="569"/>
      <c r="B19" s="353"/>
      <c r="C19" s="348"/>
      <c r="D19" s="24218"/>
      <c r="E19" s="585" t="s">
        <v>17</v>
      </c>
      <c r="F19" s="586" t="s">
        <v>17</v>
      </c>
      <c r="G19" s="586" t="s">
        <v>17</v>
      </c>
      <c r="H19" s="587" t="s">
        <v>17</v>
      </c>
      <c r="I19" s="587"/>
      <c r="J19" s="587"/>
      <c r="K19" s="587"/>
      <c r="L19" s="587"/>
      <c r="M19" s="587"/>
      <c r="N19" s="587"/>
      <c r="O19" s="587"/>
      <c r="P19" s="587"/>
      <c r="Q19" s="587"/>
      <c r="R19" s="588"/>
      <c r="S19" s="949"/>
      <c r="T19" s="654"/>
      <c r="U19" s="24092"/>
      <c r="V19" s="24092"/>
      <c r="W19" s="353"/>
      <c r="X19" s="353"/>
      <c r="Y19" s="353"/>
      <c r="Z19" s="353"/>
      <c r="AA19" s="447"/>
      <c r="AB19" s="353"/>
      <c r="AC19" s="24223"/>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747" customFormat="1" ht="22.5" hidden="1" customHeight="1">
      <c r="A20" s="569"/>
      <c r="B20" s="353"/>
      <c r="C20" s="348"/>
      <c r="D20" s="24218"/>
      <c r="E20" s="24222" t="s">
        <v>863</v>
      </c>
      <c r="F20" s="24222"/>
      <c r="G20" s="24222"/>
      <c r="H20" s="24222"/>
      <c r="I20" s="24222"/>
      <c r="J20" s="24222"/>
      <c r="K20" s="24222"/>
      <c r="L20" s="24222"/>
      <c r="M20" s="24222"/>
      <c r="N20" s="24222"/>
      <c r="O20" s="24222"/>
      <c r="P20" s="24222"/>
      <c r="Q20" s="494">
        <f>SUMIF(T21:T22,"i",Q21:Q22)</f>
        <v>0</v>
      </c>
      <c r="R20" s="946"/>
      <c r="S20" s="645" t="s">
        <v>864</v>
      </c>
      <c r="T20" s="653" t="s">
        <v>862</v>
      </c>
      <c r="U20" s="24092">
        <v>2</v>
      </c>
      <c r="V20" s="2409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747" customFormat="1" ht="11.25" hidden="1" customHeight="1">
      <c r="A21" s="644"/>
      <c r="B21" s="447"/>
      <c r="C21" s="447"/>
      <c r="D21" s="24218"/>
      <c r="E21" s="571"/>
      <c r="F21" s="571">
        <v>0</v>
      </c>
      <c r="G21" s="571"/>
      <c r="H21" s="571"/>
      <c r="I21" s="571"/>
      <c r="J21" s="571"/>
      <c r="K21" s="571"/>
      <c r="L21" s="571"/>
      <c r="M21" s="571"/>
      <c r="N21" s="571"/>
      <c r="O21" s="571"/>
      <c r="P21" s="571"/>
      <c r="Q21" s="571"/>
      <c r="R21" s="571"/>
      <c r="S21" s="572"/>
      <c r="T21" s="654"/>
      <c r="U21" s="24092"/>
      <c r="V21" s="2409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747" customFormat="1" ht="11.25" hidden="1" customHeight="1">
      <c r="A22" s="569"/>
      <c r="B22" s="353"/>
      <c r="C22" s="348"/>
      <c r="D22" s="24219"/>
      <c r="E22" s="585" t="s">
        <v>17</v>
      </c>
      <c r="F22" s="586" t="s">
        <v>17</v>
      </c>
      <c r="G22" s="586" t="s">
        <v>17</v>
      </c>
      <c r="H22" s="587" t="s">
        <v>17</v>
      </c>
      <c r="I22" s="587"/>
      <c r="J22" s="587"/>
      <c r="K22" s="587"/>
      <c r="L22" s="587"/>
      <c r="M22" s="587"/>
      <c r="N22" s="587"/>
      <c r="O22" s="587"/>
      <c r="P22" s="587"/>
      <c r="Q22" s="587"/>
      <c r="R22" s="588"/>
      <c r="S22" s="949"/>
      <c r="T22" s="654"/>
      <c r="U22" s="24092"/>
      <c r="V22" s="2409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9.899999999999999" customHeight="1">
      <c r="D23" s="976"/>
      <c r="E23" s="976"/>
      <c r="F23" s="976"/>
      <c r="G23" s="976"/>
      <c r="H23" s="976"/>
      <c r="I23" s="976"/>
      <c r="J23" s="976"/>
      <c r="K23" s="976"/>
      <c r="L23" s="976"/>
      <c r="M23" s="976"/>
      <c r="N23" s="976"/>
      <c r="O23" s="976"/>
      <c r="P23" s="976"/>
      <c r="Q23" s="976"/>
      <c r="R23" s="976"/>
      <c r="S23" s="976"/>
      <c r="T23" s="270"/>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4221"/>
      <c r="F27" s="24221"/>
      <c r="G27" s="24221"/>
      <c r="H27" s="24221"/>
      <c r="I27" s="24221"/>
      <c r="J27" s="24221"/>
      <c r="K27" s="24221"/>
      <c r="L27" s="24221"/>
      <c r="M27" s="24221"/>
      <c r="N27" s="24221"/>
      <c r="O27" s="24221"/>
      <c r="P27" s="24221"/>
      <c r="Q27" s="24221"/>
      <c r="R27" s="24221"/>
      <c r="CF27" s="441">
        <v>11</v>
      </c>
    </row>
    <row r="28" spans="1:84" ht="11.45" customHeight="1">
      <c r="F28" s="692"/>
      <c r="G28" s="692"/>
      <c r="CF28" s="441">
        <v>11</v>
      </c>
    </row>
    <row r="29" spans="1:84" ht="11.25" hidden="1" customHeight="1">
      <c r="A29" s="546" t="s">
        <v>73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4" width="9.7109375" style="1292" hidden="1" customWidth="1"/>
    <col min="15" max="15" width="102" style="1561" customWidth="1"/>
    <col min="16" max="16" width="9" style="1292" customWidth="1"/>
    <col min="17" max="17" width="5" style="1568" customWidth="1"/>
    <col min="18" max="18" width="3" style="1568" customWidth="1"/>
    <col min="19" max="22" width="3" style="1292" customWidth="1"/>
    <col min="23" max="23" width="10" style="1568" customWidth="1"/>
    <col min="24" max="24" width="34" style="1292" customWidth="1"/>
    <col min="25" max="25" width="9" style="1292" customWidth="1"/>
    <col min="26" max="26" width="8" style="672" customWidth="1"/>
    <col min="27" max="31" width="8" style="1292" customWidth="1"/>
    <col min="32" max="36" width="8" style="1558" customWidth="1"/>
    <col min="37" max="37" width="5.42578125" style="1561" hidden="1" customWidth="1"/>
  </cols>
  <sheetData>
    <row r="1" spans="1:37" s="1292" customFormat="1" ht="33.75" hidden="1" customHeight="1">
      <c r="A1" s="916"/>
      <c r="B1" s="916"/>
      <c r="C1" s="916"/>
      <c r="D1" s="916"/>
      <c r="E1" s="916"/>
      <c r="G1" s="1562"/>
      <c r="H1" s="808"/>
      <c r="L1" s="1292">
        <v>4</v>
      </c>
      <c r="M1" s="1292">
        <v>4</v>
      </c>
      <c r="Q1" s="1562"/>
      <c r="R1" s="1562"/>
      <c r="W1" s="1562"/>
      <c r="AK1" s="1292" t="s">
        <v>1</v>
      </c>
    </row>
    <row r="2" spans="1:37" s="1292" customFormat="1" ht="78.75" hidden="1" customHeight="1">
      <c r="A2" s="916"/>
      <c r="B2" s="1947" t="s">
        <v>865</v>
      </c>
      <c r="C2" s="1947" t="s">
        <v>866</v>
      </c>
      <c r="D2" s="1946" t="s">
        <v>867</v>
      </c>
      <c r="E2" s="1950" t="e">
        <f>RIGHT(I2,LEN(I2)-SEARCH("#",SUBSTITUTE(I2,".","#",LEN(I2)-LEN(SUBSTITUTE(I2,".","")))))</f>
        <v>#VALUE!</v>
      </c>
      <c r="F2" s="1952">
        <f>J2</f>
        <v>0</v>
      </c>
      <c r="G2" s="1562"/>
      <c r="H2" s="1953"/>
      <c r="I2" s="1943"/>
      <c r="J2" s="476"/>
      <c r="K2" s="1913" t="s">
        <v>806</v>
      </c>
      <c r="L2" s="687"/>
      <c r="M2" s="687"/>
      <c r="N2" s="479"/>
      <c r="O2" s="1451" t="s">
        <v>807</v>
      </c>
      <c r="P2" s="479"/>
      <c r="Q2" s="1562"/>
      <c r="R2" s="1562"/>
      <c r="W2" s="1562"/>
      <c r="Z2" s="480"/>
      <c r="AF2" s="1558"/>
      <c r="AG2" s="1558"/>
      <c r="AH2" s="1558"/>
      <c r="AI2" s="1558"/>
      <c r="AJ2" s="1558"/>
      <c r="AK2" s="1292">
        <v>0</v>
      </c>
    </row>
    <row r="3" spans="1:37" ht="11.25" hidden="1" customHeight="1">
      <c r="E3" s="1945" t="s">
        <v>868</v>
      </c>
      <c r="L3" s="1557">
        <f>0</f>
        <v>0</v>
      </c>
      <c r="M3" s="1557">
        <v>1</v>
      </c>
      <c r="AK3" s="1557">
        <v>0</v>
      </c>
    </row>
    <row r="4" spans="1:37" s="1558" customFormat="1" ht="11.25" hidden="1" customHeight="1">
      <c r="A4" s="916"/>
      <c r="B4" s="916"/>
      <c r="C4" s="916"/>
      <c r="E4" s="916"/>
      <c r="F4" s="1292"/>
      <c r="G4" s="1562"/>
      <c r="H4" s="556"/>
      <c r="N4" s="1292"/>
      <c r="O4" s="1558">
        <v>4</v>
      </c>
      <c r="P4" s="1292"/>
      <c r="Q4" s="1562"/>
      <c r="R4" s="1562"/>
      <c r="S4" s="1292"/>
      <c r="T4" s="1292"/>
      <c r="U4" s="1292"/>
      <c r="V4" s="1292"/>
      <c r="W4" s="1562"/>
      <c r="X4" s="1292"/>
      <c r="Y4" s="1292"/>
      <c r="Z4" s="480"/>
      <c r="AA4" s="1292"/>
      <c r="AB4" s="1292"/>
      <c r="AC4" s="1292"/>
      <c r="AD4" s="1292"/>
      <c r="AE4" s="1292"/>
      <c r="AK4" s="1558">
        <v>0</v>
      </c>
    </row>
    <row r="5" spans="1:37" ht="11.45" customHeight="1">
      <c r="AK5" s="1557">
        <v>11</v>
      </c>
    </row>
    <row r="6" spans="1:37" ht="57.75" customHeight="1">
      <c r="I6" s="24021" t="s">
        <v>869</v>
      </c>
      <c r="J6" s="24021"/>
      <c r="K6" s="24021"/>
      <c r="L6" s="24021"/>
      <c r="M6" s="24021"/>
      <c r="O6" s="492"/>
      <c r="AK6" s="1557">
        <v>55</v>
      </c>
    </row>
    <row r="7" spans="1:37" ht="25.15" customHeight="1">
      <c r="I7" s="24042" t="str">
        <f>IF(org=0,"Не определено",org)</f>
        <v>ООО "Смоленскрегионтеплоэнерго"</v>
      </c>
      <c r="J7" s="24042"/>
      <c r="K7" s="24042"/>
      <c r="L7" s="24042"/>
      <c r="M7" s="24042"/>
      <c r="AK7" s="1557">
        <v>24</v>
      </c>
    </row>
    <row r="8" spans="1:37" ht="11.45" customHeight="1">
      <c r="I8" s="1061"/>
      <c r="J8" s="1061"/>
      <c r="K8" s="1061"/>
      <c r="L8" s="1061"/>
      <c r="M8" s="1061"/>
      <c r="AK8" s="1557">
        <v>11</v>
      </c>
    </row>
    <row r="9" spans="1:37" s="1568" customFormat="1" ht="30" hidden="1" customHeight="1">
      <c r="A9" s="1093"/>
      <c r="B9" s="1093"/>
      <c r="C9" s="1093"/>
      <c r="E9" s="1093"/>
      <c r="L9" s="818"/>
      <c r="M9" s="818" t="s">
        <v>223</v>
      </c>
      <c r="AK9" s="1562">
        <v>1</v>
      </c>
    </row>
    <row r="10" spans="1:37" ht="11.45" customHeight="1">
      <c r="E10" s="1944" t="s">
        <v>870</v>
      </c>
      <c r="I10" s="647"/>
      <c r="J10" s="24213" t="s">
        <v>214</v>
      </c>
      <c r="K10" s="24214"/>
      <c r="L10" s="1923" t="str">
        <f>IF(L9="","",INDEX(DIFFERENTIATION_UNMERGE_VD,MATCH(L9,DIFFERENTIATION_ID_DIFF,0)))</f>
        <v/>
      </c>
      <c r="M10" s="1923">
        <f>IF(M9="","",INDEX(DIFFERENTIATION_UNMERGE_VD,MATCH(M9,DIFFERENTIATION_ID_DIFF,0)))</f>
        <v>0</v>
      </c>
      <c r="O10" s="23947" t="s">
        <v>530</v>
      </c>
      <c r="AK10" s="1557">
        <v>11</v>
      </c>
    </row>
    <row r="11" spans="1:37" ht="11.45" customHeight="1">
      <c r="E11" s="1944" t="s">
        <v>871</v>
      </c>
      <c r="I11" s="647"/>
      <c r="J11" s="24213" t="s">
        <v>814</v>
      </c>
      <c r="K11" s="24214"/>
      <c r="L11" s="1923" t="str">
        <f>IF(L9="","",INDEX(DIFFERENTIATION_UNMERGE_AREA,MATCH(L9,DIFFERENTIATION_ID_DIFF,0)))</f>
        <v/>
      </c>
      <c r="M11" s="1923" t="str">
        <f>IF(M9="","",INDEX(DIFFERENTIATION_UNMERGE_AREA,MATCH(M9,DIFFERENTIATION_ID_DIFF,0)))</f>
        <v/>
      </c>
      <c r="O11" s="23947"/>
      <c r="AK11" s="1557">
        <v>11</v>
      </c>
    </row>
    <row r="12" spans="1:37" ht="11.45" customHeight="1">
      <c r="E12" s="1944" t="s">
        <v>872</v>
      </c>
      <c r="I12" s="1588"/>
      <c r="J12" s="24213" t="s">
        <v>815</v>
      </c>
      <c r="K12" s="24214"/>
      <c r="L12" s="1923" t="str">
        <f>IF(L9="","",INDEX(DIFFERENTIATION_UNMERGE_SYSTEM,MATCH(L9,DIFFERENTIATION_ID_DIFF,0)))</f>
        <v/>
      </c>
      <c r="M12" s="1923" t="str">
        <f>IF(M9="","",INDEX(DIFFERENTIATION_UNMERGE_SYSTEM,MATCH(M9,DIFFERENTIATION_ID_DIFF,0)))</f>
        <v>без дифференциации</v>
      </c>
      <c r="O12" s="23947"/>
      <c r="AK12" s="1557">
        <v>11</v>
      </c>
    </row>
    <row r="13" spans="1:37" ht="11.45" customHeight="1">
      <c r="E13" s="1944" t="s">
        <v>873</v>
      </c>
      <c r="F13" s="1944" t="s">
        <v>874</v>
      </c>
      <c r="I13" s="24215" t="s">
        <v>529</v>
      </c>
      <c r="J13" s="24216"/>
      <c r="K13" s="24216"/>
      <c r="L13" s="1921"/>
      <c r="M13" s="1961"/>
      <c r="O13" s="23947"/>
      <c r="AK13" s="1557">
        <v>11</v>
      </c>
    </row>
    <row r="14" spans="1:37" ht="24" customHeight="1">
      <c r="I14" s="1914" t="s">
        <v>79</v>
      </c>
      <c r="J14" s="1914" t="s">
        <v>531</v>
      </c>
      <c r="K14" s="1914" t="s">
        <v>816</v>
      </c>
      <c r="L14" s="1954" t="s">
        <v>532</v>
      </c>
      <c r="M14" s="1955" t="s">
        <v>532</v>
      </c>
      <c r="O14" s="23947"/>
      <c r="AK14" s="1557">
        <v>23</v>
      </c>
    </row>
    <row r="15" spans="1:37" ht="24" customHeight="1">
      <c r="A15" s="1948"/>
      <c r="B15" s="1947" t="s">
        <v>875</v>
      </c>
      <c r="C15" s="1947" t="s">
        <v>876</v>
      </c>
      <c r="D15" s="1946" t="s">
        <v>877</v>
      </c>
      <c r="E15" s="1950" t="s">
        <v>878</v>
      </c>
      <c r="F15" s="1950" t="s">
        <v>878</v>
      </c>
      <c r="G15" s="1562" t="s">
        <v>838</v>
      </c>
      <c r="H15" s="1915"/>
      <c r="I15" s="1556">
        <v>1</v>
      </c>
      <c r="J15" s="1916" t="s">
        <v>879</v>
      </c>
      <c r="K15" s="1914" t="s">
        <v>535</v>
      </c>
      <c r="L15" s="598"/>
      <c r="M15" s="748"/>
      <c r="N15" s="479" t="s">
        <v>880</v>
      </c>
      <c r="O15" s="1451" t="s">
        <v>881</v>
      </c>
      <c r="P15" s="479" t="s">
        <v>880</v>
      </c>
      <c r="AK15" s="1557">
        <v>23</v>
      </c>
    </row>
    <row r="16" spans="1:37" ht="35.65" customHeight="1">
      <c r="A16" s="1948"/>
      <c r="B16" s="1947" t="s">
        <v>882</v>
      </c>
      <c r="C16" s="1947" t="s">
        <v>883</v>
      </c>
      <c r="D16" s="1946" t="s">
        <v>867</v>
      </c>
      <c r="E16" s="1950" t="s">
        <v>878</v>
      </c>
      <c r="F16" s="1950" t="s">
        <v>878</v>
      </c>
      <c r="H16" s="1915"/>
      <c r="I16" s="1555">
        <v>2</v>
      </c>
      <c r="J16" s="1957" t="s">
        <v>884</v>
      </c>
      <c r="K16" s="1956" t="s">
        <v>806</v>
      </c>
      <c r="L16" s="1962"/>
      <c r="M16" s="1602"/>
      <c r="N16" s="479" t="s">
        <v>880</v>
      </c>
      <c r="O16" s="1451" t="s">
        <v>885</v>
      </c>
      <c r="P16" s="479" t="s">
        <v>880</v>
      </c>
      <c r="AK16" s="1557">
        <v>34</v>
      </c>
    </row>
    <row r="17" spans="1:37" s="1568" customFormat="1" ht="17.25" hidden="1" customHeight="1">
      <c r="A17" s="1093"/>
      <c r="B17" s="1093"/>
      <c r="C17" s="1093"/>
      <c r="D17" s="1093"/>
      <c r="E17" s="1093"/>
      <c r="H17" s="1250"/>
      <c r="I17" s="942" t="s">
        <v>886</v>
      </c>
      <c r="J17" s="920"/>
      <c r="K17" s="942"/>
      <c r="L17" s="921"/>
      <c r="M17" s="921"/>
      <c r="O17" s="1311"/>
      <c r="AK17" s="1562">
        <v>1</v>
      </c>
    </row>
    <row r="18" spans="1:37" s="1292" customFormat="1" ht="24" customHeight="1">
      <c r="A18" s="916"/>
      <c r="B18" s="916"/>
      <c r="C18" s="916"/>
      <c r="D18" s="916"/>
      <c r="E18" s="916"/>
      <c r="G18" s="1562"/>
      <c r="H18" s="1559"/>
      <c r="I18" s="506"/>
      <c r="J18" s="507" t="s">
        <v>836</v>
      </c>
      <c r="K18" s="508"/>
      <c r="L18" s="1964"/>
      <c r="M18" s="509"/>
      <c r="N18" s="479"/>
      <c r="O18" s="1451" t="s">
        <v>837</v>
      </c>
      <c r="P18" s="479"/>
      <c r="Q18" s="1562"/>
      <c r="R18" s="1562"/>
      <c r="W18" s="1562"/>
      <c r="Z18" s="480"/>
      <c r="AF18" s="1558"/>
      <c r="AG18" s="1558"/>
      <c r="AH18" s="1558"/>
      <c r="AI18" s="1558"/>
      <c r="AJ18" s="1558"/>
      <c r="AK18" s="1292">
        <v>23</v>
      </c>
    </row>
    <row r="19" spans="1:37" ht="19.899999999999999" customHeight="1">
      <c r="A19" s="1948"/>
      <c r="B19" s="1947" t="s">
        <v>887</v>
      </c>
      <c r="C19" s="1947" t="s">
        <v>888</v>
      </c>
      <c r="D19" s="1946" t="s">
        <v>867</v>
      </c>
      <c r="E19" s="1950" t="s">
        <v>878</v>
      </c>
      <c r="F19" s="1950" t="s">
        <v>878</v>
      </c>
      <c r="H19" s="1915"/>
      <c r="I19" s="1590">
        <v>3</v>
      </c>
      <c r="J19" s="1916" t="s">
        <v>888</v>
      </c>
      <c r="K19" s="1912" t="s">
        <v>806</v>
      </c>
      <c r="L19" s="663"/>
      <c r="M19" s="493"/>
      <c r="N19" s="479"/>
      <c r="O19" s="1451" t="s">
        <v>889</v>
      </c>
      <c r="P19" s="479"/>
      <c r="AK19" s="1557">
        <v>19</v>
      </c>
    </row>
    <row r="20" spans="1:37" ht="77.650000000000006" customHeight="1">
      <c r="A20" s="1948"/>
      <c r="B20" s="1947" t="s">
        <v>890</v>
      </c>
      <c r="C20" s="1947" t="s">
        <v>891</v>
      </c>
      <c r="D20" s="1946" t="s">
        <v>867</v>
      </c>
      <c r="E20" s="1950" t="s">
        <v>878</v>
      </c>
      <c r="F20" s="1950" t="s">
        <v>878</v>
      </c>
      <c r="H20" s="1915"/>
      <c r="I20" s="1590">
        <v>4</v>
      </c>
      <c r="J20" s="1916" t="s">
        <v>892</v>
      </c>
      <c r="K20" s="1912" t="s">
        <v>833</v>
      </c>
      <c r="L20" s="663"/>
      <c r="M20" s="493"/>
      <c r="N20" s="479"/>
      <c r="O20" s="1451"/>
      <c r="P20" s="479"/>
      <c r="AK20" s="1557">
        <v>74</v>
      </c>
    </row>
    <row r="21" spans="1:37" ht="35.65" customHeight="1">
      <c r="A21" s="1948"/>
      <c r="B21" s="1947" t="s">
        <v>893</v>
      </c>
      <c r="C21" s="1947" t="s">
        <v>894</v>
      </c>
      <c r="D21" s="1946" t="s">
        <v>867</v>
      </c>
      <c r="E21" s="1950" t="s">
        <v>878</v>
      </c>
      <c r="F21" s="1950" t="s">
        <v>878</v>
      </c>
      <c r="H21" s="1915"/>
      <c r="I21" s="1590">
        <v>5</v>
      </c>
      <c r="J21" s="1916" t="s">
        <v>895</v>
      </c>
      <c r="K21" s="1912" t="s">
        <v>833</v>
      </c>
      <c r="L21" s="663"/>
      <c r="M21" s="493"/>
      <c r="N21" s="479"/>
      <c r="O21" s="1451" t="s">
        <v>889</v>
      </c>
      <c r="P21" s="479"/>
      <c r="AK21" s="1557">
        <v>34</v>
      </c>
    </row>
    <row r="22" spans="1:37" ht="48.2" customHeight="1">
      <c r="A22" s="1948"/>
      <c r="B22" s="1947" t="s">
        <v>896</v>
      </c>
      <c r="C22" s="1947" t="s">
        <v>897</v>
      </c>
      <c r="D22" s="1946" t="s">
        <v>867</v>
      </c>
      <c r="E22" s="1950" t="s">
        <v>878</v>
      </c>
      <c r="F22" s="1950" t="s">
        <v>878</v>
      </c>
      <c r="H22" s="1915"/>
      <c r="I22" s="1590">
        <v>6</v>
      </c>
      <c r="J22" s="1916" t="s">
        <v>898</v>
      </c>
      <c r="K22" s="1912" t="s">
        <v>833</v>
      </c>
      <c r="L22" s="663"/>
      <c r="M22" s="493"/>
      <c r="N22" s="479"/>
      <c r="O22" s="1451" t="s">
        <v>899</v>
      </c>
      <c r="P22" s="479"/>
      <c r="AK22" s="1557">
        <v>46</v>
      </c>
    </row>
    <row r="23" spans="1:37" ht="19.899999999999999" customHeight="1">
      <c r="A23" s="1948"/>
      <c r="B23" s="1947" t="s">
        <v>900</v>
      </c>
      <c r="C23" s="1947" t="s">
        <v>901</v>
      </c>
      <c r="D23" s="1946" t="s">
        <v>867</v>
      </c>
      <c r="E23" s="1950" t="s">
        <v>878</v>
      </c>
      <c r="F23" s="1950" t="s">
        <v>878</v>
      </c>
      <c r="H23" s="1915"/>
      <c r="I23" s="1590" t="s">
        <v>902</v>
      </c>
      <c r="J23" s="1450" t="s">
        <v>903</v>
      </c>
      <c r="K23" s="1912" t="s">
        <v>833</v>
      </c>
      <c r="L23" s="663"/>
      <c r="M23" s="493"/>
      <c r="N23" s="479"/>
      <c r="O23" s="1451" t="s">
        <v>889</v>
      </c>
      <c r="P23" s="479"/>
      <c r="AK23" s="1557">
        <v>19</v>
      </c>
    </row>
    <row r="24" spans="1:37" ht="19.899999999999999" customHeight="1">
      <c r="A24" s="1948"/>
      <c r="B24" s="1947" t="s">
        <v>904</v>
      </c>
      <c r="C24" s="1947" t="s">
        <v>905</v>
      </c>
      <c r="D24" s="1946" t="s">
        <v>867</v>
      </c>
      <c r="E24" s="1950" t="s">
        <v>878</v>
      </c>
      <c r="F24" s="1950" t="s">
        <v>878</v>
      </c>
      <c r="H24" s="1915"/>
      <c r="I24" s="1590" t="s">
        <v>906</v>
      </c>
      <c r="J24" s="1450" t="s">
        <v>907</v>
      </c>
      <c r="K24" s="1912" t="s">
        <v>833</v>
      </c>
      <c r="L24" s="663"/>
      <c r="M24" s="493"/>
      <c r="N24" s="479"/>
      <c r="O24" s="1451"/>
      <c r="P24" s="479"/>
      <c r="AK24" s="1557">
        <v>19</v>
      </c>
    </row>
    <row r="25" spans="1:37" ht="24" customHeight="1">
      <c r="A25" s="1948"/>
      <c r="B25" s="1947" t="s">
        <v>908</v>
      </c>
      <c r="C25" s="1947" t="s">
        <v>909</v>
      </c>
      <c r="D25" s="1946" t="s">
        <v>867</v>
      </c>
      <c r="E25" s="1950" t="s">
        <v>878</v>
      </c>
      <c r="F25" s="1950" t="s">
        <v>878</v>
      </c>
      <c r="H25" s="1915"/>
      <c r="I25" s="1590" t="s">
        <v>910</v>
      </c>
      <c r="J25" s="1450" t="s">
        <v>911</v>
      </c>
      <c r="K25" s="1912" t="s">
        <v>833</v>
      </c>
      <c r="L25" s="663"/>
      <c r="M25" s="493"/>
      <c r="N25" s="479"/>
      <c r="O25" s="1451"/>
      <c r="P25" s="479"/>
      <c r="AK25" s="1557">
        <v>23</v>
      </c>
    </row>
    <row r="26" spans="1:37" ht="24" customHeight="1">
      <c r="A26" s="1948"/>
      <c r="B26" s="1947" t="s">
        <v>912</v>
      </c>
      <c r="C26" s="1947" t="s">
        <v>913</v>
      </c>
      <c r="D26" s="1946" t="s">
        <v>867</v>
      </c>
      <c r="E26" s="1950" t="s">
        <v>878</v>
      </c>
      <c r="F26" s="1950" t="s">
        <v>878</v>
      </c>
      <c r="H26" s="1915"/>
      <c r="I26" s="1590">
        <v>7</v>
      </c>
      <c r="J26" s="1916" t="s">
        <v>913</v>
      </c>
      <c r="K26" s="1912" t="s">
        <v>914</v>
      </c>
      <c r="L26" s="663"/>
      <c r="M26" s="493"/>
      <c r="N26" s="479"/>
      <c r="O26" s="1451"/>
      <c r="P26" s="479"/>
      <c r="AK26" s="1557">
        <v>23</v>
      </c>
    </row>
    <row r="27" spans="1:37" ht="24" customHeight="1">
      <c r="A27" s="1948"/>
      <c r="B27" s="1947" t="s">
        <v>915</v>
      </c>
      <c r="C27" s="1947" t="s">
        <v>916</v>
      </c>
      <c r="D27" s="1946" t="s">
        <v>867</v>
      </c>
      <c r="E27" s="1950" t="s">
        <v>878</v>
      </c>
      <c r="F27" s="1950" t="s">
        <v>878</v>
      </c>
      <c r="H27" s="1915"/>
      <c r="I27" s="1590">
        <v>8</v>
      </c>
      <c r="J27" s="1916" t="s">
        <v>916</v>
      </c>
      <c r="K27" s="1912" t="s">
        <v>839</v>
      </c>
      <c r="L27" s="663"/>
      <c r="M27" s="493"/>
      <c r="N27" s="479"/>
      <c r="O27" s="1451"/>
      <c r="P27" s="479"/>
      <c r="AK27" s="1557">
        <v>23</v>
      </c>
    </row>
    <row r="28" spans="1:37" ht="35.65" customHeight="1">
      <c r="A28" s="1948"/>
      <c r="B28" s="1947" t="s">
        <v>917</v>
      </c>
      <c r="C28" s="1947" t="s">
        <v>918</v>
      </c>
      <c r="D28" s="1946" t="s">
        <v>867</v>
      </c>
      <c r="E28" s="1950" t="s">
        <v>878</v>
      </c>
      <c r="F28" s="1950" t="s">
        <v>878</v>
      </c>
      <c r="H28" s="1915"/>
      <c r="I28" s="1601">
        <v>9</v>
      </c>
      <c r="J28" s="1916" t="s">
        <v>919</v>
      </c>
      <c r="K28" s="1912" t="s">
        <v>810</v>
      </c>
      <c r="L28" s="663"/>
      <c r="M28" s="493"/>
      <c r="N28" s="479"/>
      <c r="O28" s="1451"/>
      <c r="P28" s="479"/>
      <c r="AK28" s="1557">
        <v>34</v>
      </c>
    </row>
    <row r="29" spans="1:37" ht="35.65" customHeight="1">
      <c r="A29" s="1948"/>
      <c r="B29" s="1947" t="s">
        <v>920</v>
      </c>
      <c r="C29" s="1947" t="s">
        <v>921</v>
      </c>
      <c r="D29" s="1946" t="s">
        <v>867</v>
      </c>
      <c r="E29" s="1950" t="s">
        <v>878</v>
      </c>
      <c r="F29" s="1950" t="s">
        <v>878</v>
      </c>
      <c r="H29" s="1915"/>
      <c r="I29" s="1601">
        <v>10</v>
      </c>
      <c r="J29" s="1916" t="s">
        <v>922</v>
      </c>
      <c r="K29" s="1912" t="s">
        <v>810</v>
      </c>
      <c r="L29" s="663"/>
      <c r="M29" s="493"/>
      <c r="N29" s="479"/>
      <c r="O29" s="1451"/>
      <c r="P29" s="479"/>
      <c r="AK29" s="1557">
        <v>34</v>
      </c>
    </row>
    <row r="30" spans="1:37" ht="24" customHeight="1">
      <c r="A30" s="1948"/>
      <c r="B30" s="1947" t="s">
        <v>923</v>
      </c>
      <c r="C30" s="1947" t="s">
        <v>924</v>
      </c>
      <c r="D30" s="1946" t="s">
        <v>867</v>
      </c>
      <c r="E30" s="1950" t="s">
        <v>878</v>
      </c>
      <c r="F30" s="1950" t="s">
        <v>878</v>
      </c>
      <c r="H30" s="1915"/>
      <c r="I30" s="1601">
        <v>11</v>
      </c>
      <c r="J30" s="1916" t="s">
        <v>924</v>
      </c>
      <c r="K30" s="1912" t="s">
        <v>840</v>
      </c>
      <c r="L30" s="1963"/>
      <c r="M30" s="1547"/>
      <c r="N30" s="479"/>
      <c r="O30" s="1451"/>
      <c r="P30" s="479"/>
      <c r="AK30" s="1557">
        <v>23</v>
      </c>
    </row>
    <row r="31" spans="1:37" ht="24" customHeight="1">
      <c r="A31" s="1948"/>
      <c r="B31" s="1947" t="s">
        <v>925</v>
      </c>
      <c r="C31" s="1947" t="s">
        <v>926</v>
      </c>
      <c r="D31" s="1946" t="s">
        <v>867</v>
      </c>
      <c r="E31" s="1950" t="s">
        <v>878</v>
      </c>
      <c r="F31" s="1950" t="s">
        <v>878</v>
      </c>
      <c r="H31" s="1915"/>
      <c r="I31" s="1601">
        <v>12</v>
      </c>
      <c r="J31" s="1916" t="s">
        <v>926</v>
      </c>
      <c r="K31" s="1912" t="s">
        <v>840</v>
      </c>
      <c r="L31" s="1963"/>
      <c r="M31" s="1547"/>
      <c r="N31" s="479"/>
      <c r="O31" s="1451"/>
      <c r="P31" s="479"/>
      <c r="AK31" s="1557">
        <v>23</v>
      </c>
    </row>
    <row r="32" spans="1:37" ht="48.2" customHeight="1">
      <c r="A32" s="1948"/>
      <c r="B32" s="1947" t="s">
        <v>927</v>
      </c>
      <c r="C32" s="1947" t="s">
        <v>928</v>
      </c>
      <c r="D32" s="1946" t="s">
        <v>867</v>
      </c>
      <c r="E32" s="1950" t="s">
        <v>878</v>
      </c>
      <c r="F32" s="1950" t="s">
        <v>878</v>
      </c>
      <c r="H32" s="1915"/>
      <c r="I32" s="1601">
        <v>13</v>
      </c>
      <c r="J32" s="1916" t="s">
        <v>929</v>
      </c>
      <c r="K32" s="1912" t="s">
        <v>850</v>
      </c>
      <c r="L32" s="663"/>
      <c r="M32" s="493"/>
      <c r="N32" s="479"/>
      <c r="O32" s="1451" t="s">
        <v>889</v>
      </c>
      <c r="P32" s="479"/>
      <c r="AK32" s="1557">
        <v>46</v>
      </c>
    </row>
    <row r="33" spans="1:37" s="1292" customFormat="1" ht="48.2" customHeight="1">
      <c r="A33" s="1948"/>
      <c r="B33" s="1947" t="s">
        <v>930</v>
      </c>
      <c r="C33" s="1947" t="s">
        <v>931</v>
      </c>
      <c r="D33" s="1946" t="s">
        <v>867</v>
      </c>
      <c r="E33" s="1950" t="s">
        <v>878</v>
      </c>
      <c r="F33" s="1950" t="s">
        <v>878</v>
      </c>
      <c r="G33" s="1562"/>
      <c r="H33" s="1915"/>
      <c r="I33" s="1601">
        <v>14</v>
      </c>
      <c r="J33" s="1928" t="s">
        <v>932</v>
      </c>
      <c r="K33" s="1917" t="s">
        <v>933</v>
      </c>
      <c r="L33" s="663"/>
      <c r="M33" s="493"/>
      <c r="N33" s="479"/>
      <c r="O33" s="1451" t="s">
        <v>889</v>
      </c>
      <c r="P33" s="479"/>
      <c r="Q33" s="1562"/>
      <c r="R33" s="1562"/>
      <c r="W33" s="1562"/>
      <c r="Z33" s="480"/>
      <c r="AF33" s="1558"/>
      <c r="AG33" s="1558"/>
      <c r="AH33" s="1558"/>
      <c r="AI33" s="1558"/>
      <c r="AJ33" s="1558"/>
      <c r="AK33" s="1292">
        <v>46</v>
      </c>
    </row>
    <row r="34" spans="1:37" ht="108" customHeight="1">
      <c r="A34" s="1948"/>
      <c r="B34" s="1947" t="s">
        <v>934</v>
      </c>
      <c r="C34" s="1947" t="s">
        <v>935</v>
      </c>
      <c r="D34" s="1946" t="s">
        <v>877</v>
      </c>
      <c r="E34" s="1950" t="s">
        <v>878</v>
      </c>
      <c r="F34" s="1950" t="s">
        <v>878</v>
      </c>
      <c r="G34" s="1562" t="s">
        <v>838</v>
      </c>
      <c r="H34" s="1915"/>
      <c r="I34" s="1926">
        <v>15</v>
      </c>
      <c r="J34" s="1927" t="s">
        <v>936</v>
      </c>
      <c r="K34" s="1912" t="s">
        <v>535</v>
      </c>
      <c r="L34" s="321"/>
      <c r="M34" s="1090"/>
      <c r="N34" s="479"/>
      <c r="O34" s="1451" t="s">
        <v>881</v>
      </c>
      <c r="P34" s="479"/>
      <c r="AK34" s="1557">
        <v>103</v>
      </c>
    </row>
    <row r="35" spans="1:37" s="1567" customFormat="1" ht="11.45" customHeight="1">
      <c r="A35" s="916"/>
      <c r="B35" s="916"/>
      <c r="C35" s="916"/>
      <c r="D35" s="916"/>
      <c r="E35" s="916"/>
      <c r="F35" s="1562"/>
      <c r="G35" s="1562"/>
      <c r="H35" s="287"/>
      <c r="N35" s="1292"/>
      <c r="P35" s="1292"/>
      <c r="Q35" s="1562"/>
      <c r="R35" s="1562"/>
      <c r="S35" s="1292"/>
      <c r="T35" s="1292"/>
      <c r="U35" s="1292"/>
      <c r="V35" s="1292"/>
      <c r="W35" s="1562"/>
      <c r="X35" s="1292"/>
      <c r="Y35" s="1292"/>
      <c r="Z35" s="480"/>
      <c r="AA35" s="1292"/>
      <c r="AB35" s="1292"/>
      <c r="AC35" s="1292"/>
      <c r="AD35" s="1292"/>
      <c r="AE35" s="1292"/>
      <c r="AF35" s="1558"/>
      <c r="AG35" s="558"/>
      <c r="AH35" s="558"/>
      <c r="AI35" s="558"/>
      <c r="AJ35" s="558"/>
      <c r="AK35" s="1567">
        <v>11</v>
      </c>
    </row>
    <row r="36" spans="1:37" s="1567" customFormat="1" ht="11.45" customHeight="1">
      <c r="A36" s="916"/>
      <c r="B36" s="916"/>
      <c r="C36" s="916"/>
      <c r="D36" s="916"/>
      <c r="E36" s="916"/>
      <c r="F36" s="1562"/>
      <c r="G36" s="1562"/>
      <c r="H36" s="287"/>
      <c r="N36" s="1292"/>
      <c r="P36" s="1292"/>
      <c r="Q36" s="1562"/>
      <c r="R36" s="1562"/>
      <c r="S36" s="1292"/>
      <c r="T36" s="1292"/>
      <c r="U36" s="1292"/>
      <c r="V36" s="1292"/>
      <c r="W36" s="1562"/>
      <c r="X36" s="1292"/>
      <c r="Y36" s="1292"/>
      <c r="Z36" s="480"/>
      <c r="AA36" s="1292"/>
      <c r="AB36" s="1292"/>
      <c r="AC36" s="1292"/>
      <c r="AD36" s="1292"/>
      <c r="AE36" s="1292"/>
      <c r="AF36" s="1558"/>
      <c r="AG36" s="558"/>
      <c r="AH36" s="558"/>
      <c r="AI36" s="558"/>
      <c r="AJ36" s="558"/>
      <c r="AK36" s="1567">
        <v>11</v>
      </c>
    </row>
    <row r="37" spans="1:37" s="1567" customFormat="1" ht="11.45" customHeight="1">
      <c r="A37" s="916"/>
      <c r="B37" s="916"/>
      <c r="C37" s="916"/>
      <c r="D37" s="916"/>
      <c r="E37" s="916"/>
      <c r="F37" s="1562"/>
      <c r="G37" s="1562"/>
      <c r="H37" s="287"/>
      <c r="L37" s="558"/>
      <c r="M37" s="558"/>
      <c r="N37" s="1292"/>
      <c r="P37" s="1292"/>
      <c r="Q37" s="1562"/>
      <c r="R37" s="1562"/>
      <c r="S37" s="1292"/>
      <c r="T37" s="1292"/>
      <c r="U37" s="1292"/>
      <c r="V37" s="1292"/>
      <c r="W37" s="1562"/>
      <c r="X37" s="1292"/>
      <c r="Y37" s="1292"/>
      <c r="Z37" s="480"/>
      <c r="AA37" s="1292"/>
      <c r="AB37" s="1292"/>
      <c r="AC37" s="1292"/>
      <c r="AD37" s="1292"/>
      <c r="AE37" s="1292"/>
      <c r="AF37" s="1558"/>
      <c r="AG37" s="558"/>
      <c r="AH37" s="558"/>
      <c r="AI37" s="558"/>
      <c r="AJ37" s="558"/>
      <c r="AK37" s="1567">
        <v>11</v>
      </c>
    </row>
    <row r="38" spans="1:37" s="1567" customFormat="1" ht="11.45" customHeight="1">
      <c r="A38" s="916"/>
      <c r="B38" s="916"/>
      <c r="C38" s="916"/>
      <c r="D38" s="916"/>
      <c r="E38" s="916"/>
      <c r="F38" s="1562"/>
      <c r="G38" s="1562"/>
      <c r="H38" s="287"/>
      <c r="N38" s="1292"/>
      <c r="P38" s="1292"/>
      <c r="Q38" s="1562"/>
      <c r="R38" s="1562"/>
      <c r="S38" s="1292"/>
      <c r="T38" s="1292"/>
      <c r="U38" s="1292"/>
      <c r="V38" s="1292"/>
      <c r="W38" s="1562"/>
      <c r="X38" s="1292"/>
      <c r="Y38" s="1292"/>
      <c r="Z38" s="480"/>
      <c r="AA38" s="1292"/>
      <c r="AB38" s="1292"/>
      <c r="AC38" s="1292"/>
      <c r="AD38" s="1292"/>
      <c r="AE38" s="1292"/>
      <c r="AF38" s="1558"/>
      <c r="AG38" s="558"/>
      <c r="AH38" s="558"/>
      <c r="AI38" s="558"/>
      <c r="AJ38" s="558"/>
      <c r="AK38" s="1567">
        <v>11</v>
      </c>
    </row>
    <row r="39" spans="1:37" s="1567" customFormat="1" ht="11.45" customHeight="1">
      <c r="A39" s="916"/>
      <c r="B39" s="916"/>
      <c r="C39" s="916"/>
      <c r="D39" s="916"/>
      <c r="E39" s="916"/>
      <c r="F39" s="1562"/>
      <c r="G39" s="1562"/>
      <c r="H39" s="287"/>
      <c r="N39" s="1292"/>
      <c r="P39" s="1292"/>
      <c r="Q39" s="1562"/>
      <c r="R39" s="1562"/>
      <c r="S39" s="1292"/>
      <c r="T39" s="1292"/>
      <c r="U39" s="1292"/>
      <c r="V39" s="1292"/>
      <c r="W39" s="1562"/>
      <c r="X39" s="1292"/>
      <c r="Y39" s="1292"/>
      <c r="Z39" s="480"/>
      <c r="AA39" s="1292"/>
      <c r="AB39" s="1292"/>
      <c r="AC39" s="1292"/>
      <c r="AD39" s="1292"/>
      <c r="AE39" s="1292"/>
      <c r="AF39" s="1558"/>
      <c r="AG39" s="558"/>
      <c r="AH39" s="558"/>
      <c r="AI39" s="558"/>
      <c r="AJ39" s="558"/>
      <c r="AK39" s="1567">
        <v>11</v>
      </c>
    </row>
    <row r="40" spans="1:37" s="1567" customFormat="1" ht="11.45" customHeight="1">
      <c r="A40" s="916"/>
      <c r="B40" s="916"/>
      <c r="C40" s="916"/>
      <c r="D40" s="916"/>
      <c r="E40" s="916"/>
      <c r="F40" s="1562"/>
      <c r="G40" s="1562"/>
      <c r="H40" s="287"/>
      <c r="N40" s="1292"/>
      <c r="P40" s="1292"/>
      <c r="Q40" s="1562"/>
      <c r="R40" s="1562"/>
      <c r="S40" s="1292"/>
      <c r="T40" s="1292"/>
      <c r="U40" s="1292"/>
      <c r="V40" s="1292"/>
      <c r="W40" s="1562"/>
      <c r="X40" s="1292"/>
      <c r="Y40" s="1292"/>
      <c r="Z40" s="480"/>
      <c r="AA40" s="1292"/>
      <c r="AB40" s="1292"/>
      <c r="AC40" s="1292"/>
      <c r="AD40" s="1292"/>
      <c r="AE40" s="1292"/>
      <c r="AF40" s="1558"/>
      <c r="AG40" s="558"/>
      <c r="AH40" s="558"/>
      <c r="AI40" s="558"/>
      <c r="AJ40" s="558"/>
      <c r="AK40" s="1567">
        <v>11</v>
      </c>
    </row>
    <row r="41" spans="1:37" s="1567" customFormat="1" ht="11.45" customHeight="1">
      <c r="A41" s="916"/>
      <c r="B41" s="916"/>
      <c r="C41" s="916"/>
      <c r="D41" s="916"/>
      <c r="E41" s="916"/>
      <c r="F41" s="1562"/>
      <c r="G41" s="1562"/>
      <c r="H41" s="287"/>
      <c r="N41" s="1292"/>
      <c r="P41" s="1292"/>
      <c r="Q41" s="1562"/>
      <c r="R41" s="1562"/>
      <c r="S41" s="1292"/>
      <c r="T41" s="1292"/>
      <c r="U41" s="1292"/>
      <c r="V41" s="1292"/>
      <c r="W41" s="1562"/>
      <c r="X41" s="1292"/>
      <c r="Y41" s="1292"/>
      <c r="Z41" s="480"/>
      <c r="AA41" s="1292"/>
      <c r="AB41" s="1292"/>
      <c r="AC41" s="1292"/>
      <c r="AD41" s="1292"/>
      <c r="AE41" s="1292"/>
      <c r="AF41" s="1558"/>
      <c r="AG41" s="558"/>
      <c r="AH41" s="558"/>
      <c r="AI41" s="558"/>
      <c r="AJ41" s="558"/>
      <c r="AK41" s="1567">
        <v>11</v>
      </c>
    </row>
    <row r="42" spans="1:37" s="1567" customFormat="1" ht="11.45" customHeight="1">
      <c r="A42" s="916"/>
      <c r="B42" s="916"/>
      <c r="C42" s="916"/>
      <c r="D42" s="916"/>
      <c r="E42" s="916"/>
      <c r="F42" s="1562"/>
      <c r="G42" s="1562"/>
      <c r="H42" s="287"/>
      <c r="N42" s="1292"/>
      <c r="P42" s="1292"/>
      <c r="Q42" s="1562"/>
      <c r="R42" s="1562"/>
      <c r="S42" s="1292"/>
      <c r="T42" s="1292"/>
      <c r="U42" s="1292"/>
      <c r="V42" s="1292"/>
      <c r="W42" s="1562"/>
      <c r="X42" s="1292"/>
      <c r="Y42" s="1292"/>
      <c r="Z42" s="480"/>
      <c r="AA42" s="1292"/>
      <c r="AB42" s="1292"/>
      <c r="AC42" s="1292"/>
      <c r="AD42" s="1292"/>
      <c r="AE42" s="1292"/>
      <c r="AF42" s="1558"/>
      <c r="AG42" s="558"/>
      <c r="AH42" s="558"/>
      <c r="AI42" s="558"/>
      <c r="AJ42" s="558"/>
      <c r="AK42" s="1567">
        <v>11</v>
      </c>
    </row>
    <row r="43" spans="1:37" s="1567" customFormat="1" ht="11.45" customHeight="1">
      <c r="A43" s="916"/>
      <c r="B43" s="916"/>
      <c r="C43" s="916"/>
      <c r="D43" s="916"/>
      <c r="E43" s="916"/>
      <c r="F43" s="1562"/>
      <c r="G43" s="1562"/>
      <c r="H43" s="287"/>
      <c r="N43" s="1292"/>
      <c r="P43" s="1292"/>
      <c r="Q43" s="1562"/>
      <c r="R43" s="1562"/>
      <c r="S43" s="1292"/>
      <c r="T43" s="1292"/>
      <c r="U43" s="1292"/>
      <c r="V43" s="1292"/>
      <c r="W43" s="1562"/>
      <c r="X43" s="1292"/>
      <c r="Y43" s="1292"/>
      <c r="Z43" s="480"/>
      <c r="AA43" s="1292"/>
      <c r="AB43" s="1292"/>
      <c r="AC43" s="1292"/>
      <c r="AD43" s="1292"/>
      <c r="AE43" s="1292"/>
      <c r="AF43" s="1558"/>
      <c r="AG43" s="558"/>
      <c r="AH43" s="558"/>
      <c r="AI43" s="558"/>
      <c r="AJ43" s="558"/>
      <c r="AK43" s="1567">
        <v>11</v>
      </c>
    </row>
    <row r="44" spans="1:37" s="1567" customFormat="1" ht="11.45" customHeight="1">
      <c r="A44" s="916"/>
      <c r="B44" s="916"/>
      <c r="C44" s="916"/>
      <c r="D44" s="916"/>
      <c r="E44" s="916"/>
      <c r="F44" s="1562"/>
      <c r="G44" s="1562"/>
      <c r="H44" s="287"/>
      <c r="N44" s="1292"/>
      <c r="P44" s="1292"/>
      <c r="Q44" s="1562"/>
      <c r="R44" s="1562"/>
      <c r="S44" s="1292"/>
      <c r="T44" s="1292"/>
      <c r="U44" s="1292"/>
      <c r="V44" s="1292"/>
      <c r="W44" s="1562"/>
      <c r="X44" s="1292"/>
      <c r="Y44" s="1292"/>
      <c r="Z44" s="480"/>
      <c r="AA44" s="1292"/>
      <c r="AB44" s="1292"/>
      <c r="AC44" s="1292"/>
      <c r="AD44" s="1292"/>
      <c r="AE44" s="1292"/>
      <c r="AF44" s="1558"/>
      <c r="AG44" s="558"/>
      <c r="AH44" s="558"/>
      <c r="AI44" s="558"/>
      <c r="AJ44" s="558"/>
      <c r="AK44" s="1567">
        <v>11</v>
      </c>
    </row>
    <row r="45" spans="1:37" s="1567" customFormat="1" ht="11.45" customHeight="1">
      <c r="A45" s="916"/>
      <c r="B45" s="916"/>
      <c r="C45" s="916"/>
      <c r="D45" s="916"/>
      <c r="E45" s="916"/>
      <c r="F45" s="1562"/>
      <c r="G45" s="1562"/>
      <c r="H45" s="287"/>
      <c r="N45" s="1292"/>
      <c r="P45" s="1292"/>
      <c r="Q45" s="1562"/>
      <c r="R45" s="1562"/>
      <c r="S45" s="1292"/>
      <c r="T45" s="1292"/>
      <c r="U45" s="1292"/>
      <c r="V45" s="1292"/>
      <c r="W45" s="1562"/>
      <c r="X45" s="1292"/>
      <c r="Y45" s="1292"/>
      <c r="Z45" s="480"/>
      <c r="AA45" s="1292"/>
      <c r="AB45" s="1292"/>
      <c r="AC45" s="1292"/>
      <c r="AD45" s="1292"/>
      <c r="AE45" s="1292"/>
      <c r="AF45" s="1558"/>
      <c r="AG45" s="558"/>
      <c r="AH45" s="558"/>
      <c r="AI45" s="558"/>
      <c r="AJ45" s="558"/>
      <c r="AK45" s="1567">
        <v>11</v>
      </c>
    </row>
    <row r="46" spans="1:37" s="1567" customFormat="1" ht="11.45" customHeight="1">
      <c r="A46" s="916"/>
      <c r="B46" s="916"/>
      <c r="C46" s="916"/>
      <c r="D46" s="916"/>
      <c r="E46" s="916"/>
      <c r="F46" s="1562"/>
      <c r="G46" s="1562"/>
      <c r="H46" s="287"/>
      <c r="N46" s="1292"/>
      <c r="P46" s="1292"/>
      <c r="Q46" s="1562"/>
      <c r="R46" s="1562"/>
      <c r="S46" s="1292"/>
      <c r="T46" s="1292"/>
      <c r="U46" s="1292"/>
      <c r="V46" s="1292"/>
      <c r="W46" s="1562"/>
      <c r="X46" s="1292"/>
      <c r="Y46" s="1292"/>
      <c r="Z46" s="480"/>
      <c r="AA46" s="1292"/>
      <c r="AB46" s="1292"/>
      <c r="AC46" s="1292"/>
      <c r="AD46" s="1292"/>
      <c r="AE46" s="1292"/>
      <c r="AF46" s="1558"/>
      <c r="AG46" s="558"/>
      <c r="AH46" s="558"/>
      <c r="AI46" s="558"/>
      <c r="AJ46" s="558"/>
      <c r="AK46" s="1567">
        <v>11</v>
      </c>
    </row>
    <row r="47" spans="1:37" s="1567" customFormat="1" ht="11.45" customHeight="1">
      <c r="A47" s="916"/>
      <c r="B47" s="916"/>
      <c r="C47" s="916"/>
      <c r="D47" s="916"/>
      <c r="E47" s="916"/>
      <c r="F47" s="1562"/>
      <c r="G47" s="1562"/>
      <c r="H47" s="287"/>
      <c r="N47" s="1292"/>
      <c r="P47" s="1292"/>
      <c r="Q47" s="1562"/>
      <c r="R47" s="1562"/>
      <c r="S47" s="1292"/>
      <c r="T47" s="1292"/>
      <c r="U47" s="1292"/>
      <c r="V47" s="1292"/>
      <c r="W47" s="1562"/>
      <c r="X47" s="1292"/>
      <c r="Y47" s="1292"/>
      <c r="Z47" s="480"/>
      <c r="AA47" s="1292"/>
      <c r="AB47" s="1292"/>
      <c r="AC47" s="1292"/>
      <c r="AD47" s="1292"/>
      <c r="AE47" s="1292"/>
      <c r="AF47" s="1558"/>
      <c r="AG47" s="558"/>
      <c r="AH47" s="558"/>
      <c r="AI47" s="558"/>
      <c r="AJ47" s="558"/>
      <c r="AK47" s="1567">
        <v>11</v>
      </c>
    </row>
    <row r="48" spans="1:37" s="1567" customFormat="1" ht="11.45" customHeight="1">
      <c r="A48" s="916"/>
      <c r="B48" s="916"/>
      <c r="C48" s="916"/>
      <c r="D48" s="916"/>
      <c r="E48" s="916"/>
      <c r="F48" s="1562"/>
      <c r="G48" s="1562"/>
      <c r="H48" s="287"/>
      <c r="N48" s="1292"/>
      <c r="P48" s="1292"/>
      <c r="Q48" s="1562"/>
      <c r="R48" s="1562"/>
      <c r="S48" s="1292"/>
      <c r="T48" s="1292"/>
      <c r="U48" s="1292"/>
      <c r="V48" s="1292"/>
      <c r="W48" s="1562"/>
      <c r="X48" s="1292"/>
      <c r="Y48" s="1292"/>
      <c r="Z48" s="480"/>
      <c r="AA48" s="1292"/>
      <c r="AB48" s="1292"/>
      <c r="AC48" s="1292"/>
      <c r="AD48" s="1292"/>
      <c r="AE48" s="1292"/>
      <c r="AF48" s="1558"/>
      <c r="AG48" s="558"/>
      <c r="AH48" s="558"/>
      <c r="AI48" s="558"/>
      <c r="AJ48" s="558"/>
      <c r="AK48" s="1567">
        <v>11</v>
      </c>
    </row>
    <row r="49" spans="1:37" s="1567" customFormat="1" ht="11.45" customHeight="1">
      <c r="A49" s="916"/>
      <c r="B49" s="916"/>
      <c r="C49" s="916"/>
      <c r="D49" s="916"/>
      <c r="E49" s="916"/>
      <c r="F49" s="1562"/>
      <c r="G49" s="1562"/>
      <c r="H49" s="287"/>
      <c r="N49" s="1292"/>
      <c r="P49" s="1292"/>
      <c r="Q49" s="1562"/>
      <c r="R49" s="1562"/>
      <c r="S49" s="1292"/>
      <c r="T49" s="1292"/>
      <c r="U49" s="1292"/>
      <c r="V49" s="1292"/>
      <c r="W49" s="1562"/>
      <c r="X49" s="1292"/>
      <c r="Y49" s="1292"/>
      <c r="Z49" s="480"/>
      <c r="AA49" s="1292"/>
      <c r="AB49" s="1292"/>
      <c r="AC49" s="1292"/>
      <c r="AD49" s="1292"/>
      <c r="AE49" s="1292"/>
      <c r="AF49" s="1558"/>
      <c r="AG49" s="558"/>
      <c r="AH49" s="558"/>
      <c r="AI49" s="558"/>
      <c r="AJ49" s="558"/>
      <c r="AK49" s="1567">
        <v>11</v>
      </c>
    </row>
    <row r="50" spans="1:37" s="1567" customFormat="1" ht="11.45" customHeight="1">
      <c r="A50" s="916"/>
      <c r="B50" s="916"/>
      <c r="C50" s="916"/>
      <c r="D50" s="916"/>
      <c r="E50" s="916"/>
      <c r="F50" s="1562"/>
      <c r="G50" s="1562"/>
      <c r="H50" s="287"/>
      <c r="N50" s="1292"/>
      <c r="P50" s="1292"/>
      <c r="Q50" s="1562"/>
      <c r="R50" s="1562"/>
      <c r="S50" s="1292"/>
      <c r="T50" s="1292"/>
      <c r="U50" s="1292"/>
      <c r="V50" s="1292"/>
      <c r="W50" s="1562"/>
      <c r="X50" s="1292"/>
      <c r="Y50" s="1292"/>
      <c r="Z50" s="480"/>
      <c r="AA50" s="1292"/>
      <c r="AB50" s="1292"/>
      <c r="AC50" s="1292"/>
      <c r="AD50" s="1292"/>
      <c r="AE50" s="1292"/>
      <c r="AF50" s="1558"/>
      <c r="AG50" s="558"/>
      <c r="AH50" s="558"/>
      <c r="AI50" s="558"/>
      <c r="AJ50" s="558"/>
      <c r="AK50" s="1567">
        <v>11</v>
      </c>
    </row>
    <row r="51" spans="1:37" s="1567" customFormat="1" ht="11.45" customHeight="1">
      <c r="A51" s="916"/>
      <c r="B51" s="916"/>
      <c r="C51" s="916"/>
      <c r="D51" s="916"/>
      <c r="E51" s="916"/>
      <c r="F51" s="1562"/>
      <c r="G51" s="1562"/>
      <c r="H51" s="287"/>
      <c r="N51" s="1292"/>
      <c r="P51" s="1292"/>
      <c r="Q51" s="1562"/>
      <c r="R51" s="1562"/>
      <c r="S51" s="1292"/>
      <c r="T51" s="1292"/>
      <c r="U51" s="1292"/>
      <c r="V51" s="1292"/>
      <c r="W51" s="1562"/>
      <c r="X51" s="1292"/>
      <c r="Y51" s="1292"/>
      <c r="Z51" s="480"/>
      <c r="AA51" s="1292"/>
      <c r="AB51" s="1292"/>
      <c r="AC51" s="1292"/>
      <c r="AD51" s="1292"/>
      <c r="AE51" s="1292"/>
      <c r="AF51" s="1558"/>
      <c r="AG51" s="558"/>
      <c r="AH51" s="558"/>
      <c r="AI51" s="558"/>
      <c r="AJ51" s="558"/>
      <c r="AK51" s="1567">
        <v>11</v>
      </c>
    </row>
    <row r="52" spans="1:37" s="1567" customFormat="1" ht="11.45" customHeight="1">
      <c r="A52" s="916"/>
      <c r="B52" s="916"/>
      <c r="C52" s="916"/>
      <c r="D52" s="916"/>
      <c r="E52" s="916"/>
      <c r="F52" s="1562"/>
      <c r="G52" s="1562"/>
      <c r="H52" s="287"/>
      <c r="N52" s="1292"/>
      <c r="P52" s="1292"/>
      <c r="Q52" s="1562"/>
      <c r="R52" s="1562"/>
      <c r="S52" s="1292"/>
      <c r="T52" s="1292"/>
      <c r="U52" s="1292"/>
      <c r="V52" s="1292"/>
      <c r="W52" s="1562"/>
      <c r="X52" s="1292"/>
      <c r="Y52" s="1292"/>
      <c r="Z52" s="480"/>
      <c r="AA52" s="1292"/>
      <c r="AB52" s="1292"/>
      <c r="AC52" s="1292"/>
      <c r="AD52" s="1292"/>
      <c r="AE52" s="1292"/>
      <c r="AF52" s="1558"/>
      <c r="AG52" s="558"/>
      <c r="AH52" s="558"/>
      <c r="AI52" s="558"/>
      <c r="AJ52" s="558"/>
      <c r="AK52" s="1567">
        <v>11</v>
      </c>
    </row>
    <row r="53" spans="1:37" s="1567" customFormat="1" ht="11.45" customHeight="1">
      <c r="A53" s="916"/>
      <c r="B53" s="916"/>
      <c r="C53" s="916"/>
      <c r="D53" s="916"/>
      <c r="E53" s="916"/>
      <c r="F53" s="1562"/>
      <c r="G53" s="1562"/>
      <c r="H53" s="287"/>
      <c r="N53" s="1292"/>
      <c r="P53" s="1292"/>
      <c r="Q53" s="1562"/>
      <c r="R53" s="1562"/>
      <c r="S53" s="1292"/>
      <c r="T53" s="1292"/>
      <c r="U53" s="1292"/>
      <c r="V53" s="1292"/>
      <c r="W53" s="1562"/>
      <c r="X53" s="1292"/>
      <c r="Y53" s="1292"/>
      <c r="Z53" s="480"/>
      <c r="AA53" s="1292"/>
      <c r="AB53" s="1292"/>
      <c r="AC53" s="1292"/>
      <c r="AD53" s="1292"/>
      <c r="AE53" s="1292"/>
      <c r="AF53" s="1558"/>
      <c r="AG53" s="558"/>
      <c r="AH53" s="558"/>
      <c r="AI53" s="558"/>
      <c r="AJ53" s="558"/>
      <c r="AK53" s="1567">
        <v>11</v>
      </c>
    </row>
    <row r="54" spans="1:37" s="1567" customFormat="1" ht="11.45" customHeight="1">
      <c r="A54" s="916"/>
      <c r="B54" s="916"/>
      <c r="C54" s="916"/>
      <c r="D54" s="916"/>
      <c r="E54" s="916"/>
      <c r="F54" s="1562"/>
      <c r="G54" s="1562"/>
      <c r="H54" s="287"/>
      <c r="N54" s="1292"/>
      <c r="P54" s="1292"/>
      <c r="Q54" s="1562"/>
      <c r="R54" s="1562"/>
      <c r="S54" s="1292"/>
      <c r="T54" s="1292"/>
      <c r="U54" s="1292"/>
      <c r="V54" s="1292"/>
      <c r="W54" s="1562"/>
      <c r="X54" s="1292"/>
      <c r="Y54" s="1292"/>
      <c r="Z54" s="480"/>
      <c r="AA54" s="1292"/>
      <c r="AB54" s="1292"/>
      <c r="AC54" s="1292"/>
      <c r="AD54" s="1292"/>
      <c r="AE54" s="1292"/>
      <c r="AF54" s="1558"/>
      <c r="AG54" s="558"/>
      <c r="AH54" s="558"/>
      <c r="AI54" s="558"/>
      <c r="AJ54" s="558"/>
      <c r="AK54" s="1567">
        <v>11</v>
      </c>
    </row>
    <row r="55" spans="1:37" s="1567" customFormat="1" ht="11.45" customHeight="1">
      <c r="A55" s="916"/>
      <c r="B55" s="916"/>
      <c r="C55" s="916"/>
      <c r="D55" s="916"/>
      <c r="E55" s="916"/>
      <c r="F55" s="1562"/>
      <c r="G55" s="1562"/>
      <c r="H55" s="287"/>
      <c r="N55" s="1292"/>
      <c r="P55" s="1292"/>
      <c r="Q55" s="1562"/>
      <c r="R55" s="1562"/>
      <c r="S55" s="1292"/>
      <c r="T55" s="1292"/>
      <c r="U55" s="1292"/>
      <c r="V55" s="1292"/>
      <c r="W55" s="1562"/>
      <c r="X55" s="1292"/>
      <c r="Y55" s="1292"/>
      <c r="Z55" s="480"/>
      <c r="AA55" s="1292"/>
      <c r="AB55" s="1292"/>
      <c r="AC55" s="1292"/>
      <c r="AD55" s="1292"/>
      <c r="AE55" s="1292"/>
      <c r="AF55" s="1558"/>
      <c r="AG55" s="558"/>
      <c r="AH55" s="558"/>
      <c r="AI55" s="558"/>
      <c r="AJ55" s="558"/>
      <c r="AK55" s="1567">
        <v>11</v>
      </c>
    </row>
    <row r="56" spans="1:37" s="1567" customFormat="1" ht="11.45" customHeight="1">
      <c r="A56" s="916"/>
      <c r="B56" s="916"/>
      <c r="C56" s="916"/>
      <c r="D56" s="916"/>
      <c r="E56" s="916"/>
      <c r="F56" s="1562"/>
      <c r="G56" s="1562"/>
      <c r="H56" s="287"/>
      <c r="N56" s="1292"/>
      <c r="P56" s="1292"/>
      <c r="Q56" s="1562"/>
      <c r="R56" s="1562"/>
      <c r="S56" s="1292"/>
      <c r="T56" s="1292"/>
      <c r="U56" s="1292"/>
      <c r="V56" s="1292"/>
      <c r="W56" s="1562"/>
      <c r="X56" s="1292"/>
      <c r="Y56" s="1292"/>
      <c r="Z56" s="480"/>
      <c r="AA56" s="1292"/>
      <c r="AB56" s="1292"/>
      <c r="AC56" s="1292"/>
      <c r="AD56" s="1292"/>
      <c r="AE56" s="1292"/>
      <c r="AF56" s="1558"/>
      <c r="AG56" s="558"/>
      <c r="AH56" s="558"/>
      <c r="AI56" s="558"/>
      <c r="AJ56" s="558"/>
      <c r="AK56" s="1567">
        <v>11</v>
      </c>
    </row>
    <row r="57" spans="1:37" s="1567" customFormat="1" ht="11.45" customHeight="1">
      <c r="A57" s="916"/>
      <c r="B57" s="916"/>
      <c r="C57" s="916"/>
      <c r="D57" s="916"/>
      <c r="E57" s="916"/>
      <c r="F57" s="1562"/>
      <c r="G57" s="1562"/>
      <c r="H57" s="287"/>
      <c r="N57" s="1292"/>
      <c r="P57" s="1292"/>
      <c r="Q57" s="1562"/>
      <c r="R57" s="1562"/>
      <c r="S57" s="1292"/>
      <c r="T57" s="1292"/>
      <c r="U57" s="1292"/>
      <c r="V57" s="1292"/>
      <c r="W57" s="1562"/>
      <c r="X57" s="1292"/>
      <c r="Y57" s="1292"/>
      <c r="Z57" s="480"/>
      <c r="AA57" s="1292"/>
      <c r="AB57" s="1292"/>
      <c r="AC57" s="1292"/>
      <c r="AD57" s="1292"/>
      <c r="AE57" s="1292"/>
      <c r="AF57" s="1558"/>
      <c r="AG57" s="558"/>
      <c r="AH57" s="558"/>
      <c r="AI57" s="558"/>
      <c r="AJ57" s="558"/>
      <c r="AK57" s="1567">
        <v>11</v>
      </c>
    </row>
    <row r="58" spans="1:37" s="1567" customFormat="1" ht="11.45" customHeight="1">
      <c r="A58" s="916"/>
      <c r="B58" s="916"/>
      <c r="C58" s="916"/>
      <c r="D58" s="916"/>
      <c r="E58" s="916"/>
      <c r="F58" s="1562"/>
      <c r="G58" s="1562"/>
      <c r="H58" s="287"/>
      <c r="N58" s="1292"/>
      <c r="P58" s="1292"/>
      <c r="Q58" s="1562"/>
      <c r="R58" s="1562"/>
      <c r="S58" s="1292"/>
      <c r="T58" s="1292"/>
      <c r="U58" s="1292"/>
      <c r="V58" s="1292"/>
      <c r="W58" s="1562"/>
      <c r="X58" s="1292"/>
      <c r="Y58" s="1292"/>
      <c r="Z58" s="480"/>
      <c r="AA58" s="1292"/>
      <c r="AB58" s="1292"/>
      <c r="AC58" s="1292"/>
      <c r="AD58" s="1292"/>
      <c r="AE58" s="1292"/>
      <c r="AF58" s="1558"/>
      <c r="AG58" s="558"/>
      <c r="AH58" s="558"/>
      <c r="AI58" s="558"/>
      <c r="AJ58" s="558"/>
      <c r="AK58" s="1567">
        <v>11</v>
      </c>
    </row>
    <row r="59" spans="1:37" s="1567" customFormat="1" ht="11.45" customHeight="1">
      <c r="A59" s="916"/>
      <c r="B59" s="916"/>
      <c r="C59" s="916"/>
      <c r="D59" s="916"/>
      <c r="E59" s="916"/>
      <c r="F59" s="1562"/>
      <c r="G59" s="1562"/>
      <c r="H59" s="287"/>
      <c r="N59" s="1292"/>
      <c r="P59" s="1292"/>
      <c r="Q59" s="1562"/>
      <c r="R59" s="1562"/>
      <c r="S59" s="1292"/>
      <c r="T59" s="1292"/>
      <c r="U59" s="1292"/>
      <c r="V59" s="1292"/>
      <c r="W59" s="1562"/>
      <c r="X59" s="1292"/>
      <c r="Y59" s="1292"/>
      <c r="Z59" s="480"/>
      <c r="AA59" s="1292"/>
      <c r="AB59" s="1292"/>
      <c r="AC59" s="1292"/>
      <c r="AD59" s="1292"/>
      <c r="AE59" s="1292"/>
      <c r="AF59" s="1558"/>
      <c r="AG59" s="558"/>
      <c r="AH59" s="558"/>
      <c r="AI59" s="558"/>
      <c r="AJ59" s="558"/>
      <c r="AK59" s="1567">
        <v>11</v>
      </c>
    </row>
    <row r="60" spans="1:37" s="1567" customFormat="1" ht="11.45" customHeight="1">
      <c r="A60" s="916"/>
      <c r="B60" s="916"/>
      <c r="C60" s="916"/>
      <c r="D60" s="916"/>
      <c r="E60" s="916"/>
      <c r="F60" s="1562"/>
      <c r="G60" s="1562"/>
      <c r="H60" s="287"/>
      <c r="N60" s="1292"/>
      <c r="P60" s="1292"/>
      <c r="Q60" s="1562"/>
      <c r="R60" s="1562"/>
      <c r="S60" s="1292"/>
      <c r="T60" s="1292"/>
      <c r="U60" s="1292"/>
      <c r="V60" s="1292"/>
      <c r="W60" s="1562"/>
      <c r="X60" s="1292"/>
      <c r="Y60" s="1292"/>
      <c r="Z60" s="480"/>
      <c r="AA60" s="1292"/>
      <c r="AB60" s="1292"/>
      <c r="AC60" s="1292"/>
      <c r="AD60" s="1292"/>
      <c r="AE60" s="1292"/>
      <c r="AF60" s="1558"/>
      <c r="AG60" s="558"/>
      <c r="AH60" s="558"/>
      <c r="AI60" s="558"/>
      <c r="AJ60" s="558"/>
      <c r="AK60" s="1567">
        <v>11</v>
      </c>
    </row>
    <row r="61" spans="1:37" s="1567" customFormat="1" ht="11.45" customHeight="1">
      <c r="A61" s="916"/>
      <c r="B61" s="916"/>
      <c r="C61" s="916"/>
      <c r="D61" s="916"/>
      <c r="E61" s="916"/>
      <c r="F61" s="1562"/>
      <c r="G61" s="1562"/>
      <c r="H61" s="287"/>
      <c r="N61" s="1292"/>
      <c r="P61" s="1292"/>
      <c r="Q61" s="1562"/>
      <c r="R61" s="1562"/>
      <c r="S61" s="1292"/>
      <c r="T61" s="1292"/>
      <c r="U61" s="1292"/>
      <c r="V61" s="1292"/>
      <c r="W61" s="1562"/>
      <c r="X61" s="1292"/>
      <c r="Y61" s="1292"/>
      <c r="Z61" s="480"/>
      <c r="AA61" s="1292"/>
      <c r="AB61" s="1292"/>
      <c r="AC61" s="1292"/>
      <c r="AD61" s="1292"/>
      <c r="AE61" s="1292"/>
      <c r="AF61" s="1558"/>
      <c r="AG61" s="558"/>
      <c r="AH61" s="558"/>
      <c r="AI61" s="558"/>
      <c r="AJ61" s="558"/>
      <c r="AK61" s="1567">
        <v>11</v>
      </c>
    </row>
    <row r="62" spans="1:37" s="1567" customFormat="1" ht="11.45" customHeight="1">
      <c r="A62" s="916"/>
      <c r="B62" s="916"/>
      <c r="C62" s="916"/>
      <c r="D62" s="916"/>
      <c r="E62" s="916"/>
      <c r="F62" s="1562"/>
      <c r="G62" s="1562"/>
      <c r="H62" s="287"/>
      <c r="N62" s="1292"/>
      <c r="P62" s="1292"/>
      <c r="Q62" s="1562"/>
      <c r="R62" s="1562"/>
      <c r="S62" s="1292"/>
      <c r="T62" s="1292"/>
      <c r="U62" s="1292"/>
      <c r="V62" s="1292"/>
      <c r="W62" s="1562"/>
      <c r="X62" s="1292"/>
      <c r="Y62" s="1292"/>
      <c r="Z62" s="480"/>
      <c r="AA62" s="1292"/>
      <c r="AB62" s="1292"/>
      <c r="AC62" s="1292"/>
      <c r="AD62" s="1292"/>
      <c r="AE62" s="1292"/>
      <c r="AF62" s="1558"/>
      <c r="AG62" s="558"/>
      <c r="AH62" s="558"/>
      <c r="AI62" s="558"/>
      <c r="AJ62" s="558"/>
      <c r="AK62" s="1567">
        <v>11</v>
      </c>
    </row>
    <row r="63" spans="1:37" s="1567" customFormat="1" ht="11.45" customHeight="1">
      <c r="A63" s="916"/>
      <c r="B63" s="916"/>
      <c r="C63" s="916"/>
      <c r="D63" s="916"/>
      <c r="E63" s="916"/>
      <c r="F63" s="1562"/>
      <c r="G63" s="1562"/>
      <c r="H63" s="287"/>
      <c r="N63" s="1292"/>
      <c r="P63" s="1292"/>
      <c r="Q63" s="1562"/>
      <c r="R63" s="1562"/>
      <c r="S63" s="1292"/>
      <c r="T63" s="1292"/>
      <c r="U63" s="1292"/>
      <c r="V63" s="1292"/>
      <c r="W63" s="1562"/>
      <c r="X63" s="1292"/>
      <c r="Y63" s="1292"/>
      <c r="Z63" s="480"/>
      <c r="AA63" s="1292"/>
      <c r="AB63" s="1292"/>
      <c r="AC63" s="1292"/>
      <c r="AD63" s="1292"/>
      <c r="AE63" s="1292"/>
      <c r="AF63" s="1558"/>
      <c r="AG63" s="558"/>
      <c r="AH63" s="558"/>
      <c r="AI63" s="558"/>
      <c r="AJ63" s="558"/>
      <c r="AK63" s="1567">
        <v>11</v>
      </c>
    </row>
    <row r="64" spans="1:37" s="1567" customFormat="1" ht="11.45" customHeight="1">
      <c r="A64" s="916"/>
      <c r="B64" s="916"/>
      <c r="C64" s="916"/>
      <c r="D64" s="916"/>
      <c r="E64" s="916"/>
      <c r="F64" s="1562"/>
      <c r="G64" s="1562"/>
      <c r="H64" s="287"/>
      <c r="N64" s="1292"/>
      <c r="P64" s="1292"/>
      <c r="Q64" s="1562"/>
      <c r="R64" s="1562"/>
      <c r="S64" s="1292"/>
      <c r="T64" s="1292"/>
      <c r="U64" s="1292"/>
      <c r="V64" s="1292"/>
      <c r="W64" s="1562"/>
      <c r="X64" s="1292"/>
      <c r="Y64" s="1292"/>
      <c r="Z64" s="480"/>
      <c r="AA64" s="1292"/>
      <c r="AB64" s="1292"/>
      <c r="AC64" s="1292"/>
      <c r="AD64" s="1292"/>
      <c r="AE64" s="1292"/>
      <c r="AF64" s="1558"/>
      <c r="AG64" s="558"/>
      <c r="AH64" s="558"/>
      <c r="AI64" s="558"/>
      <c r="AJ64" s="558"/>
      <c r="AK64" s="1567">
        <v>11</v>
      </c>
    </row>
    <row r="65" spans="1:37" s="1567" customFormat="1" ht="11.45" customHeight="1">
      <c r="A65" s="916"/>
      <c r="B65" s="916"/>
      <c r="C65" s="916"/>
      <c r="D65" s="916"/>
      <c r="E65" s="916"/>
      <c r="F65" s="1562"/>
      <c r="G65" s="1562"/>
      <c r="H65" s="287"/>
      <c r="N65" s="1292"/>
      <c r="P65" s="1292"/>
      <c r="Q65" s="1562"/>
      <c r="R65" s="1562"/>
      <c r="S65" s="1292"/>
      <c r="T65" s="1292"/>
      <c r="U65" s="1292"/>
      <c r="V65" s="1292"/>
      <c r="W65" s="1562"/>
      <c r="X65" s="1292"/>
      <c r="Y65" s="1292"/>
      <c r="Z65" s="480"/>
      <c r="AA65" s="1292"/>
      <c r="AB65" s="1292"/>
      <c r="AC65" s="1292"/>
      <c r="AD65" s="1292"/>
      <c r="AE65" s="1292"/>
      <c r="AF65" s="1558"/>
      <c r="AG65" s="558"/>
      <c r="AH65" s="558"/>
      <c r="AI65" s="558"/>
      <c r="AJ65" s="558"/>
      <c r="AK65" s="1567">
        <v>11</v>
      </c>
    </row>
    <row r="66" spans="1:37" s="1567" customFormat="1" ht="11.45" customHeight="1">
      <c r="A66" s="916"/>
      <c r="B66" s="916"/>
      <c r="C66" s="916"/>
      <c r="D66" s="916"/>
      <c r="E66" s="916"/>
      <c r="F66" s="1562"/>
      <c r="G66" s="1562"/>
      <c r="H66" s="287"/>
      <c r="N66" s="1292"/>
      <c r="P66" s="1292"/>
      <c r="Q66" s="1562"/>
      <c r="R66" s="1562"/>
      <c r="S66" s="1292"/>
      <c r="T66" s="1292"/>
      <c r="U66" s="1292"/>
      <c r="V66" s="1292"/>
      <c r="W66" s="1562"/>
      <c r="X66" s="1292"/>
      <c r="Y66" s="1292"/>
      <c r="Z66" s="480"/>
      <c r="AA66" s="1292"/>
      <c r="AB66" s="1292"/>
      <c r="AC66" s="1292"/>
      <c r="AD66" s="1292"/>
      <c r="AE66" s="1292"/>
      <c r="AF66" s="1558"/>
      <c r="AG66" s="558"/>
      <c r="AH66" s="558"/>
      <c r="AI66" s="558"/>
      <c r="AJ66" s="558"/>
      <c r="AK66" s="1567">
        <v>11</v>
      </c>
    </row>
    <row r="67" spans="1:37" s="1567" customFormat="1" ht="11.45" customHeight="1">
      <c r="A67" s="916"/>
      <c r="B67" s="916"/>
      <c r="C67" s="916"/>
      <c r="D67" s="916"/>
      <c r="E67" s="916"/>
      <c r="F67" s="1562"/>
      <c r="G67" s="1562"/>
      <c r="H67" s="287"/>
      <c r="N67" s="1292"/>
      <c r="P67" s="1292"/>
      <c r="Q67" s="1562"/>
      <c r="R67" s="1562"/>
      <c r="S67" s="1292"/>
      <c r="T67" s="1292"/>
      <c r="U67" s="1292"/>
      <c r="V67" s="1292"/>
      <c r="W67" s="1562"/>
      <c r="X67" s="1292"/>
      <c r="Y67" s="1292"/>
      <c r="Z67" s="480"/>
      <c r="AA67" s="1292"/>
      <c r="AB67" s="1292"/>
      <c r="AC67" s="1292"/>
      <c r="AD67" s="1292"/>
      <c r="AE67" s="1292"/>
      <c r="AF67" s="1558"/>
      <c r="AG67" s="558"/>
      <c r="AH67" s="558"/>
      <c r="AI67" s="558"/>
      <c r="AJ67" s="558"/>
      <c r="AK67" s="1567">
        <v>11</v>
      </c>
    </row>
    <row r="68" spans="1:37" s="1567" customFormat="1" ht="11.45" customHeight="1">
      <c r="A68" s="916"/>
      <c r="B68" s="916"/>
      <c r="C68" s="916"/>
      <c r="D68" s="916"/>
      <c r="E68" s="916"/>
      <c r="F68" s="1562"/>
      <c r="G68" s="1562"/>
      <c r="H68" s="287"/>
      <c r="N68" s="1292"/>
      <c r="P68" s="1292"/>
      <c r="Q68" s="1562"/>
      <c r="R68" s="1562"/>
      <c r="S68" s="1292"/>
      <c r="T68" s="1292"/>
      <c r="U68" s="1292"/>
      <c r="V68" s="1292"/>
      <c r="W68" s="1562"/>
      <c r="X68" s="1292"/>
      <c r="Y68" s="1292"/>
      <c r="Z68" s="480"/>
      <c r="AA68" s="1292"/>
      <c r="AB68" s="1292"/>
      <c r="AC68" s="1292"/>
      <c r="AD68" s="1292"/>
      <c r="AE68" s="1292"/>
      <c r="AF68" s="1558"/>
      <c r="AG68" s="558"/>
      <c r="AH68" s="558"/>
      <c r="AI68" s="558"/>
      <c r="AJ68" s="558"/>
      <c r="AK68" s="1567">
        <v>11</v>
      </c>
    </row>
    <row r="69" spans="1:37" s="1567" customFormat="1" ht="11.45" customHeight="1">
      <c r="A69" s="916"/>
      <c r="B69" s="916"/>
      <c r="C69" s="916"/>
      <c r="D69" s="916"/>
      <c r="E69" s="916"/>
      <c r="F69" s="1562"/>
      <c r="G69" s="1562"/>
      <c r="H69" s="287"/>
      <c r="N69" s="1292"/>
      <c r="P69" s="1292"/>
      <c r="Q69" s="1562"/>
      <c r="R69" s="1562"/>
      <c r="S69" s="1292"/>
      <c r="T69" s="1292"/>
      <c r="U69" s="1292"/>
      <c r="V69" s="1292"/>
      <c r="W69" s="1562"/>
      <c r="X69" s="1292"/>
      <c r="Y69" s="1292"/>
      <c r="Z69" s="480"/>
      <c r="AA69" s="1292"/>
      <c r="AB69" s="1292"/>
      <c r="AC69" s="1292"/>
      <c r="AD69" s="1292"/>
      <c r="AE69" s="1292"/>
      <c r="AF69" s="1558"/>
      <c r="AG69" s="558"/>
      <c r="AH69" s="558"/>
      <c r="AI69" s="558"/>
      <c r="AJ69" s="558"/>
      <c r="AK69" s="1567">
        <v>11</v>
      </c>
    </row>
    <row r="70" spans="1:37" s="1567" customFormat="1" ht="11.45" customHeight="1">
      <c r="A70" s="916"/>
      <c r="B70" s="916"/>
      <c r="C70" s="916"/>
      <c r="D70" s="916"/>
      <c r="E70" s="916"/>
      <c r="F70" s="1562"/>
      <c r="G70" s="1562"/>
      <c r="H70" s="287"/>
      <c r="N70" s="1292"/>
      <c r="P70" s="1292"/>
      <c r="Q70" s="1562"/>
      <c r="R70" s="1562"/>
      <c r="S70" s="1292"/>
      <c r="T70" s="1292"/>
      <c r="U70" s="1292"/>
      <c r="V70" s="1292"/>
      <c r="W70" s="1562"/>
      <c r="X70" s="1292"/>
      <c r="Y70" s="1292"/>
      <c r="Z70" s="480"/>
      <c r="AA70" s="1292"/>
      <c r="AB70" s="1292"/>
      <c r="AC70" s="1292"/>
      <c r="AD70" s="1292"/>
      <c r="AE70" s="1292"/>
      <c r="AF70" s="1558"/>
      <c r="AG70" s="558"/>
      <c r="AH70" s="558"/>
      <c r="AI70" s="558"/>
      <c r="AJ70" s="558"/>
      <c r="AK70" s="1567">
        <v>11</v>
      </c>
    </row>
    <row r="71" spans="1:37" s="1567" customFormat="1" ht="11.45" customHeight="1">
      <c r="A71" s="916"/>
      <c r="B71" s="916"/>
      <c r="C71" s="916"/>
      <c r="D71" s="916"/>
      <c r="E71" s="916"/>
      <c r="F71" s="1562"/>
      <c r="G71" s="1562"/>
      <c r="H71" s="287"/>
      <c r="N71" s="1292"/>
      <c r="P71" s="1292"/>
      <c r="Q71" s="1562"/>
      <c r="R71" s="1562"/>
      <c r="S71" s="1292"/>
      <c r="T71" s="1292"/>
      <c r="U71" s="1292"/>
      <c r="V71" s="1292"/>
      <c r="W71" s="1562"/>
      <c r="X71" s="1292"/>
      <c r="Y71" s="1292"/>
      <c r="Z71" s="480"/>
      <c r="AA71" s="1292"/>
      <c r="AB71" s="1292"/>
      <c r="AC71" s="1292"/>
      <c r="AD71" s="1292"/>
      <c r="AE71" s="1292"/>
      <c r="AF71" s="1558"/>
      <c r="AG71" s="558"/>
      <c r="AH71" s="558"/>
      <c r="AI71" s="558"/>
      <c r="AJ71" s="558"/>
      <c r="AK71" s="1567">
        <v>11</v>
      </c>
    </row>
    <row r="72" spans="1:37" s="1567" customFormat="1" ht="11.45" customHeight="1">
      <c r="A72" s="916"/>
      <c r="B72" s="916"/>
      <c r="C72" s="916"/>
      <c r="D72" s="916"/>
      <c r="E72" s="916"/>
      <c r="F72" s="1562"/>
      <c r="G72" s="1562"/>
      <c r="H72" s="287"/>
      <c r="N72" s="1292"/>
      <c r="P72" s="1292"/>
      <c r="Q72" s="1562"/>
      <c r="R72" s="1562"/>
      <c r="S72" s="1292"/>
      <c r="T72" s="1292"/>
      <c r="U72" s="1292"/>
      <c r="V72" s="1292"/>
      <c r="W72" s="1562"/>
      <c r="X72" s="1292"/>
      <c r="Y72" s="1292"/>
      <c r="Z72" s="480"/>
      <c r="AA72" s="1292"/>
      <c r="AB72" s="1292"/>
      <c r="AC72" s="1292"/>
      <c r="AD72" s="1292"/>
      <c r="AE72" s="1292"/>
      <c r="AF72" s="1558"/>
      <c r="AG72" s="558"/>
      <c r="AH72" s="558"/>
      <c r="AI72" s="558"/>
      <c r="AJ72" s="558"/>
      <c r="AK72" s="1567">
        <v>11</v>
      </c>
    </row>
    <row r="73" spans="1:37" s="1567" customFormat="1" ht="11.45" customHeight="1">
      <c r="A73" s="916"/>
      <c r="B73" s="916"/>
      <c r="C73" s="916"/>
      <c r="D73" s="916"/>
      <c r="E73" s="916"/>
      <c r="F73" s="1562"/>
      <c r="G73" s="1562"/>
      <c r="H73" s="287"/>
      <c r="N73" s="1292"/>
      <c r="P73" s="1292"/>
      <c r="Q73" s="1562"/>
      <c r="R73" s="1562"/>
      <c r="S73" s="1292"/>
      <c r="T73" s="1292"/>
      <c r="U73" s="1292"/>
      <c r="V73" s="1292"/>
      <c r="W73" s="1562"/>
      <c r="X73" s="1292"/>
      <c r="Y73" s="1292"/>
      <c r="Z73" s="480"/>
      <c r="AA73" s="1292"/>
      <c r="AB73" s="1292"/>
      <c r="AC73" s="1292"/>
      <c r="AD73" s="1292"/>
      <c r="AE73" s="1292"/>
      <c r="AF73" s="1558"/>
      <c r="AG73" s="558"/>
      <c r="AH73" s="558"/>
      <c r="AI73" s="558"/>
      <c r="AJ73" s="558"/>
      <c r="AK73" s="1567">
        <v>11</v>
      </c>
    </row>
    <row r="74" spans="1:37" s="1567" customFormat="1" ht="11.45" customHeight="1">
      <c r="A74" s="916"/>
      <c r="B74" s="916"/>
      <c r="C74" s="916"/>
      <c r="D74" s="916"/>
      <c r="E74" s="916"/>
      <c r="F74" s="1562"/>
      <c r="G74" s="1562"/>
      <c r="H74" s="287"/>
      <c r="N74" s="1292"/>
      <c r="P74" s="1292"/>
      <c r="Q74" s="1562"/>
      <c r="R74" s="1562"/>
      <c r="S74" s="1292"/>
      <c r="T74" s="1292"/>
      <c r="U74" s="1292"/>
      <c r="V74" s="1292"/>
      <c r="W74" s="1562"/>
      <c r="X74" s="1292"/>
      <c r="Y74" s="1292"/>
      <c r="Z74" s="480"/>
      <c r="AA74" s="1292"/>
      <c r="AB74" s="1292"/>
      <c r="AC74" s="1292"/>
      <c r="AD74" s="1292"/>
      <c r="AE74" s="1292"/>
      <c r="AF74" s="1558"/>
      <c r="AG74" s="558"/>
      <c r="AH74" s="558"/>
      <c r="AI74" s="558"/>
      <c r="AJ74" s="558"/>
      <c r="AK74" s="1567">
        <v>11</v>
      </c>
    </row>
    <row r="75" spans="1:37" s="1567" customFormat="1" ht="11.45" customHeight="1">
      <c r="A75" s="916"/>
      <c r="B75" s="916"/>
      <c r="C75" s="916"/>
      <c r="D75" s="916"/>
      <c r="E75" s="916"/>
      <c r="F75" s="1562"/>
      <c r="G75" s="1562"/>
      <c r="H75" s="287"/>
      <c r="N75" s="1292"/>
      <c r="P75" s="1292"/>
      <c r="Q75" s="1562"/>
      <c r="R75" s="1562"/>
      <c r="S75" s="1292"/>
      <c r="T75" s="1292"/>
      <c r="U75" s="1292"/>
      <c r="V75" s="1292"/>
      <c r="W75" s="1562"/>
      <c r="X75" s="1292"/>
      <c r="Y75" s="1292"/>
      <c r="Z75" s="480"/>
      <c r="AA75" s="1292"/>
      <c r="AB75" s="1292"/>
      <c r="AC75" s="1292"/>
      <c r="AD75" s="1292"/>
      <c r="AE75" s="1292"/>
      <c r="AF75" s="1558"/>
      <c r="AG75" s="558"/>
      <c r="AH75" s="558"/>
      <c r="AI75" s="558"/>
      <c r="AJ75" s="558"/>
      <c r="AK75" s="1567">
        <v>11</v>
      </c>
    </row>
    <row r="76" spans="1:37" s="1567" customFormat="1" ht="11.45" customHeight="1">
      <c r="A76" s="916"/>
      <c r="B76" s="916"/>
      <c r="C76" s="916"/>
      <c r="D76" s="916"/>
      <c r="E76" s="916"/>
      <c r="F76" s="1562"/>
      <c r="G76" s="1562"/>
      <c r="H76" s="287"/>
      <c r="N76" s="1292"/>
      <c r="P76" s="1292"/>
      <c r="Q76" s="1562"/>
      <c r="R76" s="1562"/>
      <c r="S76" s="1292"/>
      <c r="T76" s="1292"/>
      <c r="U76" s="1292"/>
      <c r="V76" s="1292"/>
      <c r="W76" s="1562"/>
      <c r="X76" s="1292"/>
      <c r="Y76" s="1292"/>
      <c r="Z76" s="480"/>
      <c r="AA76" s="1292"/>
      <c r="AB76" s="1292"/>
      <c r="AC76" s="1292"/>
      <c r="AD76" s="1292"/>
      <c r="AE76" s="1292"/>
      <c r="AF76" s="1558"/>
      <c r="AG76" s="558"/>
      <c r="AH76" s="558"/>
      <c r="AI76" s="558"/>
      <c r="AJ76" s="558"/>
      <c r="AK76" s="1567">
        <v>11</v>
      </c>
    </row>
    <row r="77" spans="1:37" s="1567" customFormat="1" ht="11.45" customHeight="1">
      <c r="A77" s="916"/>
      <c r="B77" s="916"/>
      <c r="C77" s="916"/>
      <c r="D77" s="916"/>
      <c r="E77" s="916"/>
      <c r="F77" s="1562"/>
      <c r="G77" s="1562"/>
      <c r="H77" s="287"/>
      <c r="N77" s="1292"/>
      <c r="P77" s="1292"/>
      <c r="Q77" s="1562"/>
      <c r="R77" s="1562"/>
      <c r="S77" s="1292"/>
      <c r="T77" s="1292"/>
      <c r="U77" s="1292"/>
      <c r="V77" s="1292"/>
      <c r="W77" s="1562"/>
      <c r="X77" s="1292"/>
      <c r="Y77" s="1292"/>
      <c r="Z77" s="480"/>
      <c r="AA77" s="1292"/>
      <c r="AB77" s="1292"/>
      <c r="AC77" s="1292"/>
      <c r="AD77" s="1292"/>
      <c r="AE77" s="1292"/>
      <c r="AF77" s="1558"/>
      <c r="AG77" s="558"/>
      <c r="AH77" s="558"/>
      <c r="AI77" s="558"/>
      <c r="AJ77" s="558"/>
      <c r="AK77" s="1567">
        <v>11</v>
      </c>
    </row>
    <row r="78" spans="1:37" s="1567" customFormat="1" ht="11.45" customHeight="1">
      <c r="A78" s="916"/>
      <c r="B78" s="916"/>
      <c r="C78" s="916"/>
      <c r="D78" s="916"/>
      <c r="E78" s="916"/>
      <c r="F78" s="1562"/>
      <c r="G78" s="1562"/>
      <c r="H78" s="287"/>
      <c r="N78" s="1292"/>
      <c r="P78" s="1292"/>
      <c r="Q78" s="1562"/>
      <c r="R78" s="1562"/>
      <c r="S78" s="1292"/>
      <c r="T78" s="1292"/>
      <c r="U78" s="1292"/>
      <c r="V78" s="1292"/>
      <c r="W78" s="1562"/>
      <c r="X78" s="1292"/>
      <c r="Y78" s="1292"/>
      <c r="Z78" s="480"/>
      <c r="AA78" s="1292"/>
      <c r="AB78" s="1292"/>
      <c r="AC78" s="1292"/>
      <c r="AD78" s="1292"/>
      <c r="AE78" s="1292"/>
      <c r="AF78" s="1558"/>
      <c r="AG78" s="558"/>
      <c r="AH78" s="558"/>
      <c r="AI78" s="558"/>
      <c r="AJ78" s="558"/>
      <c r="AK78" s="1567">
        <v>11</v>
      </c>
    </row>
    <row r="79" spans="1:37" s="1567" customFormat="1" ht="11.45" customHeight="1">
      <c r="A79" s="916"/>
      <c r="B79" s="916"/>
      <c r="C79" s="916"/>
      <c r="D79" s="916"/>
      <c r="E79" s="916"/>
      <c r="F79" s="1562"/>
      <c r="G79" s="1562"/>
      <c r="H79" s="287"/>
      <c r="N79" s="1292"/>
      <c r="P79" s="1292"/>
      <c r="Q79" s="1562"/>
      <c r="R79" s="1562"/>
      <c r="S79" s="1292"/>
      <c r="T79" s="1292"/>
      <c r="U79" s="1292"/>
      <c r="V79" s="1292"/>
      <c r="W79" s="1562"/>
      <c r="X79" s="1292"/>
      <c r="Y79" s="1292"/>
      <c r="Z79" s="480"/>
      <c r="AA79" s="1292"/>
      <c r="AB79" s="1292"/>
      <c r="AC79" s="1292"/>
      <c r="AD79" s="1292"/>
      <c r="AE79" s="1292"/>
      <c r="AF79" s="1558"/>
      <c r="AG79" s="558"/>
      <c r="AH79" s="558"/>
      <c r="AI79" s="558"/>
      <c r="AJ79" s="558"/>
      <c r="AK79" s="1567">
        <v>11</v>
      </c>
    </row>
    <row r="80" spans="1:37" s="1567" customFormat="1" ht="11.45" customHeight="1">
      <c r="A80" s="916"/>
      <c r="B80" s="916"/>
      <c r="C80" s="916"/>
      <c r="D80" s="916"/>
      <c r="E80" s="916"/>
      <c r="F80" s="1562"/>
      <c r="G80" s="1562"/>
      <c r="H80" s="287"/>
      <c r="N80" s="1292"/>
      <c r="P80" s="1292"/>
      <c r="Q80" s="1562"/>
      <c r="R80" s="1562"/>
      <c r="S80" s="1292"/>
      <c r="T80" s="1292"/>
      <c r="U80" s="1292"/>
      <c r="V80" s="1292"/>
      <c r="W80" s="1562"/>
      <c r="X80" s="1292"/>
      <c r="Y80" s="1292"/>
      <c r="Z80" s="480"/>
      <c r="AA80" s="1292"/>
      <c r="AB80" s="1292"/>
      <c r="AC80" s="1292"/>
      <c r="AD80" s="1292"/>
      <c r="AE80" s="1292"/>
      <c r="AF80" s="1558"/>
      <c r="AG80" s="558"/>
      <c r="AH80" s="558"/>
      <c r="AI80" s="558"/>
      <c r="AJ80" s="558"/>
      <c r="AK80" s="1567">
        <v>11</v>
      </c>
    </row>
    <row r="81" spans="1:37" s="1567" customFormat="1" ht="11.45" customHeight="1">
      <c r="A81" s="916"/>
      <c r="B81" s="916"/>
      <c r="C81" s="916"/>
      <c r="D81" s="916"/>
      <c r="E81" s="916"/>
      <c r="F81" s="1562"/>
      <c r="G81" s="1562"/>
      <c r="H81" s="287"/>
      <c r="N81" s="1292"/>
      <c r="P81" s="1292"/>
      <c r="Q81" s="1562"/>
      <c r="R81" s="1562"/>
      <c r="S81" s="1292"/>
      <c r="T81" s="1292"/>
      <c r="U81" s="1292"/>
      <c r="V81" s="1292"/>
      <c r="W81" s="1562"/>
      <c r="X81" s="1292"/>
      <c r="Y81" s="1292"/>
      <c r="Z81" s="480"/>
      <c r="AA81" s="1292"/>
      <c r="AB81" s="1292"/>
      <c r="AC81" s="1292"/>
      <c r="AD81" s="1292"/>
      <c r="AE81" s="1292"/>
      <c r="AF81" s="1558"/>
      <c r="AG81" s="558"/>
      <c r="AH81" s="558"/>
      <c r="AI81" s="558"/>
      <c r="AJ81" s="558"/>
      <c r="AK81" s="1567">
        <v>11</v>
      </c>
    </row>
    <row r="82" spans="1:37" s="1567" customFormat="1" ht="11.45" customHeight="1">
      <c r="A82" s="916"/>
      <c r="B82" s="916"/>
      <c r="C82" s="916"/>
      <c r="D82" s="916"/>
      <c r="E82" s="916"/>
      <c r="F82" s="1562"/>
      <c r="G82" s="1562"/>
      <c r="H82" s="287"/>
      <c r="N82" s="1292"/>
      <c r="P82" s="1292"/>
      <c r="Q82" s="1562"/>
      <c r="R82" s="1562"/>
      <c r="S82" s="1292"/>
      <c r="T82" s="1292"/>
      <c r="U82" s="1292"/>
      <c r="V82" s="1292"/>
      <c r="W82" s="1562"/>
      <c r="X82" s="1292"/>
      <c r="Y82" s="1292"/>
      <c r="Z82" s="480"/>
      <c r="AA82" s="1292"/>
      <c r="AB82" s="1292"/>
      <c r="AC82" s="1292"/>
      <c r="AD82" s="1292"/>
      <c r="AE82" s="1292"/>
      <c r="AF82" s="1558"/>
      <c r="AG82" s="558"/>
      <c r="AH82" s="558"/>
      <c r="AI82" s="558"/>
      <c r="AJ82" s="558"/>
      <c r="AK82" s="1567">
        <v>11</v>
      </c>
    </row>
    <row r="83" spans="1:37" s="1567" customFormat="1" ht="11.45" customHeight="1">
      <c r="A83" s="916"/>
      <c r="B83" s="916"/>
      <c r="C83" s="916"/>
      <c r="D83" s="916"/>
      <c r="E83" s="916"/>
      <c r="F83" s="1562"/>
      <c r="G83" s="1562"/>
      <c r="H83" s="287"/>
      <c r="N83" s="1292"/>
      <c r="P83" s="1292"/>
      <c r="Q83" s="1562"/>
      <c r="R83" s="1562"/>
      <c r="S83" s="1292"/>
      <c r="T83" s="1292"/>
      <c r="U83" s="1292"/>
      <c r="V83" s="1292"/>
      <c r="W83" s="1562"/>
      <c r="X83" s="1292"/>
      <c r="Y83" s="1292"/>
      <c r="Z83" s="480"/>
      <c r="AA83" s="1292"/>
      <c r="AB83" s="1292"/>
      <c r="AC83" s="1292"/>
      <c r="AD83" s="1292"/>
      <c r="AE83" s="1292"/>
      <c r="AF83" s="1558"/>
      <c r="AG83" s="558"/>
      <c r="AH83" s="558"/>
      <c r="AI83" s="558"/>
      <c r="AJ83" s="558"/>
      <c r="AK83" s="1567">
        <v>11</v>
      </c>
    </row>
    <row r="84" spans="1:37" s="1567" customFormat="1" ht="11.45" customHeight="1">
      <c r="A84" s="916"/>
      <c r="B84" s="916"/>
      <c r="C84" s="916"/>
      <c r="D84" s="916"/>
      <c r="E84" s="916"/>
      <c r="F84" s="1562"/>
      <c r="G84" s="1562"/>
      <c r="H84" s="287"/>
      <c r="N84" s="1292"/>
      <c r="P84" s="1292"/>
      <c r="Q84" s="1562"/>
      <c r="R84" s="1562"/>
      <c r="S84" s="1292"/>
      <c r="T84" s="1292"/>
      <c r="U84" s="1292"/>
      <c r="V84" s="1292"/>
      <c r="W84" s="1562"/>
      <c r="X84" s="1292"/>
      <c r="Y84" s="1292"/>
      <c r="Z84" s="480"/>
      <c r="AA84" s="1292"/>
      <c r="AB84" s="1292"/>
      <c r="AC84" s="1292"/>
      <c r="AD84" s="1292"/>
      <c r="AE84" s="1292"/>
      <c r="AF84" s="1558"/>
      <c r="AG84" s="558"/>
      <c r="AH84" s="558"/>
      <c r="AI84" s="558"/>
      <c r="AJ84" s="558"/>
      <c r="AK84" s="1567">
        <v>11</v>
      </c>
    </row>
    <row r="85" spans="1:37" s="1567" customFormat="1" ht="11.45" customHeight="1">
      <c r="A85" s="916"/>
      <c r="B85" s="916"/>
      <c r="C85" s="916"/>
      <c r="D85" s="916"/>
      <c r="E85" s="916"/>
      <c r="F85" s="1562"/>
      <c r="G85" s="1562"/>
      <c r="H85" s="287"/>
      <c r="N85" s="1292"/>
      <c r="P85" s="1292"/>
      <c r="Q85" s="1562"/>
      <c r="R85" s="1562"/>
      <c r="S85" s="1292"/>
      <c r="T85" s="1292"/>
      <c r="U85" s="1292"/>
      <c r="V85" s="1292"/>
      <c r="W85" s="1562"/>
      <c r="X85" s="1292"/>
      <c r="Y85" s="1292"/>
      <c r="Z85" s="480"/>
      <c r="AA85" s="1292"/>
      <c r="AB85" s="1292"/>
      <c r="AC85" s="1292"/>
      <c r="AD85" s="1292"/>
      <c r="AE85" s="1292"/>
      <c r="AF85" s="1558"/>
      <c r="AG85" s="558"/>
      <c r="AH85" s="558"/>
      <c r="AI85" s="558"/>
      <c r="AJ85" s="558"/>
      <c r="AK85" s="1567">
        <v>11</v>
      </c>
    </row>
    <row r="86" spans="1:37" s="1567" customFormat="1" ht="11.45" customHeight="1">
      <c r="A86" s="916"/>
      <c r="B86" s="916"/>
      <c r="C86" s="916"/>
      <c r="D86" s="916"/>
      <c r="E86" s="916"/>
      <c r="F86" s="1562"/>
      <c r="G86" s="1562"/>
      <c r="H86" s="287"/>
      <c r="N86" s="1292"/>
      <c r="P86" s="1292"/>
      <c r="Q86" s="1562"/>
      <c r="R86" s="1562"/>
      <c r="S86" s="1292"/>
      <c r="T86" s="1292"/>
      <c r="U86" s="1292"/>
      <c r="V86" s="1292"/>
      <c r="W86" s="1562"/>
      <c r="X86" s="1292"/>
      <c r="Y86" s="1292"/>
      <c r="Z86" s="480"/>
      <c r="AA86" s="1292"/>
      <c r="AB86" s="1292"/>
      <c r="AC86" s="1292"/>
      <c r="AD86" s="1292"/>
      <c r="AE86" s="1292"/>
      <c r="AF86" s="1558"/>
      <c r="AG86" s="558"/>
      <c r="AH86" s="558"/>
      <c r="AI86" s="558"/>
      <c r="AJ86" s="558"/>
      <c r="AK86" s="1567">
        <v>11</v>
      </c>
    </row>
    <row r="87" spans="1:37" s="1567" customFormat="1" ht="11.45" customHeight="1">
      <c r="A87" s="916"/>
      <c r="B87" s="916"/>
      <c r="C87" s="916"/>
      <c r="D87" s="916"/>
      <c r="E87" s="916"/>
      <c r="F87" s="1562"/>
      <c r="G87" s="1562"/>
      <c r="H87" s="287"/>
      <c r="N87" s="1292"/>
      <c r="P87" s="1292"/>
      <c r="Q87" s="1562"/>
      <c r="R87" s="1562"/>
      <c r="S87" s="1292"/>
      <c r="T87" s="1292"/>
      <c r="U87" s="1292"/>
      <c r="V87" s="1292"/>
      <c r="W87" s="1562"/>
      <c r="X87" s="1292"/>
      <c r="Y87" s="1292"/>
      <c r="Z87" s="480"/>
      <c r="AA87" s="1292"/>
      <c r="AB87" s="1292"/>
      <c r="AC87" s="1292"/>
      <c r="AD87" s="1292"/>
      <c r="AE87" s="1292"/>
      <c r="AF87" s="1558"/>
      <c r="AG87" s="558"/>
      <c r="AH87" s="558"/>
      <c r="AI87" s="558"/>
      <c r="AJ87" s="558"/>
      <c r="AK87" s="1567">
        <v>11</v>
      </c>
    </row>
    <row r="88" spans="1:37" s="1567" customFormat="1" ht="11.45" customHeight="1">
      <c r="A88" s="916"/>
      <c r="B88" s="916"/>
      <c r="C88" s="916"/>
      <c r="D88" s="916"/>
      <c r="E88" s="916"/>
      <c r="F88" s="1562"/>
      <c r="G88" s="1562"/>
      <c r="H88" s="287"/>
      <c r="N88" s="1292"/>
      <c r="P88" s="1292"/>
      <c r="Q88" s="1562"/>
      <c r="R88" s="1562"/>
      <c r="S88" s="1292"/>
      <c r="T88" s="1292"/>
      <c r="U88" s="1292"/>
      <c r="V88" s="1292"/>
      <c r="W88" s="1562"/>
      <c r="X88" s="1292"/>
      <c r="Y88" s="1292"/>
      <c r="Z88" s="480"/>
      <c r="AA88" s="1292"/>
      <c r="AB88" s="1292"/>
      <c r="AC88" s="1292"/>
      <c r="AD88" s="1292"/>
      <c r="AE88" s="1292"/>
      <c r="AF88" s="1558"/>
      <c r="AG88" s="558"/>
      <c r="AH88" s="558"/>
      <c r="AI88" s="558"/>
      <c r="AJ88" s="558"/>
      <c r="AK88" s="1567">
        <v>11</v>
      </c>
    </row>
    <row r="89" spans="1:37" s="1567" customFormat="1" ht="11.45" customHeight="1">
      <c r="A89" s="916"/>
      <c r="B89" s="916"/>
      <c r="C89" s="916"/>
      <c r="D89" s="916"/>
      <c r="E89" s="916"/>
      <c r="F89" s="1562"/>
      <c r="G89" s="1562"/>
      <c r="H89" s="287"/>
      <c r="N89" s="1292"/>
      <c r="P89" s="1292"/>
      <c r="Q89" s="1562"/>
      <c r="R89" s="1562"/>
      <c r="S89" s="1292"/>
      <c r="T89" s="1292"/>
      <c r="U89" s="1292"/>
      <c r="V89" s="1292"/>
      <c r="W89" s="1562"/>
      <c r="X89" s="1292"/>
      <c r="Y89" s="1292"/>
      <c r="Z89" s="480"/>
      <c r="AA89" s="1292"/>
      <c r="AB89" s="1292"/>
      <c r="AC89" s="1292"/>
      <c r="AD89" s="1292"/>
      <c r="AE89" s="1292"/>
      <c r="AF89" s="1558"/>
      <c r="AG89" s="558"/>
      <c r="AH89" s="558"/>
      <c r="AI89" s="558"/>
      <c r="AJ89" s="558"/>
      <c r="AK89" s="1567">
        <v>11</v>
      </c>
    </row>
    <row r="90" spans="1:37" s="1567" customFormat="1" ht="11.45" customHeight="1">
      <c r="A90" s="916"/>
      <c r="B90" s="916"/>
      <c r="C90" s="916"/>
      <c r="D90" s="916"/>
      <c r="E90" s="916"/>
      <c r="F90" s="1562"/>
      <c r="G90" s="1562"/>
      <c r="H90" s="287"/>
      <c r="N90" s="1292"/>
      <c r="P90" s="1292"/>
      <c r="Q90" s="1562"/>
      <c r="R90" s="1562"/>
      <c r="S90" s="1292"/>
      <c r="T90" s="1292"/>
      <c r="U90" s="1292"/>
      <c r="V90" s="1292"/>
      <c r="W90" s="1562"/>
      <c r="X90" s="1292"/>
      <c r="Y90" s="1292"/>
      <c r="Z90" s="480"/>
      <c r="AA90" s="1292"/>
      <c r="AB90" s="1292"/>
      <c r="AC90" s="1292"/>
      <c r="AD90" s="1292"/>
      <c r="AE90" s="1292"/>
      <c r="AF90" s="1558"/>
      <c r="AG90" s="558"/>
      <c r="AH90" s="558"/>
      <c r="AI90" s="558"/>
      <c r="AJ90" s="558"/>
      <c r="AK90" s="1567">
        <v>11</v>
      </c>
    </row>
    <row r="91" spans="1:37" s="1567" customFormat="1" ht="11.45" customHeight="1">
      <c r="A91" s="916"/>
      <c r="B91" s="916"/>
      <c r="C91" s="916"/>
      <c r="D91" s="916"/>
      <c r="E91" s="916"/>
      <c r="F91" s="1562"/>
      <c r="G91" s="1562"/>
      <c r="H91" s="287"/>
      <c r="N91" s="1292"/>
      <c r="P91" s="1292"/>
      <c r="Q91" s="1562"/>
      <c r="R91" s="1562"/>
      <c r="S91" s="1292"/>
      <c r="T91" s="1292"/>
      <c r="U91" s="1292"/>
      <c r="V91" s="1292"/>
      <c r="W91" s="1562"/>
      <c r="X91" s="1292"/>
      <c r="Y91" s="1292"/>
      <c r="Z91" s="480"/>
      <c r="AA91" s="1292"/>
      <c r="AB91" s="1292"/>
      <c r="AC91" s="1292"/>
      <c r="AD91" s="1292"/>
      <c r="AE91" s="1292"/>
      <c r="AF91" s="1558"/>
      <c r="AG91" s="558"/>
      <c r="AH91" s="558"/>
      <c r="AI91" s="558"/>
      <c r="AJ91" s="558"/>
      <c r="AK91" s="1567">
        <v>11</v>
      </c>
    </row>
    <row r="92" spans="1:37" s="1567" customFormat="1" ht="11.45" customHeight="1">
      <c r="A92" s="916"/>
      <c r="B92" s="916"/>
      <c r="C92" s="916"/>
      <c r="D92" s="916"/>
      <c r="E92" s="916"/>
      <c r="F92" s="1562"/>
      <c r="G92" s="1562"/>
      <c r="H92" s="287"/>
      <c r="N92" s="1292"/>
      <c r="P92" s="1292"/>
      <c r="Q92" s="1562"/>
      <c r="R92" s="1562"/>
      <c r="S92" s="1292"/>
      <c r="T92" s="1292"/>
      <c r="U92" s="1292"/>
      <c r="V92" s="1292"/>
      <c r="W92" s="1562"/>
      <c r="X92" s="1292"/>
      <c r="Y92" s="1292"/>
      <c r="Z92" s="480"/>
      <c r="AA92" s="1292"/>
      <c r="AB92" s="1292"/>
      <c r="AC92" s="1292"/>
      <c r="AD92" s="1292"/>
      <c r="AE92" s="1292"/>
      <c r="AF92" s="1558"/>
      <c r="AG92" s="558"/>
      <c r="AH92" s="558"/>
      <c r="AI92" s="558"/>
      <c r="AJ92" s="558"/>
      <c r="AK92" s="1567">
        <v>11</v>
      </c>
    </row>
    <row r="93" spans="1:37" s="1567" customFormat="1" ht="11.45" customHeight="1">
      <c r="A93" s="916"/>
      <c r="B93" s="916"/>
      <c r="C93" s="916"/>
      <c r="D93" s="916"/>
      <c r="E93" s="916"/>
      <c r="F93" s="1562"/>
      <c r="G93" s="1562"/>
      <c r="H93" s="287"/>
      <c r="N93" s="1292"/>
      <c r="P93" s="1292"/>
      <c r="Q93" s="1562"/>
      <c r="R93" s="1562"/>
      <c r="S93" s="1292"/>
      <c r="T93" s="1292"/>
      <c r="U93" s="1292"/>
      <c r="V93" s="1292"/>
      <c r="W93" s="1562"/>
      <c r="X93" s="1292"/>
      <c r="Y93" s="1292"/>
      <c r="Z93" s="480"/>
      <c r="AA93" s="1292"/>
      <c r="AB93" s="1292"/>
      <c r="AC93" s="1292"/>
      <c r="AD93" s="1292"/>
      <c r="AE93" s="1292"/>
      <c r="AF93" s="1558"/>
      <c r="AG93" s="558"/>
      <c r="AH93" s="558"/>
      <c r="AI93" s="558"/>
      <c r="AJ93" s="558"/>
      <c r="AK93" s="1567">
        <v>11</v>
      </c>
    </row>
    <row r="94" spans="1:37" s="1567" customFormat="1" ht="11.45" customHeight="1">
      <c r="A94" s="916"/>
      <c r="B94" s="916"/>
      <c r="C94" s="916"/>
      <c r="D94" s="916"/>
      <c r="E94" s="916"/>
      <c r="F94" s="1562"/>
      <c r="G94" s="1562"/>
      <c r="H94" s="287"/>
      <c r="N94" s="1292"/>
      <c r="P94" s="1292"/>
      <c r="Q94" s="1562"/>
      <c r="R94" s="1562"/>
      <c r="S94" s="1292"/>
      <c r="T94" s="1292"/>
      <c r="U94" s="1292"/>
      <c r="V94" s="1292"/>
      <c r="W94" s="1562"/>
      <c r="X94" s="1292"/>
      <c r="Y94" s="1292"/>
      <c r="Z94" s="480"/>
      <c r="AA94" s="1292"/>
      <c r="AB94" s="1292"/>
      <c r="AC94" s="1292"/>
      <c r="AD94" s="1292"/>
      <c r="AE94" s="1292"/>
      <c r="AF94" s="1558"/>
      <c r="AG94" s="558"/>
      <c r="AH94" s="558"/>
      <c r="AI94" s="558"/>
      <c r="AJ94" s="558"/>
      <c r="AK94" s="1567">
        <v>11</v>
      </c>
    </row>
    <row r="95" spans="1:37" s="1567" customFormat="1" ht="11.45" customHeight="1">
      <c r="A95" s="916"/>
      <c r="B95" s="916"/>
      <c r="C95" s="916"/>
      <c r="D95" s="916"/>
      <c r="E95" s="916"/>
      <c r="F95" s="1562"/>
      <c r="G95" s="1562"/>
      <c r="H95" s="287"/>
      <c r="N95" s="1292"/>
      <c r="P95" s="1292"/>
      <c r="Q95" s="1562"/>
      <c r="R95" s="1562"/>
      <c r="S95" s="1292"/>
      <c r="T95" s="1292"/>
      <c r="U95" s="1292"/>
      <c r="V95" s="1292"/>
      <c r="W95" s="1562"/>
      <c r="X95" s="1292"/>
      <c r="Y95" s="1292"/>
      <c r="Z95" s="480"/>
      <c r="AA95" s="1292"/>
      <c r="AB95" s="1292"/>
      <c r="AC95" s="1292"/>
      <c r="AD95" s="1292"/>
      <c r="AE95" s="1292"/>
      <c r="AF95" s="1558"/>
      <c r="AG95" s="558"/>
      <c r="AH95" s="558"/>
      <c r="AI95" s="558"/>
      <c r="AJ95" s="558"/>
      <c r="AK95" s="1567">
        <v>11</v>
      </c>
    </row>
    <row r="96" spans="1:37" s="1567" customFormat="1" ht="11.45" customHeight="1">
      <c r="A96" s="916"/>
      <c r="B96" s="916"/>
      <c r="C96" s="916"/>
      <c r="D96" s="916"/>
      <c r="E96" s="916"/>
      <c r="F96" s="1562"/>
      <c r="G96" s="1562"/>
      <c r="H96" s="287"/>
      <c r="N96" s="1292"/>
      <c r="P96" s="1292"/>
      <c r="Q96" s="1562"/>
      <c r="R96" s="1562"/>
      <c r="S96" s="1292"/>
      <c r="T96" s="1292"/>
      <c r="U96" s="1292"/>
      <c r="V96" s="1292"/>
      <c r="W96" s="1562"/>
      <c r="X96" s="1292"/>
      <c r="Y96" s="1292"/>
      <c r="Z96" s="480"/>
      <c r="AA96" s="1292"/>
      <c r="AB96" s="1292"/>
      <c r="AC96" s="1292"/>
      <c r="AD96" s="1292"/>
      <c r="AE96" s="1292"/>
      <c r="AF96" s="1558"/>
      <c r="AG96" s="558"/>
      <c r="AH96" s="558"/>
      <c r="AI96" s="558"/>
      <c r="AJ96" s="558"/>
      <c r="AK96" s="1567">
        <v>11</v>
      </c>
    </row>
    <row r="97" spans="1:37" s="1567" customFormat="1" ht="11.45" customHeight="1">
      <c r="A97" s="916"/>
      <c r="B97" s="916"/>
      <c r="C97" s="916"/>
      <c r="D97" s="916"/>
      <c r="E97" s="916"/>
      <c r="F97" s="1562"/>
      <c r="G97" s="1562"/>
      <c r="H97" s="287"/>
      <c r="N97" s="1292"/>
      <c r="P97" s="1292"/>
      <c r="Q97" s="1562"/>
      <c r="R97" s="1562"/>
      <c r="S97" s="1292"/>
      <c r="T97" s="1292"/>
      <c r="U97" s="1292"/>
      <c r="V97" s="1292"/>
      <c r="W97" s="1562"/>
      <c r="X97" s="1292"/>
      <c r="Y97" s="1292"/>
      <c r="Z97" s="480"/>
      <c r="AA97" s="1292"/>
      <c r="AB97" s="1292"/>
      <c r="AC97" s="1292"/>
      <c r="AD97" s="1292"/>
      <c r="AE97" s="1292"/>
      <c r="AF97" s="1558"/>
      <c r="AG97" s="558"/>
      <c r="AH97" s="558"/>
      <c r="AI97" s="558"/>
      <c r="AJ97" s="558"/>
      <c r="AK97" s="1567">
        <v>11</v>
      </c>
    </row>
    <row r="98" spans="1:37" s="1567" customFormat="1" ht="11.45" customHeight="1">
      <c r="A98" s="916"/>
      <c r="B98" s="916"/>
      <c r="C98" s="916"/>
      <c r="D98" s="916"/>
      <c r="E98" s="916"/>
      <c r="F98" s="1562"/>
      <c r="G98" s="1562"/>
      <c r="H98" s="287"/>
      <c r="N98" s="1292"/>
      <c r="P98" s="1292"/>
      <c r="Q98" s="1562"/>
      <c r="R98" s="1562"/>
      <c r="S98" s="1292"/>
      <c r="T98" s="1292"/>
      <c r="U98" s="1292"/>
      <c r="V98" s="1292"/>
      <c r="W98" s="1562"/>
      <c r="X98" s="1292"/>
      <c r="Y98" s="1292"/>
      <c r="Z98" s="480"/>
      <c r="AA98" s="1292"/>
      <c r="AB98" s="1292"/>
      <c r="AC98" s="1292"/>
      <c r="AD98" s="1292"/>
      <c r="AE98" s="1292"/>
      <c r="AF98" s="1558"/>
      <c r="AG98" s="558"/>
      <c r="AH98" s="558"/>
      <c r="AI98" s="558"/>
      <c r="AJ98" s="558"/>
      <c r="AK98" s="1567">
        <v>11</v>
      </c>
    </row>
    <row r="99" spans="1:37" s="1567" customFormat="1" ht="11.45" customHeight="1">
      <c r="A99" s="916"/>
      <c r="B99" s="916"/>
      <c r="C99" s="916"/>
      <c r="D99" s="916"/>
      <c r="E99" s="916"/>
      <c r="F99" s="1562"/>
      <c r="G99" s="1562"/>
      <c r="H99" s="287"/>
      <c r="N99" s="1292"/>
      <c r="P99" s="1292"/>
      <c r="Q99" s="1562"/>
      <c r="R99" s="1562"/>
      <c r="S99" s="1292"/>
      <c r="T99" s="1292"/>
      <c r="U99" s="1292"/>
      <c r="V99" s="1292"/>
      <c r="W99" s="1562"/>
      <c r="X99" s="1292"/>
      <c r="Y99" s="1292"/>
      <c r="Z99" s="480"/>
      <c r="AA99" s="1292"/>
      <c r="AB99" s="1292"/>
      <c r="AC99" s="1292"/>
      <c r="AD99" s="1292"/>
      <c r="AE99" s="1292"/>
      <c r="AF99" s="1558"/>
      <c r="AG99" s="558"/>
      <c r="AH99" s="558"/>
      <c r="AI99" s="558"/>
      <c r="AJ99" s="558"/>
      <c r="AK99" s="1567">
        <v>11</v>
      </c>
    </row>
    <row r="100" spans="1:37" s="1567" customFormat="1" ht="11.45" customHeight="1">
      <c r="A100" s="916"/>
      <c r="B100" s="916"/>
      <c r="C100" s="916"/>
      <c r="D100" s="916"/>
      <c r="E100" s="916"/>
      <c r="F100" s="1562"/>
      <c r="G100" s="1562"/>
      <c r="H100" s="287"/>
      <c r="N100" s="1292"/>
      <c r="P100" s="1292"/>
      <c r="Q100" s="1562"/>
      <c r="R100" s="1562"/>
      <c r="S100" s="1292"/>
      <c r="T100" s="1292"/>
      <c r="U100" s="1292"/>
      <c r="V100" s="1292"/>
      <c r="W100" s="1562"/>
      <c r="X100" s="1292"/>
      <c r="Y100" s="1292"/>
      <c r="Z100" s="480"/>
      <c r="AA100" s="1292"/>
      <c r="AB100" s="1292"/>
      <c r="AC100" s="1292"/>
      <c r="AD100" s="1292"/>
      <c r="AE100" s="1292"/>
      <c r="AF100" s="1558"/>
      <c r="AG100" s="558"/>
      <c r="AH100" s="558"/>
      <c r="AI100" s="558"/>
      <c r="AJ100" s="558"/>
      <c r="AK100" s="1567">
        <v>11</v>
      </c>
    </row>
    <row r="101" spans="1:37" s="1567" customFormat="1" ht="11.45" customHeight="1">
      <c r="A101" s="916"/>
      <c r="B101" s="916"/>
      <c r="C101" s="916"/>
      <c r="D101" s="916"/>
      <c r="E101" s="916"/>
      <c r="F101" s="1562"/>
      <c r="G101" s="1562"/>
      <c r="H101" s="287"/>
      <c r="N101" s="1292"/>
      <c r="P101" s="1292"/>
      <c r="Q101" s="1562"/>
      <c r="R101" s="1562"/>
      <c r="S101" s="1292"/>
      <c r="T101" s="1292"/>
      <c r="U101" s="1292"/>
      <c r="V101" s="1292"/>
      <c r="W101" s="1562"/>
      <c r="X101" s="1292"/>
      <c r="Y101" s="1292"/>
      <c r="Z101" s="480"/>
      <c r="AA101" s="1292"/>
      <c r="AB101" s="1292"/>
      <c r="AC101" s="1292"/>
      <c r="AD101" s="1292"/>
      <c r="AE101" s="1292"/>
      <c r="AF101" s="1558"/>
      <c r="AG101" s="558"/>
      <c r="AH101" s="558"/>
      <c r="AI101" s="558"/>
      <c r="AJ101" s="558"/>
      <c r="AK101" s="1567">
        <v>11</v>
      </c>
    </row>
    <row r="102" spans="1:37" s="1567" customFormat="1" ht="11.45" customHeight="1">
      <c r="A102" s="916"/>
      <c r="B102" s="916"/>
      <c r="C102" s="916"/>
      <c r="D102" s="916"/>
      <c r="E102" s="916"/>
      <c r="F102" s="1562"/>
      <c r="G102" s="1562"/>
      <c r="H102" s="287"/>
      <c r="N102" s="1292"/>
      <c r="P102" s="1292"/>
      <c r="Q102" s="1562"/>
      <c r="R102" s="1562"/>
      <c r="S102" s="1292"/>
      <c r="T102" s="1292"/>
      <c r="U102" s="1292"/>
      <c r="V102" s="1292"/>
      <c r="W102" s="1562"/>
      <c r="X102" s="1292"/>
      <c r="Y102" s="1292"/>
      <c r="Z102" s="480"/>
      <c r="AA102" s="1292"/>
      <c r="AB102" s="1292"/>
      <c r="AC102" s="1292"/>
      <c r="AD102" s="1292"/>
      <c r="AE102" s="1292"/>
      <c r="AF102" s="1558"/>
      <c r="AG102" s="558"/>
      <c r="AH102" s="558"/>
      <c r="AI102" s="558"/>
      <c r="AJ102" s="558"/>
      <c r="AK102" s="1567">
        <v>11</v>
      </c>
    </row>
    <row r="103" spans="1:37" s="1567" customFormat="1" ht="11.45" customHeight="1">
      <c r="A103" s="916"/>
      <c r="B103" s="916"/>
      <c r="C103" s="916"/>
      <c r="D103" s="916"/>
      <c r="E103" s="916"/>
      <c r="F103" s="1562"/>
      <c r="G103" s="1562"/>
      <c r="H103" s="287"/>
      <c r="N103" s="1292"/>
      <c r="P103" s="1292"/>
      <c r="Q103" s="1562"/>
      <c r="R103" s="1562"/>
      <c r="S103" s="1292"/>
      <c r="T103" s="1292"/>
      <c r="U103" s="1292"/>
      <c r="V103" s="1292"/>
      <c r="W103" s="1562"/>
      <c r="X103" s="1292"/>
      <c r="Y103" s="1292"/>
      <c r="Z103" s="480"/>
      <c r="AA103" s="1292"/>
      <c r="AB103" s="1292"/>
      <c r="AC103" s="1292"/>
      <c r="AD103" s="1292"/>
      <c r="AE103" s="1292"/>
      <c r="AF103" s="1558"/>
      <c r="AG103" s="558"/>
      <c r="AH103" s="558"/>
      <c r="AI103" s="558"/>
      <c r="AJ103" s="558"/>
      <c r="AK103" s="1567">
        <v>11</v>
      </c>
    </row>
    <row r="104" spans="1:37" s="1567" customFormat="1" ht="11.45" customHeight="1">
      <c r="A104" s="916"/>
      <c r="B104" s="916"/>
      <c r="C104" s="916"/>
      <c r="D104" s="916"/>
      <c r="E104" s="916"/>
      <c r="F104" s="1562"/>
      <c r="G104" s="1562"/>
      <c r="H104" s="287"/>
      <c r="N104" s="1292"/>
      <c r="P104" s="1292"/>
      <c r="Q104" s="1562"/>
      <c r="R104" s="1562"/>
      <c r="S104" s="1292"/>
      <c r="T104" s="1292"/>
      <c r="U104" s="1292"/>
      <c r="V104" s="1292"/>
      <c r="W104" s="1562"/>
      <c r="X104" s="1292"/>
      <c r="Y104" s="1292"/>
      <c r="Z104" s="480"/>
      <c r="AA104" s="1292"/>
      <c r="AB104" s="1292"/>
      <c r="AC104" s="1292"/>
      <c r="AD104" s="1292"/>
      <c r="AE104" s="1292"/>
      <c r="AF104" s="1558"/>
      <c r="AG104" s="558"/>
      <c r="AH104" s="558"/>
      <c r="AI104" s="558"/>
      <c r="AJ104" s="558"/>
      <c r="AK104" s="1567">
        <v>11</v>
      </c>
    </row>
    <row r="105" spans="1:37" s="1567" customFormat="1" ht="11.45" customHeight="1">
      <c r="A105" s="916"/>
      <c r="B105" s="916"/>
      <c r="C105" s="916"/>
      <c r="D105" s="916"/>
      <c r="E105" s="916"/>
      <c r="F105" s="1562"/>
      <c r="G105" s="1562"/>
      <c r="H105" s="287"/>
      <c r="N105" s="1292"/>
      <c r="P105" s="1292"/>
      <c r="Q105" s="1562"/>
      <c r="R105" s="1562"/>
      <c r="S105" s="1292"/>
      <c r="T105" s="1292"/>
      <c r="U105" s="1292"/>
      <c r="V105" s="1292"/>
      <c r="W105" s="1562"/>
      <c r="X105" s="1292"/>
      <c r="Y105" s="1292"/>
      <c r="Z105" s="480"/>
      <c r="AA105" s="1292"/>
      <c r="AB105" s="1292"/>
      <c r="AC105" s="1292"/>
      <c r="AD105" s="1292"/>
      <c r="AE105" s="1292"/>
      <c r="AF105" s="1558"/>
      <c r="AG105" s="558"/>
      <c r="AH105" s="558"/>
      <c r="AI105" s="558"/>
      <c r="AJ105" s="558"/>
      <c r="AK105" s="1567">
        <v>11</v>
      </c>
    </row>
    <row r="106" spans="1:37" s="1567" customFormat="1" ht="11.45" customHeight="1">
      <c r="A106" s="916"/>
      <c r="B106" s="916"/>
      <c r="C106" s="916"/>
      <c r="D106" s="916"/>
      <c r="E106" s="916"/>
      <c r="F106" s="1562"/>
      <c r="G106" s="1562"/>
      <c r="H106" s="287"/>
      <c r="N106" s="1292"/>
      <c r="P106" s="1292"/>
      <c r="Q106" s="1562"/>
      <c r="R106" s="1562"/>
      <c r="S106" s="1292"/>
      <c r="T106" s="1292"/>
      <c r="U106" s="1292"/>
      <c r="V106" s="1292"/>
      <c r="W106" s="1562"/>
      <c r="X106" s="1292"/>
      <c r="Y106" s="1292"/>
      <c r="Z106" s="480"/>
      <c r="AA106" s="1292"/>
      <c r="AB106" s="1292"/>
      <c r="AC106" s="1292"/>
      <c r="AD106" s="1292"/>
      <c r="AE106" s="1292"/>
      <c r="AF106" s="1558"/>
      <c r="AG106" s="558"/>
      <c r="AH106" s="558"/>
      <c r="AI106" s="558"/>
      <c r="AJ106" s="558"/>
      <c r="AK106" s="1567">
        <v>11</v>
      </c>
    </row>
    <row r="107" spans="1:37" s="1567" customFormat="1" ht="11.45" customHeight="1">
      <c r="A107" s="916"/>
      <c r="B107" s="916"/>
      <c r="C107" s="916"/>
      <c r="D107" s="916"/>
      <c r="E107" s="916"/>
      <c r="F107" s="1562"/>
      <c r="G107" s="1562"/>
      <c r="H107" s="287"/>
      <c r="N107" s="1292"/>
      <c r="P107" s="1292"/>
      <c r="Q107" s="1562"/>
      <c r="R107" s="1562"/>
      <c r="S107" s="1292"/>
      <c r="T107" s="1292"/>
      <c r="U107" s="1292"/>
      <c r="V107" s="1292"/>
      <c r="W107" s="1562"/>
      <c r="X107" s="1292"/>
      <c r="Y107" s="1292"/>
      <c r="Z107" s="480"/>
      <c r="AA107" s="1292"/>
      <c r="AB107" s="1292"/>
      <c r="AC107" s="1292"/>
      <c r="AD107" s="1292"/>
      <c r="AE107" s="1292"/>
      <c r="AF107" s="1558"/>
      <c r="AG107" s="558"/>
      <c r="AH107" s="558"/>
      <c r="AI107" s="558"/>
      <c r="AJ107" s="558"/>
      <c r="AK107" s="1567">
        <v>11</v>
      </c>
    </row>
    <row r="108" spans="1:37" s="1567" customFormat="1" ht="11.45" customHeight="1">
      <c r="A108" s="916"/>
      <c r="B108" s="916"/>
      <c r="C108" s="916"/>
      <c r="D108" s="916"/>
      <c r="E108" s="916"/>
      <c r="F108" s="1562"/>
      <c r="G108" s="1562"/>
      <c r="H108" s="287"/>
      <c r="N108" s="1292"/>
      <c r="P108" s="1292"/>
      <c r="Q108" s="1562"/>
      <c r="R108" s="1562"/>
      <c r="S108" s="1292"/>
      <c r="T108" s="1292"/>
      <c r="U108" s="1292"/>
      <c r="V108" s="1292"/>
      <c r="W108" s="1562"/>
      <c r="X108" s="1292"/>
      <c r="Y108" s="1292"/>
      <c r="Z108" s="480"/>
      <c r="AA108" s="1292"/>
      <c r="AB108" s="1292"/>
      <c r="AC108" s="1292"/>
      <c r="AD108" s="1292"/>
      <c r="AE108" s="1292"/>
      <c r="AF108" s="1558"/>
      <c r="AG108" s="558"/>
      <c r="AH108" s="558"/>
      <c r="AI108" s="558"/>
      <c r="AJ108" s="558"/>
      <c r="AK108" s="1567">
        <v>11</v>
      </c>
    </row>
    <row r="109" spans="1:37" s="1567" customFormat="1" ht="11.45" customHeight="1">
      <c r="A109" s="916"/>
      <c r="B109" s="916"/>
      <c r="C109" s="916"/>
      <c r="D109" s="916"/>
      <c r="E109" s="916"/>
      <c r="F109" s="1562"/>
      <c r="G109" s="1562"/>
      <c r="H109" s="287"/>
      <c r="N109" s="1292"/>
      <c r="P109" s="1292"/>
      <c r="Q109" s="1562"/>
      <c r="R109" s="1562"/>
      <c r="S109" s="1292"/>
      <c r="T109" s="1292"/>
      <c r="U109" s="1292"/>
      <c r="V109" s="1292"/>
      <c r="W109" s="1562"/>
      <c r="X109" s="1292"/>
      <c r="Y109" s="1292"/>
      <c r="Z109" s="480"/>
      <c r="AA109" s="1292"/>
      <c r="AB109" s="1292"/>
      <c r="AC109" s="1292"/>
      <c r="AD109" s="1292"/>
      <c r="AE109" s="1292"/>
      <c r="AF109" s="1558"/>
      <c r="AG109" s="558"/>
      <c r="AH109" s="558"/>
      <c r="AI109" s="558"/>
      <c r="AJ109" s="558"/>
      <c r="AK109" s="1567">
        <v>11</v>
      </c>
    </row>
    <row r="110" spans="1:37" s="1567" customFormat="1" ht="11.45" customHeight="1">
      <c r="A110" s="916"/>
      <c r="B110" s="916"/>
      <c r="C110" s="916"/>
      <c r="D110" s="916"/>
      <c r="E110" s="916"/>
      <c r="F110" s="1562"/>
      <c r="G110" s="1562"/>
      <c r="H110" s="287"/>
      <c r="N110" s="1292"/>
      <c r="P110" s="1292"/>
      <c r="Q110" s="1562"/>
      <c r="R110" s="1562"/>
      <c r="S110" s="1292"/>
      <c r="T110" s="1292"/>
      <c r="U110" s="1292"/>
      <c r="V110" s="1292"/>
      <c r="W110" s="1562"/>
      <c r="X110" s="1292"/>
      <c r="Y110" s="1292"/>
      <c r="Z110" s="480"/>
      <c r="AA110" s="1292"/>
      <c r="AB110" s="1292"/>
      <c r="AC110" s="1292"/>
      <c r="AD110" s="1292"/>
      <c r="AE110" s="1292"/>
      <c r="AF110" s="1558"/>
      <c r="AG110" s="558"/>
      <c r="AH110" s="558"/>
      <c r="AI110" s="558"/>
      <c r="AJ110" s="558"/>
      <c r="AK110" s="1567">
        <v>11</v>
      </c>
    </row>
    <row r="111" spans="1:37" s="1567" customFormat="1" ht="11.45" customHeight="1">
      <c r="A111" s="916"/>
      <c r="B111" s="916"/>
      <c r="C111" s="916"/>
      <c r="D111" s="916"/>
      <c r="E111" s="916"/>
      <c r="F111" s="1562"/>
      <c r="G111" s="1562"/>
      <c r="H111" s="287"/>
      <c r="N111" s="1292"/>
      <c r="P111" s="1292"/>
      <c r="Q111" s="1562"/>
      <c r="R111" s="1562"/>
      <c r="S111" s="1292"/>
      <c r="T111" s="1292"/>
      <c r="U111" s="1292"/>
      <c r="V111" s="1292"/>
      <c r="W111" s="1562"/>
      <c r="X111" s="1292"/>
      <c r="Y111" s="1292"/>
      <c r="Z111" s="480"/>
      <c r="AA111" s="1292"/>
      <c r="AB111" s="1292"/>
      <c r="AC111" s="1292"/>
      <c r="AD111" s="1292"/>
      <c r="AE111" s="1292"/>
      <c r="AF111" s="1558"/>
      <c r="AG111" s="558"/>
      <c r="AH111" s="558"/>
      <c r="AI111" s="558"/>
      <c r="AJ111" s="558"/>
      <c r="AK111" s="1567">
        <v>11</v>
      </c>
    </row>
    <row r="112" spans="1:37" s="1567" customFormat="1" ht="11.45" customHeight="1">
      <c r="A112" s="916"/>
      <c r="B112" s="916"/>
      <c r="C112" s="916"/>
      <c r="D112" s="916"/>
      <c r="E112" s="916"/>
      <c r="F112" s="1562"/>
      <c r="G112" s="1562"/>
      <c r="H112" s="287"/>
      <c r="N112" s="1292"/>
      <c r="P112" s="1292"/>
      <c r="Q112" s="1562"/>
      <c r="R112" s="1562"/>
      <c r="S112" s="1292"/>
      <c r="T112" s="1292"/>
      <c r="U112" s="1292"/>
      <c r="V112" s="1292"/>
      <c r="W112" s="1562"/>
      <c r="X112" s="1292"/>
      <c r="Y112" s="1292"/>
      <c r="Z112" s="480"/>
      <c r="AA112" s="1292"/>
      <c r="AB112" s="1292"/>
      <c r="AC112" s="1292"/>
      <c r="AD112" s="1292"/>
      <c r="AE112" s="1292"/>
      <c r="AF112" s="1558"/>
      <c r="AG112" s="558"/>
      <c r="AH112" s="558"/>
      <c r="AI112" s="558"/>
      <c r="AJ112" s="558"/>
      <c r="AK112" s="1567">
        <v>11</v>
      </c>
    </row>
    <row r="113" spans="1:37" s="1567" customFormat="1" ht="11.45" customHeight="1">
      <c r="A113" s="916"/>
      <c r="B113" s="916"/>
      <c r="C113" s="916"/>
      <c r="D113" s="916"/>
      <c r="E113" s="916"/>
      <c r="F113" s="1562"/>
      <c r="G113" s="1562"/>
      <c r="H113" s="287"/>
      <c r="N113" s="1292"/>
      <c r="P113" s="1292"/>
      <c r="Q113" s="1562"/>
      <c r="R113" s="1562"/>
      <c r="S113" s="1292"/>
      <c r="T113" s="1292"/>
      <c r="U113" s="1292"/>
      <c r="V113" s="1292"/>
      <c r="W113" s="1562"/>
      <c r="X113" s="1292"/>
      <c r="Y113" s="1292"/>
      <c r="Z113" s="480"/>
      <c r="AA113" s="1292"/>
      <c r="AB113" s="1292"/>
      <c r="AC113" s="1292"/>
      <c r="AD113" s="1292"/>
      <c r="AE113" s="1292"/>
      <c r="AF113" s="1558"/>
      <c r="AG113" s="558"/>
      <c r="AH113" s="558"/>
      <c r="AI113" s="558"/>
      <c r="AJ113" s="558"/>
      <c r="AK113" s="1567">
        <v>11</v>
      </c>
    </row>
    <row r="114" spans="1:37" s="1567" customFormat="1" ht="11.45" customHeight="1">
      <c r="A114" s="916"/>
      <c r="B114" s="916"/>
      <c r="C114" s="916"/>
      <c r="D114" s="916"/>
      <c r="E114" s="916"/>
      <c r="F114" s="1562"/>
      <c r="G114" s="1562"/>
      <c r="H114" s="287"/>
      <c r="N114" s="1292"/>
      <c r="P114" s="1292"/>
      <c r="Q114" s="1562"/>
      <c r="R114" s="1562"/>
      <c r="S114" s="1292"/>
      <c r="T114" s="1292"/>
      <c r="U114" s="1292"/>
      <c r="V114" s="1292"/>
      <c r="W114" s="1562"/>
      <c r="X114" s="1292"/>
      <c r="Y114" s="1292"/>
      <c r="Z114" s="480"/>
      <c r="AA114" s="1292"/>
      <c r="AB114" s="1292"/>
      <c r="AC114" s="1292"/>
      <c r="AD114" s="1292"/>
      <c r="AE114" s="1292"/>
      <c r="AF114" s="1558"/>
      <c r="AG114" s="558"/>
      <c r="AH114" s="558"/>
      <c r="AI114" s="558"/>
      <c r="AJ114" s="558"/>
      <c r="AK114" s="1567">
        <v>11</v>
      </c>
    </row>
    <row r="115" spans="1:37" s="1567" customFormat="1" ht="11.45" customHeight="1">
      <c r="A115" s="916"/>
      <c r="B115" s="916"/>
      <c r="C115" s="916"/>
      <c r="D115" s="916"/>
      <c r="E115" s="916"/>
      <c r="F115" s="1562"/>
      <c r="G115" s="1562"/>
      <c r="H115" s="287"/>
      <c r="N115" s="1292"/>
      <c r="P115" s="1292"/>
      <c r="Q115" s="1562"/>
      <c r="R115" s="1562"/>
      <c r="S115" s="1292"/>
      <c r="T115" s="1292"/>
      <c r="U115" s="1292"/>
      <c r="V115" s="1292"/>
      <c r="W115" s="1562"/>
      <c r="X115" s="1292"/>
      <c r="Y115" s="1292"/>
      <c r="Z115" s="480"/>
      <c r="AA115" s="1292"/>
      <c r="AB115" s="1292"/>
      <c r="AC115" s="1292"/>
      <c r="AD115" s="1292"/>
      <c r="AE115" s="1292"/>
      <c r="AF115" s="1558"/>
      <c r="AG115" s="558"/>
      <c r="AH115" s="558"/>
      <c r="AI115" s="558"/>
      <c r="AJ115" s="558"/>
      <c r="AK115" s="1567">
        <v>11</v>
      </c>
    </row>
    <row r="116" spans="1:37" s="1567" customFormat="1" ht="11.45" customHeight="1">
      <c r="A116" s="916"/>
      <c r="B116" s="916"/>
      <c r="C116" s="916"/>
      <c r="D116" s="916"/>
      <c r="E116" s="916"/>
      <c r="F116" s="1562"/>
      <c r="G116" s="1562"/>
      <c r="H116" s="287"/>
      <c r="N116" s="1292"/>
      <c r="P116" s="1292"/>
      <c r="Q116" s="1562"/>
      <c r="R116" s="1562"/>
      <c r="S116" s="1292"/>
      <c r="T116" s="1292"/>
      <c r="U116" s="1292"/>
      <c r="V116" s="1292"/>
      <c r="W116" s="1562"/>
      <c r="X116" s="1292"/>
      <c r="Y116" s="1292"/>
      <c r="Z116" s="480"/>
      <c r="AA116" s="1292"/>
      <c r="AB116" s="1292"/>
      <c r="AC116" s="1292"/>
      <c r="AD116" s="1292"/>
      <c r="AE116" s="1292"/>
      <c r="AF116" s="1558"/>
      <c r="AG116" s="558"/>
      <c r="AH116" s="558"/>
      <c r="AI116" s="558"/>
      <c r="AJ116" s="558"/>
      <c r="AK116" s="1567">
        <v>11</v>
      </c>
    </row>
    <row r="117" spans="1:37" s="1567" customFormat="1" ht="11.45" customHeight="1">
      <c r="A117" s="916"/>
      <c r="B117" s="916"/>
      <c r="C117" s="916"/>
      <c r="D117" s="916"/>
      <c r="E117" s="916"/>
      <c r="F117" s="1562"/>
      <c r="G117" s="1562"/>
      <c r="H117" s="287"/>
      <c r="N117" s="1292"/>
      <c r="P117" s="1292"/>
      <c r="Q117" s="1562"/>
      <c r="R117" s="1562"/>
      <c r="S117" s="1292"/>
      <c r="T117" s="1292"/>
      <c r="U117" s="1292"/>
      <c r="V117" s="1292"/>
      <c r="W117" s="1562"/>
      <c r="X117" s="1292"/>
      <c r="Y117" s="1292"/>
      <c r="Z117" s="480"/>
      <c r="AA117" s="1292"/>
      <c r="AB117" s="1292"/>
      <c r="AC117" s="1292"/>
      <c r="AD117" s="1292"/>
      <c r="AE117" s="1292"/>
      <c r="AF117" s="1558"/>
      <c r="AG117" s="558"/>
      <c r="AH117" s="558"/>
      <c r="AI117" s="558"/>
      <c r="AJ117" s="558"/>
      <c r="AK117" s="1567">
        <v>11</v>
      </c>
    </row>
    <row r="118" spans="1:37" s="1567" customFormat="1" ht="11.45" customHeight="1">
      <c r="A118" s="916"/>
      <c r="B118" s="916"/>
      <c r="C118" s="916"/>
      <c r="D118" s="916"/>
      <c r="E118" s="916"/>
      <c r="F118" s="1562"/>
      <c r="G118" s="1562"/>
      <c r="H118" s="287"/>
      <c r="N118" s="1292"/>
      <c r="P118" s="1292"/>
      <c r="Q118" s="1562"/>
      <c r="R118" s="1562"/>
      <c r="S118" s="1292"/>
      <c r="T118" s="1292"/>
      <c r="U118" s="1292"/>
      <c r="V118" s="1292"/>
      <c r="W118" s="1562"/>
      <c r="X118" s="1292"/>
      <c r="Y118" s="1292"/>
      <c r="Z118" s="480"/>
      <c r="AA118" s="1292"/>
      <c r="AB118" s="1292"/>
      <c r="AC118" s="1292"/>
      <c r="AD118" s="1292"/>
      <c r="AE118" s="1292"/>
      <c r="AF118" s="1558"/>
      <c r="AG118" s="558"/>
      <c r="AH118" s="558"/>
      <c r="AI118" s="558"/>
      <c r="AJ118" s="558"/>
      <c r="AK118" s="1567">
        <v>11</v>
      </c>
    </row>
    <row r="119" spans="1:37" s="1567" customFormat="1" ht="11.45" customHeight="1">
      <c r="A119" s="916"/>
      <c r="B119" s="916"/>
      <c r="C119" s="916"/>
      <c r="D119" s="916"/>
      <c r="E119" s="916"/>
      <c r="F119" s="1562"/>
      <c r="G119" s="1562"/>
      <c r="H119" s="287"/>
      <c r="N119" s="1292"/>
      <c r="P119" s="1292"/>
      <c r="Q119" s="1562"/>
      <c r="R119" s="1562"/>
      <c r="S119" s="1292"/>
      <c r="T119" s="1292"/>
      <c r="U119" s="1292"/>
      <c r="V119" s="1292"/>
      <c r="W119" s="1562"/>
      <c r="X119" s="1292"/>
      <c r="Y119" s="1292"/>
      <c r="Z119" s="480"/>
      <c r="AA119" s="1292"/>
      <c r="AB119" s="1292"/>
      <c r="AC119" s="1292"/>
      <c r="AD119" s="1292"/>
      <c r="AE119" s="1292"/>
      <c r="AF119" s="1558"/>
      <c r="AG119" s="558"/>
      <c r="AH119" s="558"/>
      <c r="AI119" s="558"/>
      <c r="AJ119" s="558"/>
      <c r="AK119" s="1567">
        <v>11</v>
      </c>
    </row>
    <row r="120" spans="1:37" s="1567" customFormat="1" ht="11.45" customHeight="1">
      <c r="A120" s="916"/>
      <c r="B120" s="916"/>
      <c r="C120" s="916"/>
      <c r="D120" s="916"/>
      <c r="E120" s="916"/>
      <c r="F120" s="1562"/>
      <c r="G120" s="1562"/>
      <c r="H120" s="287"/>
      <c r="N120" s="1292"/>
      <c r="P120" s="1292"/>
      <c r="Q120" s="1562"/>
      <c r="R120" s="1562"/>
      <c r="S120" s="1292"/>
      <c r="T120" s="1292"/>
      <c r="U120" s="1292"/>
      <c r="V120" s="1292"/>
      <c r="W120" s="1562"/>
      <c r="X120" s="1292"/>
      <c r="Y120" s="1292"/>
      <c r="Z120" s="480"/>
      <c r="AA120" s="1292"/>
      <c r="AB120" s="1292"/>
      <c r="AC120" s="1292"/>
      <c r="AD120" s="1292"/>
      <c r="AE120" s="1292"/>
      <c r="AF120" s="1558"/>
      <c r="AG120" s="558"/>
      <c r="AH120" s="558"/>
      <c r="AI120" s="558"/>
      <c r="AJ120" s="558"/>
      <c r="AK120" s="1567">
        <v>11</v>
      </c>
    </row>
    <row r="121" spans="1:37" s="1567" customFormat="1" ht="11.45" customHeight="1">
      <c r="A121" s="916"/>
      <c r="B121" s="916"/>
      <c r="C121" s="916"/>
      <c r="D121" s="916"/>
      <c r="E121" s="916"/>
      <c r="F121" s="1562"/>
      <c r="G121" s="1562"/>
      <c r="H121" s="287"/>
      <c r="N121" s="1292"/>
      <c r="P121" s="1292"/>
      <c r="Q121" s="1562"/>
      <c r="R121" s="1562"/>
      <c r="S121" s="1292"/>
      <c r="T121" s="1292"/>
      <c r="U121" s="1292"/>
      <c r="V121" s="1292"/>
      <c r="W121" s="1562"/>
      <c r="X121" s="1292"/>
      <c r="Y121" s="1292"/>
      <c r="Z121" s="480"/>
      <c r="AA121" s="1292"/>
      <c r="AB121" s="1292"/>
      <c r="AC121" s="1292"/>
      <c r="AD121" s="1292"/>
      <c r="AE121" s="1292"/>
      <c r="AF121" s="1558"/>
      <c r="AG121" s="558"/>
      <c r="AH121" s="558"/>
      <c r="AI121" s="558"/>
      <c r="AJ121" s="558"/>
      <c r="AK121" s="1567">
        <v>11</v>
      </c>
    </row>
    <row r="122" spans="1:37" s="1567" customFormat="1" ht="11.45" customHeight="1">
      <c r="A122" s="916"/>
      <c r="B122" s="916"/>
      <c r="C122" s="916"/>
      <c r="D122" s="916"/>
      <c r="E122" s="916"/>
      <c r="F122" s="1562"/>
      <c r="G122" s="1562"/>
      <c r="H122" s="287"/>
      <c r="N122" s="1292"/>
      <c r="P122" s="1292"/>
      <c r="Q122" s="1562"/>
      <c r="R122" s="1562"/>
      <c r="S122" s="1292"/>
      <c r="T122" s="1292"/>
      <c r="U122" s="1292"/>
      <c r="V122" s="1292"/>
      <c r="W122" s="1562"/>
      <c r="X122" s="1292"/>
      <c r="Y122" s="1292"/>
      <c r="Z122" s="480"/>
      <c r="AA122" s="1292"/>
      <c r="AB122" s="1292"/>
      <c r="AC122" s="1292"/>
      <c r="AD122" s="1292"/>
      <c r="AE122" s="1292"/>
      <c r="AF122" s="1558"/>
      <c r="AG122" s="558"/>
      <c r="AH122" s="558"/>
      <c r="AI122" s="558"/>
      <c r="AJ122" s="558"/>
      <c r="AK122" s="1567">
        <v>11</v>
      </c>
    </row>
    <row r="123" spans="1:37" s="1567" customFormat="1" ht="11.45" customHeight="1">
      <c r="A123" s="916"/>
      <c r="B123" s="916"/>
      <c r="C123" s="916"/>
      <c r="D123" s="916"/>
      <c r="E123" s="916"/>
      <c r="F123" s="1562"/>
      <c r="G123" s="1562"/>
      <c r="H123" s="287"/>
      <c r="N123" s="1292"/>
      <c r="P123" s="1292"/>
      <c r="Q123" s="1562"/>
      <c r="R123" s="1562"/>
      <c r="S123" s="1292"/>
      <c r="T123" s="1292"/>
      <c r="U123" s="1292"/>
      <c r="V123" s="1292"/>
      <c r="W123" s="1562"/>
      <c r="X123" s="1292"/>
      <c r="Y123" s="1292"/>
      <c r="Z123" s="480"/>
      <c r="AA123" s="1292"/>
      <c r="AB123" s="1292"/>
      <c r="AC123" s="1292"/>
      <c r="AD123" s="1292"/>
      <c r="AE123" s="1292"/>
      <c r="AF123" s="1558"/>
      <c r="AG123" s="558"/>
      <c r="AH123" s="558"/>
      <c r="AI123" s="558"/>
      <c r="AJ123" s="558"/>
      <c r="AK123" s="1567">
        <v>11</v>
      </c>
    </row>
    <row r="124" spans="1:37" s="1567" customFormat="1" ht="11.45" customHeight="1">
      <c r="A124" s="916"/>
      <c r="B124" s="916"/>
      <c r="C124" s="916"/>
      <c r="D124" s="916"/>
      <c r="E124" s="916"/>
      <c r="F124" s="1562"/>
      <c r="G124" s="1562"/>
      <c r="H124" s="287"/>
      <c r="N124" s="1292"/>
      <c r="P124" s="1292"/>
      <c r="Q124" s="1562"/>
      <c r="R124" s="1562"/>
      <c r="S124" s="1292"/>
      <c r="T124" s="1292"/>
      <c r="U124" s="1292"/>
      <c r="V124" s="1292"/>
      <c r="W124" s="1562"/>
      <c r="X124" s="1292"/>
      <c r="Y124" s="1292"/>
      <c r="Z124" s="480"/>
      <c r="AA124" s="1292"/>
      <c r="AB124" s="1292"/>
      <c r="AC124" s="1292"/>
      <c r="AD124" s="1292"/>
      <c r="AE124" s="1292"/>
      <c r="AF124" s="1558"/>
      <c r="AG124" s="558"/>
      <c r="AH124" s="558"/>
      <c r="AI124" s="558"/>
      <c r="AJ124" s="558"/>
      <c r="AK124" s="1567">
        <v>11</v>
      </c>
    </row>
    <row r="125" spans="1:37" s="1567" customFormat="1" ht="11.45" customHeight="1">
      <c r="A125" s="916"/>
      <c r="B125" s="916"/>
      <c r="C125" s="916"/>
      <c r="D125" s="916"/>
      <c r="E125" s="916"/>
      <c r="F125" s="1562"/>
      <c r="G125" s="1562"/>
      <c r="H125" s="287"/>
      <c r="N125" s="1292"/>
      <c r="P125" s="1292"/>
      <c r="Q125" s="1562"/>
      <c r="R125" s="1562"/>
      <c r="S125" s="1292"/>
      <c r="T125" s="1292"/>
      <c r="U125" s="1292"/>
      <c r="V125" s="1292"/>
      <c r="W125" s="1562"/>
      <c r="X125" s="1292"/>
      <c r="Y125" s="1292"/>
      <c r="Z125" s="480"/>
      <c r="AA125" s="1292"/>
      <c r="AB125" s="1292"/>
      <c r="AC125" s="1292"/>
      <c r="AD125" s="1292"/>
      <c r="AE125" s="1292"/>
      <c r="AF125" s="1558"/>
      <c r="AG125" s="558"/>
      <c r="AH125" s="558"/>
      <c r="AI125" s="558"/>
      <c r="AJ125" s="558"/>
      <c r="AK125" s="1567">
        <v>11</v>
      </c>
    </row>
    <row r="126" spans="1:37" s="1567" customFormat="1" ht="11.45" customHeight="1">
      <c r="A126" s="916"/>
      <c r="B126" s="916"/>
      <c r="C126" s="916"/>
      <c r="D126" s="916"/>
      <c r="E126" s="916"/>
      <c r="F126" s="1562"/>
      <c r="G126" s="1562"/>
      <c r="H126" s="287"/>
      <c r="N126" s="1292"/>
      <c r="P126" s="1292"/>
      <c r="Q126" s="1562"/>
      <c r="R126" s="1562"/>
      <c r="S126" s="1292"/>
      <c r="T126" s="1292"/>
      <c r="U126" s="1292"/>
      <c r="V126" s="1292"/>
      <c r="W126" s="1562"/>
      <c r="X126" s="1292"/>
      <c r="Y126" s="1292"/>
      <c r="Z126" s="480"/>
      <c r="AA126" s="1292"/>
      <c r="AB126" s="1292"/>
      <c r="AC126" s="1292"/>
      <c r="AD126" s="1292"/>
      <c r="AE126" s="1292"/>
      <c r="AF126" s="1558"/>
      <c r="AG126" s="558"/>
      <c r="AH126" s="558"/>
      <c r="AI126" s="558"/>
      <c r="AJ126" s="558"/>
      <c r="AK126" s="1567">
        <v>11</v>
      </c>
    </row>
    <row r="127" spans="1:37" s="1567" customFormat="1" ht="11.45" customHeight="1">
      <c r="A127" s="916"/>
      <c r="B127" s="916"/>
      <c r="C127" s="916"/>
      <c r="D127" s="916"/>
      <c r="E127" s="916"/>
      <c r="F127" s="1562"/>
      <c r="G127" s="1562"/>
      <c r="H127" s="287"/>
      <c r="N127" s="1292"/>
      <c r="P127" s="1292"/>
      <c r="Q127" s="1562"/>
      <c r="R127" s="1562"/>
      <c r="S127" s="1292"/>
      <c r="T127" s="1292"/>
      <c r="U127" s="1292"/>
      <c r="V127" s="1292"/>
      <c r="W127" s="1562"/>
      <c r="X127" s="1292"/>
      <c r="Y127" s="1292"/>
      <c r="Z127" s="480"/>
      <c r="AA127" s="1292"/>
      <c r="AB127" s="1292"/>
      <c r="AC127" s="1292"/>
      <c r="AD127" s="1292"/>
      <c r="AE127" s="1292"/>
      <c r="AF127" s="1558"/>
      <c r="AG127" s="558"/>
      <c r="AH127" s="558"/>
      <c r="AI127" s="558"/>
      <c r="AJ127" s="558"/>
      <c r="AK127" s="1567">
        <v>11</v>
      </c>
    </row>
    <row r="128" spans="1:37" s="1567" customFormat="1" ht="11.45" customHeight="1">
      <c r="A128" s="916"/>
      <c r="B128" s="916"/>
      <c r="C128" s="916"/>
      <c r="D128" s="916"/>
      <c r="E128" s="916"/>
      <c r="F128" s="1562"/>
      <c r="G128" s="1562"/>
      <c r="H128" s="287"/>
      <c r="N128" s="1292"/>
      <c r="P128" s="1292"/>
      <c r="Q128" s="1562"/>
      <c r="R128" s="1562"/>
      <c r="S128" s="1292"/>
      <c r="T128" s="1292"/>
      <c r="U128" s="1292"/>
      <c r="V128" s="1292"/>
      <c r="W128" s="1562"/>
      <c r="X128" s="1292"/>
      <c r="Y128" s="1292"/>
      <c r="Z128" s="480"/>
      <c r="AA128" s="1292"/>
      <c r="AB128" s="1292"/>
      <c r="AC128" s="1292"/>
      <c r="AD128" s="1292"/>
      <c r="AE128" s="1292"/>
      <c r="AF128" s="1558"/>
      <c r="AG128" s="558"/>
      <c r="AH128" s="558"/>
      <c r="AI128" s="558"/>
      <c r="AJ128" s="558"/>
      <c r="AK128" s="1567">
        <v>11</v>
      </c>
    </row>
    <row r="129" spans="1:37" s="1567" customFormat="1" ht="11.45" customHeight="1">
      <c r="A129" s="916"/>
      <c r="B129" s="916"/>
      <c r="C129" s="916"/>
      <c r="D129" s="916"/>
      <c r="E129" s="916"/>
      <c r="F129" s="1562"/>
      <c r="G129" s="1562"/>
      <c r="H129" s="287"/>
      <c r="N129" s="1292"/>
      <c r="P129" s="1292"/>
      <c r="Q129" s="1562"/>
      <c r="R129" s="1562"/>
      <c r="S129" s="1292"/>
      <c r="T129" s="1292"/>
      <c r="U129" s="1292"/>
      <c r="V129" s="1292"/>
      <c r="W129" s="1562"/>
      <c r="X129" s="1292"/>
      <c r="Y129" s="1292"/>
      <c r="Z129" s="480"/>
      <c r="AA129" s="1292"/>
      <c r="AB129" s="1292"/>
      <c r="AC129" s="1292"/>
      <c r="AD129" s="1292"/>
      <c r="AE129" s="1292"/>
      <c r="AF129" s="1558"/>
      <c r="AG129" s="558"/>
      <c r="AH129" s="558"/>
      <c r="AI129" s="558"/>
      <c r="AJ129" s="558"/>
      <c r="AK129" s="1567">
        <v>11</v>
      </c>
    </row>
    <row r="130" spans="1:37" s="1567" customFormat="1" ht="11.45" customHeight="1">
      <c r="A130" s="916"/>
      <c r="B130" s="916"/>
      <c r="C130" s="916"/>
      <c r="D130" s="916"/>
      <c r="E130" s="916"/>
      <c r="F130" s="1562"/>
      <c r="G130" s="1562"/>
      <c r="H130" s="287"/>
      <c r="N130" s="1292"/>
      <c r="P130" s="1292"/>
      <c r="Q130" s="1562"/>
      <c r="R130" s="1562"/>
      <c r="S130" s="1292"/>
      <c r="T130" s="1292"/>
      <c r="U130" s="1292"/>
      <c r="V130" s="1292"/>
      <c r="W130" s="1562"/>
      <c r="X130" s="1292"/>
      <c r="Y130" s="1292"/>
      <c r="Z130" s="480"/>
      <c r="AA130" s="1292"/>
      <c r="AB130" s="1292"/>
      <c r="AC130" s="1292"/>
      <c r="AD130" s="1292"/>
      <c r="AE130" s="1292"/>
      <c r="AF130" s="1558"/>
      <c r="AG130" s="558"/>
      <c r="AH130" s="558"/>
      <c r="AI130" s="558"/>
      <c r="AJ130" s="558"/>
      <c r="AK130" s="1567">
        <v>11</v>
      </c>
    </row>
    <row r="131" spans="1:37" s="1567" customFormat="1" ht="11.45" customHeight="1">
      <c r="A131" s="916"/>
      <c r="B131" s="916"/>
      <c r="C131" s="916"/>
      <c r="D131" s="916"/>
      <c r="E131" s="916"/>
      <c r="F131" s="1562"/>
      <c r="G131" s="1562"/>
      <c r="H131" s="287"/>
      <c r="N131" s="1292"/>
      <c r="P131" s="1292"/>
      <c r="Q131" s="1562"/>
      <c r="R131" s="1562"/>
      <c r="S131" s="1292"/>
      <c r="T131" s="1292"/>
      <c r="U131" s="1292"/>
      <c r="V131" s="1292"/>
      <c r="W131" s="1562"/>
      <c r="X131" s="1292"/>
      <c r="Y131" s="1292"/>
      <c r="Z131" s="480"/>
      <c r="AA131" s="1292"/>
      <c r="AB131" s="1292"/>
      <c r="AC131" s="1292"/>
      <c r="AD131" s="1292"/>
      <c r="AE131" s="1292"/>
      <c r="AF131" s="1558"/>
      <c r="AG131" s="558"/>
      <c r="AH131" s="558"/>
      <c r="AI131" s="558"/>
      <c r="AJ131" s="558"/>
      <c r="AK131" s="1567">
        <v>11</v>
      </c>
    </row>
    <row r="132" spans="1:37" s="1567" customFormat="1" ht="11.45" customHeight="1">
      <c r="A132" s="916"/>
      <c r="B132" s="916"/>
      <c r="C132" s="916"/>
      <c r="D132" s="916"/>
      <c r="E132" s="916"/>
      <c r="F132" s="1562"/>
      <c r="G132" s="1562"/>
      <c r="H132" s="287"/>
      <c r="N132" s="1292"/>
      <c r="P132" s="1292"/>
      <c r="Q132" s="1562"/>
      <c r="R132" s="1562"/>
      <c r="S132" s="1292"/>
      <c r="T132" s="1292"/>
      <c r="U132" s="1292"/>
      <c r="V132" s="1292"/>
      <c r="W132" s="1562"/>
      <c r="X132" s="1292"/>
      <c r="Y132" s="1292"/>
      <c r="Z132" s="480"/>
      <c r="AA132" s="1292"/>
      <c r="AB132" s="1292"/>
      <c r="AC132" s="1292"/>
      <c r="AD132" s="1292"/>
      <c r="AE132" s="1292"/>
      <c r="AF132" s="1558"/>
      <c r="AG132" s="558"/>
      <c r="AH132" s="558"/>
      <c r="AI132" s="558"/>
      <c r="AJ132" s="558"/>
      <c r="AK132" s="1567">
        <v>11</v>
      </c>
    </row>
    <row r="133" spans="1:37" s="1567" customFormat="1" ht="11.45" customHeight="1">
      <c r="A133" s="916"/>
      <c r="B133" s="916"/>
      <c r="C133" s="916"/>
      <c r="D133" s="916"/>
      <c r="E133" s="916"/>
      <c r="F133" s="1562"/>
      <c r="G133" s="1562"/>
      <c r="H133" s="287"/>
      <c r="N133" s="1292"/>
      <c r="P133" s="1292"/>
      <c r="Q133" s="1562"/>
      <c r="R133" s="1562"/>
      <c r="S133" s="1292"/>
      <c r="T133" s="1292"/>
      <c r="U133" s="1292"/>
      <c r="V133" s="1292"/>
      <c r="W133" s="1562"/>
      <c r="X133" s="1292"/>
      <c r="Y133" s="1292"/>
      <c r="Z133" s="480"/>
      <c r="AA133" s="1292"/>
      <c r="AB133" s="1292"/>
      <c r="AC133" s="1292"/>
      <c r="AD133" s="1292"/>
      <c r="AE133" s="1292"/>
      <c r="AF133" s="1558"/>
      <c r="AG133" s="558"/>
      <c r="AH133" s="558"/>
      <c r="AI133" s="558"/>
      <c r="AJ133" s="558"/>
      <c r="AK133" s="1567">
        <v>11</v>
      </c>
    </row>
    <row r="134" spans="1:37" s="1567" customFormat="1" ht="11.45" customHeight="1">
      <c r="A134" s="916"/>
      <c r="B134" s="916"/>
      <c r="C134" s="916"/>
      <c r="D134" s="916"/>
      <c r="E134" s="916"/>
      <c r="F134" s="1562"/>
      <c r="G134" s="1562"/>
      <c r="H134" s="287"/>
      <c r="N134" s="1292"/>
      <c r="P134" s="1292"/>
      <c r="Q134" s="1562"/>
      <c r="R134" s="1562"/>
      <c r="S134" s="1292"/>
      <c r="T134" s="1292"/>
      <c r="U134" s="1292"/>
      <c r="V134" s="1292"/>
      <c r="W134" s="1562"/>
      <c r="X134" s="1292"/>
      <c r="Y134" s="1292"/>
      <c r="Z134" s="480"/>
      <c r="AA134" s="1292"/>
      <c r="AB134" s="1292"/>
      <c r="AC134" s="1292"/>
      <c r="AD134" s="1292"/>
      <c r="AE134" s="1292"/>
      <c r="AF134" s="1558"/>
      <c r="AG134" s="558"/>
      <c r="AH134" s="558"/>
      <c r="AI134" s="558"/>
      <c r="AJ134" s="558"/>
      <c r="AK134" s="1567">
        <v>11</v>
      </c>
    </row>
    <row r="135" spans="1:37" s="1567" customFormat="1" ht="11.45" customHeight="1">
      <c r="A135" s="916"/>
      <c r="B135" s="916"/>
      <c r="C135" s="916"/>
      <c r="D135" s="916"/>
      <c r="E135" s="916"/>
      <c r="F135" s="1562"/>
      <c r="G135" s="1562"/>
      <c r="H135" s="287"/>
      <c r="N135" s="1292"/>
      <c r="P135" s="1292"/>
      <c r="Q135" s="1562"/>
      <c r="R135" s="1562"/>
      <c r="S135" s="1292"/>
      <c r="T135" s="1292"/>
      <c r="U135" s="1292"/>
      <c r="V135" s="1292"/>
      <c r="W135" s="1562"/>
      <c r="X135" s="1292"/>
      <c r="Y135" s="1292"/>
      <c r="Z135" s="480"/>
      <c r="AA135" s="1292"/>
      <c r="AB135" s="1292"/>
      <c r="AC135" s="1292"/>
      <c r="AD135" s="1292"/>
      <c r="AE135" s="1292"/>
      <c r="AF135" s="1558"/>
      <c r="AG135" s="558"/>
      <c r="AH135" s="558"/>
      <c r="AI135" s="558"/>
      <c r="AJ135" s="558"/>
      <c r="AK135" s="1567">
        <v>11</v>
      </c>
    </row>
    <row r="136" spans="1:37" s="1567" customFormat="1" ht="11.45" customHeight="1">
      <c r="A136" s="916"/>
      <c r="B136" s="916"/>
      <c r="C136" s="916"/>
      <c r="D136" s="916"/>
      <c r="E136" s="916"/>
      <c r="F136" s="1562"/>
      <c r="G136" s="1562"/>
      <c r="H136" s="287"/>
      <c r="N136" s="1292"/>
      <c r="P136" s="1292"/>
      <c r="Q136" s="1562"/>
      <c r="R136" s="1562"/>
      <c r="S136" s="1292"/>
      <c r="T136" s="1292"/>
      <c r="U136" s="1292"/>
      <c r="V136" s="1292"/>
      <c r="W136" s="1562"/>
      <c r="X136" s="1292"/>
      <c r="Y136" s="1292"/>
      <c r="Z136" s="480"/>
      <c r="AA136" s="1292"/>
      <c r="AB136" s="1292"/>
      <c r="AC136" s="1292"/>
      <c r="AD136" s="1292"/>
      <c r="AE136" s="1292"/>
      <c r="AF136" s="1558"/>
      <c r="AG136" s="558"/>
      <c r="AH136" s="558"/>
      <c r="AI136" s="558"/>
      <c r="AJ136" s="558"/>
      <c r="AK136" s="1567">
        <v>11</v>
      </c>
    </row>
    <row r="137" spans="1:37" s="1567" customFormat="1" ht="11.45" customHeight="1">
      <c r="A137" s="916"/>
      <c r="B137" s="916"/>
      <c r="C137" s="916"/>
      <c r="D137" s="916"/>
      <c r="E137" s="916"/>
      <c r="F137" s="1562"/>
      <c r="G137" s="1562"/>
      <c r="H137" s="287"/>
      <c r="N137" s="1292"/>
      <c r="P137" s="1292"/>
      <c r="Q137" s="1562"/>
      <c r="R137" s="1562"/>
      <c r="S137" s="1292"/>
      <c r="T137" s="1292"/>
      <c r="U137" s="1292"/>
      <c r="V137" s="1292"/>
      <c r="W137" s="1562"/>
      <c r="X137" s="1292"/>
      <c r="Y137" s="1292"/>
      <c r="Z137" s="480"/>
      <c r="AA137" s="1292"/>
      <c r="AB137" s="1292"/>
      <c r="AC137" s="1292"/>
      <c r="AD137" s="1292"/>
      <c r="AE137" s="1292"/>
      <c r="AF137" s="1558"/>
      <c r="AG137" s="558"/>
      <c r="AH137" s="558"/>
      <c r="AI137" s="558"/>
      <c r="AJ137" s="558"/>
      <c r="AK137" s="1567">
        <v>11</v>
      </c>
    </row>
    <row r="138" spans="1:37" s="1567" customFormat="1" ht="11.45" customHeight="1">
      <c r="A138" s="916"/>
      <c r="B138" s="916"/>
      <c r="C138" s="916"/>
      <c r="D138" s="916"/>
      <c r="E138" s="916"/>
      <c r="F138" s="1562"/>
      <c r="G138" s="1562"/>
      <c r="H138" s="287"/>
      <c r="N138" s="1292"/>
      <c r="P138" s="1292"/>
      <c r="Q138" s="1562"/>
      <c r="R138" s="1562"/>
      <c r="S138" s="1292"/>
      <c r="T138" s="1292"/>
      <c r="U138" s="1292"/>
      <c r="V138" s="1292"/>
      <c r="W138" s="1562"/>
      <c r="X138" s="1292"/>
      <c r="Y138" s="1292"/>
      <c r="Z138" s="480"/>
      <c r="AA138" s="1292"/>
      <c r="AB138" s="1292"/>
      <c r="AC138" s="1292"/>
      <c r="AD138" s="1292"/>
      <c r="AE138" s="1292"/>
      <c r="AF138" s="1558"/>
      <c r="AG138" s="558"/>
      <c r="AH138" s="558"/>
      <c r="AI138" s="558"/>
      <c r="AJ138" s="558"/>
      <c r="AK138" s="1567">
        <v>11</v>
      </c>
    </row>
    <row r="139" spans="1:37" s="1567" customFormat="1" ht="11.45" customHeight="1">
      <c r="A139" s="916"/>
      <c r="B139" s="916"/>
      <c r="C139" s="916"/>
      <c r="D139" s="916"/>
      <c r="E139" s="916"/>
      <c r="F139" s="1562"/>
      <c r="G139" s="1562"/>
      <c r="H139" s="287"/>
      <c r="N139" s="1292"/>
      <c r="P139" s="1292"/>
      <c r="Q139" s="1562"/>
      <c r="R139" s="1562"/>
      <c r="S139" s="1292"/>
      <c r="T139" s="1292"/>
      <c r="U139" s="1292"/>
      <c r="V139" s="1292"/>
      <c r="W139" s="1562"/>
      <c r="X139" s="1292"/>
      <c r="Y139" s="1292"/>
      <c r="Z139" s="480"/>
      <c r="AA139" s="1292"/>
      <c r="AB139" s="1292"/>
      <c r="AC139" s="1292"/>
      <c r="AD139" s="1292"/>
      <c r="AE139" s="1292"/>
      <c r="AF139" s="1558"/>
      <c r="AG139" s="558"/>
      <c r="AH139" s="558"/>
      <c r="AI139" s="558"/>
      <c r="AJ139" s="558"/>
      <c r="AK139" s="1567">
        <v>11</v>
      </c>
    </row>
    <row r="140" spans="1:37" s="1567" customFormat="1" ht="11.45" customHeight="1">
      <c r="A140" s="916"/>
      <c r="B140" s="916"/>
      <c r="C140" s="916"/>
      <c r="D140" s="916"/>
      <c r="E140" s="916"/>
      <c r="F140" s="1562"/>
      <c r="G140" s="1562"/>
      <c r="H140" s="287"/>
      <c r="N140" s="1292"/>
      <c r="P140" s="1292"/>
      <c r="Q140" s="1562"/>
      <c r="R140" s="1562"/>
      <c r="S140" s="1292"/>
      <c r="T140" s="1292"/>
      <c r="U140" s="1292"/>
      <c r="V140" s="1292"/>
      <c r="W140" s="1562"/>
      <c r="X140" s="1292"/>
      <c r="Y140" s="1292"/>
      <c r="Z140" s="480"/>
      <c r="AA140" s="1292"/>
      <c r="AB140" s="1292"/>
      <c r="AC140" s="1292"/>
      <c r="AD140" s="1292"/>
      <c r="AE140" s="1292"/>
      <c r="AF140" s="1558"/>
      <c r="AG140" s="558"/>
      <c r="AH140" s="558"/>
      <c r="AI140" s="558"/>
      <c r="AJ140" s="558"/>
      <c r="AK140" s="1567">
        <v>11</v>
      </c>
    </row>
    <row r="141" spans="1:37" s="1567" customFormat="1" ht="11.45" customHeight="1">
      <c r="A141" s="916"/>
      <c r="B141" s="916"/>
      <c r="C141" s="916"/>
      <c r="D141" s="916"/>
      <c r="E141" s="916"/>
      <c r="F141" s="1562"/>
      <c r="G141" s="1562"/>
      <c r="H141" s="287"/>
      <c r="N141" s="1292"/>
      <c r="P141" s="1292"/>
      <c r="Q141" s="1562"/>
      <c r="R141" s="1562"/>
      <c r="S141" s="1292"/>
      <c r="T141" s="1292"/>
      <c r="U141" s="1292"/>
      <c r="V141" s="1292"/>
      <c r="W141" s="1562"/>
      <c r="X141" s="1292"/>
      <c r="Y141" s="1292"/>
      <c r="Z141" s="480"/>
      <c r="AA141" s="1292"/>
      <c r="AB141" s="1292"/>
      <c r="AC141" s="1292"/>
      <c r="AD141" s="1292"/>
      <c r="AE141" s="1292"/>
      <c r="AF141" s="1558"/>
      <c r="AG141" s="558"/>
      <c r="AH141" s="558"/>
      <c r="AI141" s="558"/>
      <c r="AJ141" s="558"/>
      <c r="AK141" s="1567">
        <v>11</v>
      </c>
    </row>
    <row r="142" spans="1:37" s="1567" customFormat="1" ht="11.45" customHeight="1">
      <c r="A142" s="916"/>
      <c r="B142" s="916"/>
      <c r="C142" s="916"/>
      <c r="D142" s="916"/>
      <c r="E142" s="916"/>
      <c r="F142" s="1562"/>
      <c r="G142" s="1562"/>
      <c r="H142" s="287"/>
      <c r="N142" s="1292"/>
      <c r="P142" s="1292"/>
      <c r="Q142" s="1562"/>
      <c r="R142" s="1562"/>
      <c r="S142" s="1292"/>
      <c r="T142" s="1292"/>
      <c r="U142" s="1292"/>
      <c r="V142" s="1292"/>
      <c r="W142" s="1562"/>
      <c r="X142" s="1292"/>
      <c r="Y142" s="1292"/>
      <c r="Z142" s="480"/>
      <c r="AA142" s="1292"/>
      <c r="AB142" s="1292"/>
      <c r="AC142" s="1292"/>
      <c r="AD142" s="1292"/>
      <c r="AE142" s="1292"/>
      <c r="AF142" s="1558"/>
      <c r="AG142" s="558"/>
      <c r="AH142" s="558"/>
      <c r="AI142" s="558"/>
      <c r="AJ142" s="558"/>
      <c r="AK142" s="1567">
        <v>11</v>
      </c>
    </row>
    <row r="143" spans="1:37" s="1567" customFormat="1" ht="11.45" customHeight="1">
      <c r="A143" s="916"/>
      <c r="B143" s="916"/>
      <c r="C143" s="916"/>
      <c r="D143" s="916"/>
      <c r="E143" s="916"/>
      <c r="F143" s="1562"/>
      <c r="G143" s="1562"/>
      <c r="H143" s="287"/>
      <c r="N143" s="1292"/>
      <c r="P143" s="1292"/>
      <c r="Q143" s="1562"/>
      <c r="R143" s="1562"/>
      <c r="S143" s="1292"/>
      <c r="T143" s="1292"/>
      <c r="U143" s="1292"/>
      <c r="V143" s="1292"/>
      <c r="W143" s="1562"/>
      <c r="X143" s="1292"/>
      <c r="Y143" s="1292"/>
      <c r="Z143" s="480"/>
      <c r="AA143" s="1292"/>
      <c r="AB143" s="1292"/>
      <c r="AC143" s="1292"/>
      <c r="AD143" s="1292"/>
      <c r="AE143" s="1292"/>
      <c r="AF143" s="1558"/>
      <c r="AG143" s="558"/>
      <c r="AH143" s="558"/>
      <c r="AI143" s="558"/>
      <c r="AJ143" s="558"/>
      <c r="AK143" s="1567">
        <v>11</v>
      </c>
    </row>
    <row r="144" spans="1:37" s="1567" customFormat="1" ht="11.45" customHeight="1">
      <c r="A144" s="916"/>
      <c r="B144" s="916"/>
      <c r="C144" s="916"/>
      <c r="D144" s="916"/>
      <c r="E144" s="916"/>
      <c r="F144" s="1562"/>
      <c r="G144" s="1562"/>
      <c r="H144" s="287"/>
      <c r="N144" s="1292"/>
      <c r="P144" s="1292"/>
      <c r="Q144" s="1562"/>
      <c r="R144" s="1562"/>
      <c r="S144" s="1292"/>
      <c r="T144" s="1292"/>
      <c r="U144" s="1292"/>
      <c r="V144" s="1292"/>
      <c r="W144" s="1562"/>
      <c r="X144" s="1292"/>
      <c r="Y144" s="1292"/>
      <c r="Z144" s="480"/>
      <c r="AA144" s="1292"/>
      <c r="AB144" s="1292"/>
      <c r="AC144" s="1292"/>
      <c r="AD144" s="1292"/>
      <c r="AE144" s="1292"/>
      <c r="AF144" s="1558"/>
      <c r="AG144" s="558"/>
      <c r="AH144" s="558"/>
      <c r="AI144" s="558"/>
      <c r="AJ144" s="558"/>
      <c r="AK144" s="1567">
        <v>11</v>
      </c>
    </row>
    <row r="145" spans="1:37" s="1567" customFormat="1" ht="11.45" customHeight="1">
      <c r="A145" s="916"/>
      <c r="B145" s="916"/>
      <c r="C145" s="916"/>
      <c r="D145" s="916"/>
      <c r="E145" s="916"/>
      <c r="F145" s="1562"/>
      <c r="G145" s="1562"/>
      <c r="H145" s="287"/>
      <c r="N145" s="1292"/>
      <c r="P145" s="1292"/>
      <c r="Q145" s="1562"/>
      <c r="R145" s="1562"/>
      <c r="S145" s="1292"/>
      <c r="T145" s="1292"/>
      <c r="U145" s="1292"/>
      <c r="V145" s="1292"/>
      <c r="W145" s="1562"/>
      <c r="X145" s="1292"/>
      <c r="Y145" s="1292"/>
      <c r="Z145" s="480"/>
      <c r="AA145" s="1292"/>
      <c r="AB145" s="1292"/>
      <c r="AC145" s="1292"/>
      <c r="AD145" s="1292"/>
      <c r="AE145" s="1292"/>
      <c r="AF145" s="1558"/>
      <c r="AG145" s="558"/>
      <c r="AH145" s="558"/>
      <c r="AI145" s="558"/>
      <c r="AJ145" s="558"/>
      <c r="AK145" s="1567">
        <v>11</v>
      </c>
    </row>
    <row r="146" spans="1:37" s="1567" customFormat="1" ht="11.45" customHeight="1">
      <c r="A146" s="916"/>
      <c r="B146" s="916"/>
      <c r="C146" s="916"/>
      <c r="D146" s="916"/>
      <c r="E146" s="916"/>
      <c r="F146" s="1562"/>
      <c r="G146" s="1562"/>
      <c r="H146" s="287"/>
      <c r="N146" s="1292"/>
      <c r="P146" s="1292"/>
      <c r="Q146" s="1562"/>
      <c r="R146" s="1562"/>
      <c r="S146" s="1292"/>
      <c r="T146" s="1292"/>
      <c r="U146" s="1292"/>
      <c r="V146" s="1292"/>
      <c r="W146" s="1562"/>
      <c r="X146" s="1292"/>
      <c r="Y146" s="1292"/>
      <c r="Z146" s="480"/>
      <c r="AA146" s="1292"/>
      <c r="AB146" s="1292"/>
      <c r="AC146" s="1292"/>
      <c r="AD146" s="1292"/>
      <c r="AE146" s="1292"/>
      <c r="AF146" s="1558"/>
      <c r="AG146" s="558"/>
      <c r="AH146" s="558"/>
      <c r="AI146" s="558"/>
      <c r="AJ146" s="558"/>
      <c r="AK146" s="1567">
        <v>11</v>
      </c>
    </row>
    <row r="147" spans="1:37" s="1567" customFormat="1" ht="11.45" customHeight="1">
      <c r="A147" s="916"/>
      <c r="B147" s="916"/>
      <c r="C147" s="916"/>
      <c r="D147" s="916"/>
      <c r="E147" s="916"/>
      <c r="F147" s="1562"/>
      <c r="G147" s="1562"/>
      <c r="H147" s="287"/>
      <c r="N147" s="1292"/>
      <c r="P147" s="1292"/>
      <c r="Q147" s="1562"/>
      <c r="R147" s="1562"/>
      <c r="S147" s="1292"/>
      <c r="T147" s="1292"/>
      <c r="U147" s="1292"/>
      <c r="V147" s="1292"/>
      <c r="W147" s="1562"/>
      <c r="X147" s="1292"/>
      <c r="Y147" s="1292"/>
      <c r="Z147" s="480"/>
      <c r="AA147" s="1292"/>
      <c r="AB147" s="1292"/>
      <c r="AC147" s="1292"/>
      <c r="AD147" s="1292"/>
      <c r="AE147" s="1292"/>
      <c r="AF147" s="1558"/>
      <c r="AG147" s="558"/>
      <c r="AH147" s="558"/>
      <c r="AI147" s="558"/>
      <c r="AJ147" s="558"/>
      <c r="AK147" s="1567">
        <v>11</v>
      </c>
    </row>
    <row r="148" spans="1:37" s="1567" customFormat="1" ht="11.45" customHeight="1">
      <c r="A148" s="916"/>
      <c r="B148" s="916"/>
      <c r="C148" s="916"/>
      <c r="D148" s="916"/>
      <c r="E148" s="916"/>
      <c r="F148" s="1562"/>
      <c r="G148" s="1562"/>
      <c r="H148" s="287"/>
      <c r="N148" s="1292"/>
      <c r="P148" s="1292"/>
      <c r="Q148" s="1562"/>
      <c r="R148" s="1562"/>
      <c r="S148" s="1292"/>
      <c r="T148" s="1292"/>
      <c r="U148" s="1292"/>
      <c r="V148" s="1292"/>
      <c r="W148" s="1562"/>
      <c r="X148" s="1292"/>
      <c r="Y148" s="1292"/>
      <c r="Z148" s="480"/>
      <c r="AA148" s="1292"/>
      <c r="AB148" s="1292"/>
      <c r="AC148" s="1292"/>
      <c r="AD148" s="1292"/>
      <c r="AE148" s="1292"/>
      <c r="AF148" s="1558"/>
      <c r="AG148" s="558"/>
      <c r="AH148" s="558"/>
      <c r="AI148" s="558"/>
      <c r="AJ148" s="558"/>
      <c r="AK148" s="1567">
        <v>11</v>
      </c>
    </row>
    <row r="149" spans="1:37" s="1567" customFormat="1" ht="11.45" customHeight="1">
      <c r="A149" s="916"/>
      <c r="B149" s="916"/>
      <c r="C149" s="916"/>
      <c r="D149" s="916"/>
      <c r="E149" s="916"/>
      <c r="F149" s="1562"/>
      <c r="G149" s="1562"/>
      <c r="H149" s="287"/>
      <c r="N149" s="1292"/>
      <c r="P149" s="1292"/>
      <c r="Q149" s="1562"/>
      <c r="R149" s="1562"/>
      <c r="S149" s="1292"/>
      <c r="T149" s="1292"/>
      <c r="U149" s="1292"/>
      <c r="V149" s="1292"/>
      <c r="W149" s="1562"/>
      <c r="X149" s="1292"/>
      <c r="Y149" s="1292"/>
      <c r="Z149" s="480"/>
      <c r="AA149" s="1292"/>
      <c r="AB149" s="1292"/>
      <c r="AC149" s="1292"/>
      <c r="AD149" s="1292"/>
      <c r="AE149" s="1292"/>
      <c r="AF149" s="1558"/>
      <c r="AG149" s="558"/>
      <c r="AH149" s="558"/>
      <c r="AI149" s="558"/>
      <c r="AJ149" s="558"/>
      <c r="AK149" s="1567">
        <v>11</v>
      </c>
    </row>
    <row r="150" spans="1:37" s="1567" customFormat="1" ht="11.45" customHeight="1">
      <c r="A150" s="916"/>
      <c r="B150" s="916"/>
      <c r="C150" s="916"/>
      <c r="D150" s="916"/>
      <c r="E150" s="916"/>
      <c r="F150" s="1562"/>
      <c r="G150" s="1562"/>
      <c r="H150" s="287"/>
      <c r="N150" s="1292"/>
      <c r="P150" s="1292"/>
      <c r="Q150" s="1562"/>
      <c r="R150" s="1562"/>
      <c r="S150" s="1292"/>
      <c r="T150" s="1292"/>
      <c r="U150" s="1292"/>
      <c r="V150" s="1292"/>
      <c r="W150" s="1562"/>
      <c r="X150" s="1292"/>
      <c r="Y150" s="1292"/>
      <c r="Z150" s="480"/>
      <c r="AA150" s="1292"/>
      <c r="AB150" s="1292"/>
      <c r="AC150" s="1292"/>
      <c r="AD150" s="1292"/>
      <c r="AE150" s="1292"/>
      <c r="AF150" s="1558"/>
      <c r="AG150" s="558"/>
      <c r="AH150" s="558"/>
      <c r="AI150" s="558"/>
      <c r="AJ150" s="558"/>
      <c r="AK150" s="1567">
        <v>11</v>
      </c>
    </row>
    <row r="151" spans="1:37" s="1567" customFormat="1" ht="11.45" customHeight="1">
      <c r="A151" s="916"/>
      <c r="B151" s="916"/>
      <c r="C151" s="916"/>
      <c r="D151" s="916"/>
      <c r="E151" s="916"/>
      <c r="F151" s="1562"/>
      <c r="G151" s="1562"/>
      <c r="H151" s="287"/>
      <c r="N151" s="1292"/>
      <c r="P151" s="1292"/>
      <c r="Q151" s="1562"/>
      <c r="R151" s="1562"/>
      <c r="S151" s="1292"/>
      <c r="T151" s="1292"/>
      <c r="U151" s="1292"/>
      <c r="V151" s="1292"/>
      <c r="W151" s="1562"/>
      <c r="X151" s="1292"/>
      <c r="Y151" s="1292"/>
      <c r="Z151" s="480"/>
      <c r="AA151" s="1292"/>
      <c r="AB151" s="1292"/>
      <c r="AC151" s="1292"/>
      <c r="AD151" s="1292"/>
      <c r="AE151" s="1292"/>
      <c r="AF151" s="1558"/>
      <c r="AG151" s="558"/>
      <c r="AH151" s="558"/>
      <c r="AI151" s="558"/>
      <c r="AJ151" s="558"/>
      <c r="AK151" s="1567">
        <v>11</v>
      </c>
    </row>
    <row r="152" spans="1:37" s="1567" customFormat="1" ht="11.45" customHeight="1">
      <c r="A152" s="916"/>
      <c r="B152" s="916"/>
      <c r="C152" s="916"/>
      <c r="D152" s="916"/>
      <c r="E152" s="916"/>
      <c r="F152" s="1562"/>
      <c r="G152" s="1562"/>
      <c r="H152" s="287"/>
      <c r="N152" s="1292"/>
      <c r="P152" s="1292"/>
      <c r="Q152" s="1562"/>
      <c r="R152" s="1562"/>
      <c r="S152" s="1292"/>
      <c r="T152" s="1292"/>
      <c r="U152" s="1292"/>
      <c r="V152" s="1292"/>
      <c r="W152" s="1562"/>
      <c r="X152" s="1292"/>
      <c r="Y152" s="1292"/>
      <c r="Z152" s="480"/>
      <c r="AA152" s="1292"/>
      <c r="AB152" s="1292"/>
      <c r="AC152" s="1292"/>
      <c r="AD152" s="1292"/>
      <c r="AE152" s="1292"/>
      <c r="AF152" s="1558"/>
      <c r="AG152" s="558"/>
      <c r="AH152" s="558"/>
      <c r="AI152" s="558"/>
      <c r="AJ152" s="558"/>
      <c r="AK152" s="1567">
        <v>11</v>
      </c>
    </row>
    <row r="153" spans="1:37" s="1567" customFormat="1" ht="11.45" customHeight="1">
      <c r="A153" s="916"/>
      <c r="B153" s="916"/>
      <c r="C153" s="916"/>
      <c r="D153" s="916"/>
      <c r="E153" s="916"/>
      <c r="F153" s="1562"/>
      <c r="G153" s="1562"/>
      <c r="H153" s="287"/>
      <c r="N153" s="1292"/>
      <c r="P153" s="1292"/>
      <c r="Q153" s="1562"/>
      <c r="R153" s="1562"/>
      <c r="S153" s="1292"/>
      <c r="T153" s="1292"/>
      <c r="U153" s="1292"/>
      <c r="V153" s="1292"/>
      <c r="W153" s="1562"/>
      <c r="X153" s="1292"/>
      <c r="Y153" s="1292"/>
      <c r="Z153" s="480"/>
      <c r="AA153" s="1292"/>
      <c r="AB153" s="1292"/>
      <c r="AC153" s="1292"/>
      <c r="AD153" s="1292"/>
      <c r="AE153" s="1292"/>
      <c r="AF153" s="1558"/>
      <c r="AG153" s="558"/>
      <c r="AH153" s="558"/>
      <c r="AI153" s="558"/>
      <c r="AJ153" s="558"/>
      <c r="AK153" s="1567">
        <v>11</v>
      </c>
    </row>
    <row r="154" spans="1:37" s="1567" customFormat="1" ht="11.45" customHeight="1">
      <c r="A154" s="916"/>
      <c r="B154" s="916"/>
      <c r="C154" s="916"/>
      <c r="D154" s="916"/>
      <c r="E154" s="916"/>
      <c r="F154" s="1562"/>
      <c r="G154" s="1562"/>
      <c r="H154" s="287"/>
      <c r="N154" s="1292"/>
      <c r="P154" s="1292"/>
      <c r="Q154" s="1562"/>
      <c r="R154" s="1562"/>
      <c r="S154" s="1292"/>
      <c r="T154" s="1292"/>
      <c r="U154" s="1292"/>
      <c r="V154" s="1292"/>
      <c r="W154" s="1562"/>
      <c r="X154" s="1292"/>
      <c r="Y154" s="1292"/>
      <c r="Z154" s="480"/>
      <c r="AA154" s="1292"/>
      <c r="AB154" s="1292"/>
      <c r="AC154" s="1292"/>
      <c r="AD154" s="1292"/>
      <c r="AE154" s="1292"/>
      <c r="AF154" s="1558"/>
      <c r="AG154" s="558"/>
      <c r="AH154" s="558"/>
      <c r="AI154" s="558"/>
      <c r="AJ154" s="558"/>
      <c r="AK154" s="1567">
        <v>11</v>
      </c>
    </row>
    <row r="155" spans="1:37" s="1567" customFormat="1" ht="11.45" customHeight="1">
      <c r="A155" s="916"/>
      <c r="B155" s="916"/>
      <c r="C155" s="916"/>
      <c r="D155" s="916"/>
      <c r="E155" s="916"/>
      <c r="F155" s="1562"/>
      <c r="G155" s="1562"/>
      <c r="H155" s="287"/>
      <c r="N155" s="1292"/>
      <c r="P155" s="1292"/>
      <c r="Q155" s="1562"/>
      <c r="R155" s="1562"/>
      <c r="S155" s="1292"/>
      <c r="T155" s="1292"/>
      <c r="U155" s="1292"/>
      <c r="V155" s="1292"/>
      <c r="W155" s="1562"/>
      <c r="X155" s="1292"/>
      <c r="Y155" s="1292"/>
      <c r="Z155" s="480"/>
      <c r="AA155" s="1292"/>
      <c r="AB155" s="1292"/>
      <c r="AC155" s="1292"/>
      <c r="AD155" s="1292"/>
      <c r="AE155" s="1292"/>
      <c r="AF155" s="1558"/>
      <c r="AG155" s="558"/>
      <c r="AH155" s="558"/>
      <c r="AI155" s="558"/>
      <c r="AJ155" s="558"/>
      <c r="AK155" s="1567">
        <v>11</v>
      </c>
    </row>
    <row r="156" spans="1:37" s="1567" customFormat="1" ht="11.45" customHeight="1">
      <c r="A156" s="916"/>
      <c r="B156" s="916"/>
      <c r="C156" s="916"/>
      <c r="D156" s="916"/>
      <c r="E156" s="916"/>
      <c r="F156" s="1562"/>
      <c r="G156" s="1562"/>
      <c r="H156" s="287"/>
      <c r="N156" s="1292"/>
      <c r="P156" s="1292"/>
      <c r="Q156" s="1562"/>
      <c r="R156" s="1562"/>
      <c r="S156" s="1292"/>
      <c r="T156" s="1292"/>
      <c r="U156" s="1292"/>
      <c r="V156" s="1292"/>
      <c r="W156" s="1562"/>
      <c r="X156" s="1292"/>
      <c r="Y156" s="1292"/>
      <c r="Z156" s="480"/>
      <c r="AA156" s="1292"/>
      <c r="AB156" s="1292"/>
      <c r="AC156" s="1292"/>
      <c r="AD156" s="1292"/>
      <c r="AE156" s="1292"/>
      <c r="AF156" s="1558"/>
      <c r="AG156" s="558"/>
      <c r="AH156" s="558"/>
      <c r="AI156" s="558"/>
      <c r="AJ156" s="558"/>
      <c r="AK156" s="1567">
        <v>11</v>
      </c>
    </row>
    <row r="157" spans="1:37" s="1567" customFormat="1" ht="11.45" customHeight="1">
      <c r="A157" s="916"/>
      <c r="B157" s="916"/>
      <c r="C157" s="916"/>
      <c r="D157" s="916"/>
      <c r="E157" s="916"/>
      <c r="F157" s="1562"/>
      <c r="G157" s="1562"/>
      <c r="H157" s="287"/>
      <c r="N157" s="1292"/>
      <c r="P157" s="1292"/>
      <c r="Q157" s="1562"/>
      <c r="R157" s="1562"/>
      <c r="S157" s="1292"/>
      <c r="T157" s="1292"/>
      <c r="U157" s="1292"/>
      <c r="V157" s="1292"/>
      <c r="W157" s="1562"/>
      <c r="X157" s="1292"/>
      <c r="Y157" s="1292"/>
      <c r="Z157" s="480"/>
      <c r="AA157" s="1292"/>
      <c r="AB157" s="1292"/>
      <c r="AC157" s="1292"/>
      <c r="AD157" s="1292"/>
      <c r="AE157" s="1292"/>
      <c r="AF157" s="1558"/>
      <c r="AG157" s="558"/>
      <c r="AH157" s="558"/>
      <c r="AI157" s="558"/>
      <c r="AJ157" s="558"/>
      <c r="AK157" s="1567">
        <v>11</v>
      </c>
    </row>
    <row r="158" spans="1:37" s="1567" customFormat="1" ht="11.45" customHeight="1">
      <c r="A158" s="916"/>
      <c r="B158" s="916"/>
      <c r="C158" s="916"/>
      <c r="D158" s="916"/>
      <c r="E158" s="916"/>
      <c r="F158" s="1562"/>
      <c r="G158" s="1562"/>
      <c r="H158" s="287"/>
      <c r="N158" s="1292"/>
      <c r="P158" s="1292"/>
      <c r="Q158" s="1562"/>
      <c r="R158" s="1562"/>
      <c r="S158" s="1292"/>
      <c r="T158" s="1292"/>
      <c r="U158" s="1292"/>
      <c r="V158" s="1292"/>
      <c r="W158" s="1562"/>
      <c r="X158" s="1292"/>
      <c r="Y158" s="1292"/>
      <c r="Z158" s="480"/>
      <c r="AA158" s="1292"/>
      <c r="AB158" s="1292"/>
      <c r="AC158" s="1292"/>
      <c r="AD158" s="1292"/>
      <c r="AE158" s="1292"/>
      <c r="AF158" s="1558"/>
      <c r="AG158" s="558"/>
      <c r="AH158" s="558"/>
      <c r="AI158" s="558"/>
      <c r="AJ158" s="558"/>
      <c r="AK158" s="1567">
        <v>11</v>
      </c>
    </row>
    <row r="159" spans="1:37" s="1567" customFormat="1" ht="11.45" customHeight="1">
      <c r="A159" s="916"/>
      <c r="B159" s="916"/>
      <c r="C159" s="916"/>
      <c r="D159" s="916"/>
      <c r="E159" s="916"/>
      <c r="F159" s="1562"/>
      <c r="G159" s="1562"/>
      <c r="H159" s="287"/>
      <c r="N159" s="1292"/>
      <c r="P159" s="1292"/>
      <c r="Q159" s="1562"/>
      <c r="R159" s="1562"/>
      <c r="S159" s="1292"/>
      <c r="T159" s="1292"/>
      <c r="U159" s="1292"/>
      <c r="V159" s="1292"/>
      <c r="W159" s="1562"/>
      <c r="X159" s="1292"/>
      <c r="Y159" s="1292"/>
      <c r="Z159" s="480"/>
      <c r="AA159" s="1292"/>
      <c r="AB159" s="1292"/>
      <c r="AC159" s="1292"/>
      <c r="AD159" s="1292"/>
      <c r="AE159" s="1292"/>
      <c r="AF159" s="1558"/>
      <c r="AG159" s="558"/>
      <c r="AH159" s="558"/>
      <c r="AI159" s="558"/>
      <c r="AJ159" s="558"/>
      <c r="AK159" s="1567">
        <v>11</v>
      </c>
    </row>
    <row r="160" spans="1:37" s="1567" customFormat="1" ht="11.45" customHeight="1">
      <c r="A160" s="916"/>
      <c r="B160" s="916"/>
      <c r="C160" s="916"/>
      <c r="D160" s="916"/>
      <c r="E160" s="916"/>
      <c r="F160" s="1562"/>
      <c r="G160" s="1562"/>
      <c r="H160" s="287"/>
      <c r="N160" s="1292"/>
      <c r="P160" s="1292"/>
      <c r="Q160" s="1562"/>
      <c r="R160" s="1562"/>
      <c r="S160" s="1292"/>
      <c r="T160" s="1292"/>
      <c r="U160" s="1292"/>
      <c r="V160" s="1292"/>
      <c r="W160" s="1562"/>
      <c r="X160" s="1292"/>
      <c r="Y160" s="1292"/>
      <c r="Z160" s="480"/>
      <c r="AA160" s="1292"/>
      <c r="AB160" s="1292"/>
      <c r="AC160" s="1292"/>
      <c r="AD160" s="1292"/>
      <c r="AE160" s="1292"/>
      <c r="AF160" s="1558"/>
      <c r="AG160" s="558"/>
      <c r="AH160" s="558"/>
      <c r="AI160" s="558"/>
      <c r="AJ160" s="558"/>
      <c r="AK160" s="1567">
        <v>11</v>
      </c>
    </row>
    <row r="161" spans="1:37" s="1567" customFormat="1" ht="11.45" customHeight="1">
      <c r="A161" s="916"/>
      <c r="B161" s="916"/>
      <c r="C161" s="916"/>
      <c r="D161" s="916"/>
      <c r="E161" s="916"/>
      <c r="F161" s="1562"/>
      <c r="G161" s="1562"/>
      <c r="H161" s="287"/>
      <c r="N161" s="1292"/>
      <c r="P161" s="1292"/>
      <c r="Q161" s="1562"/>
      <c r="R161" s="1562"/>
      <c r="S161" s="1292"/>
      <c r="T161" s="1292"/>
      <c r="U161" s="1292"/>
      <c r="V161" s="1292"/>
      <c r="W161" s="1562"/>
      <c r="X161" s="1292"/>
      <c r="Y161" s="1292"/>
      <c r="Z161" s="480"/>
      <c r="AA161" s="1292"/>
      <c r="AB161" s="1292"/>
      <c r="AC161" s="1292"/>
      <c r="AD161" s="1292"/>
      <c r="AE161" s="1292"/>
      <c r="AF161" s="1558"/>
      <c r="AG161" s="558"/>
      <c r="AH161" s="558"/>
      <c r="AI161" s="558"/>
      <c r="AJ161" s="558"/>
      <c r="AK161" s="1567">
        <v>11</v>
      </c>
    </row>
    <row r="162" spans="1:37" s="1567" customFormat="1" ht="11.45" customHeight="1">
      <c r="A162" s="916"/>
      <c r="B162" s="916"/>
      <c r="C162" s="916"/>
      <c r="D162" s="916"/>
      <c r="E162" s="916"/>
      <c r="F162" s="1562"/>
      <c r="G162" s="1562"/>
      <c r="H162" s="287"/>
      <c r="N162" s="1292"/>
      <c r="P162" s="1292"/>
      <c r="Q162" s="1562"/>
      <c r="R162" s="1562"/>
      <c r="S162" s="1292"/>
      <c r="T162" s="1292"/>
      <c r="U162" s="1292"/>
      <c r="V162" s="1292"/>
      <c r="W162" s="1562"/>
      <c r="X162" s="1292"/>
      <c r="Y162" s="1292"/>
      <c r="Z162" s="480"/>
      <c r="AA162" s="1292"/>
      <c r="AB162" s="1292"/>
      <c r="AC162" s="1292"/>
      <c r="AD162" s="1292"/>
      <c r="AE162" s="1292"/>
      <c r="AF162" s="1558"/>
      <c r="AG162" s="558"/>
      <c r="AH162" s="558"/>
      <c r="AI162" s="558"/>
      <c r="AJ162" s="558"/>
      <c r="AK162" s="1567">
        <v>11</v>
      </c>
    </row>
    <row r="163" spans="1:37" s="1567" customFormat="1" ht="11.45" customHeight="1">
      <c r="A163" s="916"/>
      <c r="B163" s="916"/>
      <c r="C163" s="916"/>
      <c r="D163" s="916"/>
      <c r="E163" s="916"/>
      <c r="F163" s="1562"/>
      <c r="G163" s="1562"/>
      <c r="H163" s="287"/>
      <c r="N163" s="1292"/>
      <c r="P163" s="1292"/>
      <c r="Q163" s="1562"/>
      <c r="R163" s="1562"/>
      <c r="S163" s="1292"/>
      <c r="T163" s="1292"/>
      <c r="U163" s="1292"/>
      <c r="V163" s="1292"/>
      <c r="W163" s="1562"/>
      <c r="X163" s="1292"/>
      <c r="Y163" s="1292"/>
      <c r="Z163" s="480"/>
      <c r="AA163" s="1292"/>
      <c r="AB163" s="1292"/>
      <c r="AC163" s="1292"/>
      <c r="AD163" s="1292"/>
      <c r="AE163" s="1292"/>
      <c r="AF163" s="1558"/>
      <c r="AG163" s="558"/>
      <c r="AH163" s="558"/>
      <c r="AI163" s="558"/>
      <c r="AJ163" s="558"/>
      <c r="AK163" s="1567">
        <v>11</v>
      </c>
    </row>
    <row r="164" spans="1:37" s="1567" customFormat="1" ht="11.45" customHeight="1">
      <c r="A164" s="916"/>
      <c r="B164" s="916"/>
      <c r="C164" s="916"/>
      <c r="D164" s="916"/>
      <c r="E164" s="916"/>
      <c r="F164" s="1562"/>
      <c r="G164" s="1562"/>
      <c r="H164" s="287"/>
      <c r="N164" s="1292"/>
      <c r="P164" s="1292"/>
      <c r="Q164" s="1562"/>
      <c r="R164" s="1562"/>
      <c r="S164" s="1292"/>
      <c r="T164" s="1292"/>
      <c r="U164" s="1292"/>
      <c r="V164" s="1292"/>
      <c r="W164" s="1562"/>
      <c r="X164" s="1292"/>
      <c r="Y164" s="1292"/>
      <c r="Z164" s="480"/>
      <c r="AA164" s="1292"/>
      <c r="AB164" s="1292"/>
      <c r="AC164" s="1292"/>
      <c r="AD164" s="1292"/>
      <c r="AE164" s="1292"/>
      <c r="AF164" s="1558"/>
      <c r="AG164" s="558"/>
      <c r="AH164" s="558"/>
      <c r="AI164" s="558"/>
      <c r="AJ164" s="558"/>
      <c r="AK164" s="1567">
        <v>11</v>
      </c>
    </row>
    <row r="165" spans="1:37" s="1567" customFormat="1" ht="11.45" customHeight="1">
      <c r="A165" s="916"/>
      <c r="B165" s="916"/>
      <c r="C165" s="916"/>
      <c r="D165" s="916"/>
      <c r="E165" s="916"/>
      <c r="F165" s="1562"/>
      <c r="G165" s="1562"/>
      <c r="H165" s="287"/>
      <c r="N165" s="1292"/>
      <c r="P165" s="1292"/>
      <c r="Q165" s="1562"/>
      <c r="R165" s="1562"/>
      <c r="S165" s="1292"/>
      <c r="T165" s="1292"/>
      <c r="U165" s="1292"/>
      <c r="V165" s="1292"/>
      <c r="W165" s="1562"/>
      <c r="X165" s="1292"/>
      <c r="Y165" s="1292"/>
      <c r="Z165" s="480"/>
      <c r="AA165" s="1292"/>
      <c r="AB165" s="1292"/>
      <c r="AC165" s="1292"/>
      <c r="AD165" s="1292"/>
      <c r="AE165" s="1292"/>
      <c r="AF165" s="1558"/>
      <c r="AG165" s="558"/>
      <c r="AH165" s="558"/>
      <c r="AI165" s="558"/>
      <c r="AJ165" s="558"/>
      <c r="AK165" s="1567">
        <v>11</v>
      </c>
    </row>
    <row r="166" spans="1:37" s="1567" customFormat="1" ht="11.45" customHeight="1">
      <c r="A166" s="916"/>
      <c r="B166" s="916"/>
      <c r="C166" s="916"/>
      <c r="D166" s="916"/>
      <c r="E166" s="916"/>
      <c r="F166" s="1562"/>
      <c r="G166" s="1562"/>
      <c r="H166" s="287"/>
      <c r="N166" s="1292"/>
      <c r="P166" s="1292"/>
      <c r="Q166" s="1562"/>
      <c r="R166" s="1562"/>
      <c r="S166" s="1292"/>
      <c r="T166" s="1292"/>
      <c r="U166" s="1292"/>
      <c r="V166" s="1292"/>
      <c r="W166" s="1562"/>
      <c r="X166" s="1292"/>
      <c r="Y166" s="1292"/>
      <c r="Z166" s="480"/>
      <c r="AA166" s="1292"/>
      <c r="AB166" s="1292"/>
      <c r="AC166" s="1292"/>
      <c r="AD166" s="1292"/>
      <c r="AE166" s="1292"/>
      <c r="AF166" s="1558"/>
      <c r="AG166" s="558"/>
      <c r="AH166" s="558"/>
      <c r="AI166" s="558"/>
      <c r="AJ166" s="558"/>
      <c r="AK166" s="1567">
        <v>11</v>
      </c>
    </row>
    <row r="167" spans="1:37" s="1567" customFormat="1" ht="11.45" customHeight="1">
      <c r="A167" s="916"/>
      <c r="B167" s="916"/>
      <c r="C167" s="916"/>
      <c r="D167" s="916"/>
      <c r="E167" s="916"/>
      <c r="F167" s="1562"/>
      <c r="G167" s="1562"/>
      <c r="H167" s="287"/>
      <c r="N167" s="1292"/>
      <c r="P167" s="1292"/>
      <c r="Q167" s="1562"/>
      <c r="R167" s="1562"/>
      <c r="S167" s="1292"/>
      <c r="T167" s="1292"/>
      <c r="U167" s="1292"/>
      <c r="V167" s="1292"/>
      <c r="W167" s="1562"/>
      <c r="X167" s="1292"/>
      <c r="Y167" s="1292"/>
      <c r="Z167" s="480"/>
      <c r="AA167" s="1292"/>
      <c r="AB167" s="1292"/>
      <c r="AC167" s="1292"/>
      <c r="AD167" s="1292"/>
      <c r="AE167" s="1292"/>
      <c r="AF167" s="1558"/>
      <c r="AG167" s="558"/>
      <c r="AH167" s="558"/>
      <c r="AI167" s="558"/>
      <c r="AJ167" s="558"/>
      <c r="AK167" s="1567">
        <v>11</v>
      </c>
    </row>
    <row r="168" spans="1:37" s="1567" customFormat="1" ht="11.45" customHeight="1">
      <c r="A168" s="916"/>
      <c r="B168" s="916"/>
      <c r="C168" s="916"/>
      <c r="D168" s="916"/>
      <c r="E168" s="916"/>
      <c r="F168" s="1562"/>
      <c r="G168" s="1562"/>
      <c r="H168" s="287"/>
      <c r="N168" s="1292"/>
      <c r="P168" s="1292"/>
      <c r="Q168" s="1562"/>
      <c r="R168" s="1562"/>
      <c r="S168" s="1292"/>
      <c r="T168" s="1292"/>
      <c r="U168" s="1292"/>
      <c r="V168" s="1292"/>
      <c r="W168" s="1562"/>
      <c r="X168" s="1292"/>
      <c r="Y168" s="1292"/>
      <c r="Z168" s="480"/>
      <c r="AA168" s="1292"/>
      <c r="AB168" s="1292"/>
      <c r="AC168" s="1292"/>
      <c r="AD168" s="1292"/>
      <c r="AE168" s="1292"/>
      <c r="AF168" s="1558"/>
      <c r="AG168" s="558"/>
      <c r="AH168" s="558"/>
      <c r="AI168" s="558"/>
      <c r="AJ168" s="558"/>
      <c r="AK168" s="1567">
        <v>11</v>
      </c>
    </row>
    <row r="169" spans="1:37" s="1567" customFormat="1" ht="11.45" customHeight="1">
      <c r="A169" s="916"/>
      <c r="B169" s="916"/>
      <c r="C169" s="916"/>
      <c r="D169" s="916"/>
      <c r="E169" s="916"/>
      <c r="F169" s="1562"/>
      <c r="G169" s="1562"/>
      <c r="H169" s="287"/>
      <c r="N169" s="1292"/>
      <c r="P169" s="1292"/>
      <c r="Q169" s="1562"/>
      <c r="R169" s="1562"/>
      <c r="S169" s="1292"/>
      <c r="T169" s="1292"/>
      <c r="U169" s="1292"/>
      <c r="V169" s="1292"/>
      <c r="W169" s="1562"/>
      <c r="X169" s="1292"/>
      <c r="Y169" s="1292"/>
      <c r="Z169" s="480"/>
      <c r="AA169" s="1292"/>
      <c r="AB169" s="1292"/>
      <c r="AC169" s="1292"/>
      <c r="AD169" s="1292"/>
      <c r="AE169" s="1292"/>
      <c r="AF169" s="1558"/>
      <c r="AG169" s="558"/>
      <c r="AH169" s="558"/>
      <c r="AI169" s="558"/>
      <c r="AJ169" s="558"/>
      <c r="AK169" s="1567">
        <v>11</v>
      </c>
    </row>
    <row r="170" spans="1:37" s="1567" customFormat="1" ht="11.45" customHeight="1">
      <c r="A170" s="916"/>
      <c r="B170" s="916"/>
      <c r="C170" s="916"/>
      <c r="D170" s="916"/>
      <c r="E170" s="916"/>
      <c r="F170" s="1562"/>
      <c r="G170" s="1562"/>
      <c r="H170" s="287"/>
      <c r="N170" s="1292"/>
      <c r="P170" s="1292"/>
      <c r="Q170" s="1562"/>
      <c r="R170" s="1562"/>
      <c r="S170" s="1292"/>
      <c r="T170" s="1292"/>
      <c r="U170" s="1292"/>
      <c r="V170" s="1292"/>
      <c r="W170" s="1562"/>
      <c r="X170" s="1292"/>
      <c r="Y170" s="1292"/>
      <c r="Z170" s="480"/>
      <c r="AA170" s="1292"/>
      <c r="AB170" s="1292"/>
      <c r="AC170" s="1292"/>
      <c r="AD170" s="1292"/>
      <c r="AE170" s="1292"/>
      <c r="AF170" s="1558"/>
      <c r="AG170" s="558"/>
      <c r="AH170" s="558"/>
      <c r="AI170" s="558"/>
      <c r="AJ170" s="558"/>
      <c r="AK170" s="1567">
        <v>11</v>
      </c>
    </row>
    <row r="171" spans="1:37" s="1567" customFormat="1" ht="11.45" customHeight="1">
      <c r="A171" s="916"/>
      <c r="B171" s="916"/>
      <c r="C171" s="916"/>
      <c r="D171" s="916"/>
      <c r="E171" s="916"/>
      <c r="F171" s="1562"/>
      <c r="G171" s="1562"/>
      <c r="H171" s="287"/>
      <c r="N171" s="1292"/>
      <c r="P171" s="1292"/>
      <c r="Q171" s="1562"/>
      <c r="R171" s="1562"/>
      <c r="S171" s="1292"/>
      <c r="T171" s="1292"/>
      <c r="U171" s="1292"/>
      <c r="V171" s="1292"/>
      <c r="W171" s="1562"/>
      <c r="X171" s="1292"/>
      <c r="Y171" s="1292"/>
      <c r="Z171" s="480"/>
      <c r="AA171" s="1292"/>
      <c r="AB171" s="1292"/>
      <c r="AC171" s="1292"/>
      <c r="AD171" s="1292"/>
      <c r="AE171" s="1292"/>
      <c r="AF171" s="1558"/>
      <c r="AG171" s="558"/>
      <c r="AH171" s="558"/>
      <c r="AI171" s="558"/>
      <c r="AJ171" s="558"/>
      <c r="AK171" s="1567">
        <v>11</v>
      </c>
    </row>
    <row r="172" spans="1:37" s="1567" customFormat="1" ht="11.45" customHeight="1">
      <c r="A172" s="916"/>
      <c r="B172" s="916"/>
      <c r="C172" s="916"/>
      <c r="D172" s="916"/>
      <c r="E172" s="916"/>
      <c r="F172" s="1562"/>
      <c r="G172" s="1562"/>
      <c r="H172" s="287"/>
      <c r="N172" s="1292"/>
      <c r="P172" s="1292"/>
      <c r="Q172" s="1562"/>
      <c r="R172" s="1562"/>
      <c r="S172" s="1292"/>
      <c r="T172" s="1292"/>
      <c r="U172" s="1292"/>
      <c r="V172" s="1292"/>
      <c r="W172" s="1562"/>
      <c r="X172" s="1292"/>
      <c r="Y172" s="1292"/>
      <c r="Z172" s="480"/>
      <c r="AA172" s="1292"/>
      <c r="AB172" s="1292"/>
      <c r="AC172" s="1292"/>
      <c r="AD172" s="1292"/>
      <c r="AE172" s="1292"/>
      <c r="AF172" s="1558"/>
      <c r="AG172" s="558"/>
      <c r="AH172" s="558"/>
      <c r="AI172" s="558"/>
      <c r="AJ172" s="558"/>
      <c r="AK172" s="1567">
        <v>11</v>
      </c>
    </row>
    <row r="173" spans="1:37" s="1567" customFormat="1" ht="11.45" customHeight="1">
      <c r="A173" s="916"/>
      <c r="B173" s="916"/>
      <c r="C173" s="916"/>
      <c r="D173" s="916"/>
      <c r="E173" s="916"/>
      <c r="F173" s="1562"/>
      <c r="G173" s="1562"/>
      <c r="H173" s="287"/>
      <c r="N173" s="1292"/>
      <c r="P173" s="1292"/>
      <c r="Q173" s="1562"/>
      <c r="R173" s="1562"/>
      <c r="S173" s="1292"/>
      <c r="T173" s="1292"/>
      <c r="U173" s="1292"/>
      <c r="V173" s="1292"/>
      <c r="W173" s="1562"/>
      <c r="X173" s="1292"/>
      <c r="Y173" s="1292"/>
      <c r="Z173" s="480"/>
      <c r="AA173" s="1292"/>
      <c r="AB173" s="1292"/>
      <c r="AC173" s="1292"/>
      <c r="AD173" s="1292"/>
      <c r="AE173" s="1292"/>
      <c r="AF173" s="1558"/>
      <c r="AG173" s="558"/>
      <c r="AH173" s="558"/>
      <c r="AI173" s="558"/>
      <c r="AJ173" s="558"/>
      <c r="AK173" s="1567">
        <v>11</v>
      </c>
    </row>
    <row r="174" spans="1:37" s="1567" customFormat="1" ht="11.45" customHeight="1">
      <c r="A174" s="916"/>
      <c r="B174" s="916"/>
      <c r="C174" s="916"/>
      <c r="D174" s="916"/>
      <c r="E174" s="916"/>
      <c r="F174" s="1562"/>
      <c r="G174" s="1562"/>
      <c r="H174" s="287"/>
      <c r="N174" s="1292"/>
      <c r="P174" s="1292"/>
      <c r="Q174" s="1562"/>
      <c r="R174" s="1562"/>
      <c r="S174" s="1292"/>
      <c r="T174" s="1292"/>
      <c r="U174" s="1292"/>
      <c r="V174" s="1292"/>
      <c r="W174" s="1562"/>
      <c r="X174" s="1292"/>
      <c r="Y174" s="1292"/>
      <c r="Z174" s="480"/>
      <c r="AA174" s="1292"/>
      <c r="AB174" s="1292"/>
      <c r="AC174" s="1292"/>
      <c r="AD174" s="1292"/>
      <c r="AE174" s="1292"/>
      <c r="AF174" s="1558"/>
      <c r="AG174" s="558"/>
      <c r="AH174" s="558"/>
      <c r="AI174" s="558"/>
      <c r="AJ174" s="558"/>
      <c r="AK174" s="1567">
        <v>11</v>
      </c>
    </row>
    <row r="175" spans="1:37" s="1567" customFormat="1" ht="11.45" customHeight="1">
      <c r="A175" s="916"/>
      <c r="B175" s="916"/>
      <c r="C175" s="916"/>
      <c r="D175" s="916"/>
      <c r="E175" s="916"/>
      <c r="F175" s="1562"/>
      <c r="G175" s="1562"/>
      <c r="H175" s="287"/>
      <c r="N175" s="1292"/>
      <c r="P175" s="1292"/>
      <c r="Q175" s="1562"/>
      <c r="R175" s="1562"/>
      <c r="S175" s="1292"/>
      <c r="T175" s="1292"/>
      <c r="U175" s="1292"/>
      <c r="V175" s="1292"/>
      <c r="W175" s="1562"/>
      <c r="X175" s="1292"/>
      <c r="Y175" s="1292"/>
      <c r="Z175" s="480"/>
      <c r="AA175" s="1292"/>
      <c r="AB175" s="1292"/>
      <c r="AC175" s="1292"/>
      <c r="AD175" s="1292"/>
      <c r="AE175" s="1292"/>
      <c r="AF175" s="1558"/>
      <c r="AG175" s="558"/>
      <c r="AH175" s="558"/>
      <c r="AI175" s="558"/>
      <c r="AJ175" s="558"/>
      <c r="AK175" s="1567">
        <v>11</v>
      </c>
    </row>
    <row r="176" spans="1:37" s="1567" customFormat="1" ht="11.45" customHeight="1">
      <c r="A176" s="916"/>
      <c r="B176" s="916"/>
      <c r="C176" s="916"/>
      <c r="D176" s="916"/>
      <c r="E176" s="916"/>
      <c r="F176" s="1562"/>
      <c r="G176" s="1562"/>
      <c r="H176" s="287"/>
      <c r="N176" s="1292"/>
      <c r="P176" s="1292"/>
      <c r="Q176" s="1562"/>
      <c r="R176" s="1562"/>
      <c r="S176" s="1292"/>
      <c r="T176" s="1292"/>
      <c r="U176" s="1292"/>
      <c r="V176" s="1292"/>
      <c r="W176" s="1562"/>
      <c r="X176" s="1292"/>
      <c r="Y176" s="1292"/>
      <c r="Z176" s="480"/>
      <c r="AA176" s="1292"/>
      <c r="AB176" s="1292"/>
      <c r="AC176" s="1292"/>
      <c r="AD176" s="1292"/>
      <c r="AE176" s="1292"/>
      <c r="AF176" s="1558"/>
      <c r="AG176" s="558"/>
      <c r="AH176" s="558"/>
      <c r="AI176" s="558"/>
      <c r="AJ176" s="558"/>
      <c r="AK176" s="1567">
        <v>11</v>
      </c>
    </row>
    <row r="177" spans="1:37" s="1567" customFormat="1" ht="11.45" customHeight="1">
      <c r="A177" s="916"/>
      <c r="B177" s="916"/>
      <c r="C177" s="916"/>
      <c r="D177" s="916"/>
      <c r="E177" s="916"/>
      <c r="F177" s="1562"/>
      <c r="G177" s="1562"/>
      <c r="H177" s="287"/>
      <c r="N177" s="1292"/>
      <c r="P177" s="1292"/>
      <c r="Q177" s="1562"/>
      <c r="R177" s="1562"/>
      <c r="S177" s="1292"/>
      <c r="T177" s="1292"/>
      <c r="U177" s="1292"/>
      <c r="V177" s="1292"/>
      <c r="W177" s="1562"/>
      <c r="X177" s="1292"/>
      <c r="Y177" s="1292"/>
      <c r="Z177" s="480"/>
      <c r="AA177" s="1292"/>
      <c r="AB177" s="1292"/>
      <c r="AC177" s="1292"/>
      <c r="AD177" s="1292"/>
      <c r="AE177" s="1292"/>
      <c r="AF177" s="1558"/>
      <c r="AG177" s="558"/>
      <c r="AH177" s="558"/>
      <c r="AI177" s="558"/>
      <c r="AJ177" s="558"/>
      <c r="AK177" s="1567">
        <v>11</v>
      </c>
    </row>
    <row r="178" spans="1:37" s="1567" customFormat="1" ht="11.45" customHeight="1">
      <c r="A178" s="916"/>
      <c r="B178" s="916"/>
      <c r="C178" s="916"/>
      <c r="D178" s="916"/>
      <c r="E178" s="916"/>
      <c r="F178" s="1562"/>
      <c r="G178" s="1562"/>
      <c r="H178" s="287"/>
      <c r="N178" s="1292"/>
      <c r="P178" s="1292"/>
      <c r="Q178" s="1562"/>
      <c r="R178" s="1562"/>
      <c r="S178" s="1292"/>
      <c r="T178" s="1292"/>
      <c r="U178" s="1292"/>
      <c r="V178" s="1292"/>
      <c r="W178" s="1562"/>
      <c r="X178" s="1292"/>
      <c r="Y178" s="1292"/>
      <c r="Z178" s="480"/>
      <c r="AA178" s="1292"/>
      <c r="AB178" s="1292"/>
      <c r="AC178" s="1292"/>
      <c r="AD178" s="1292"/>
      <c r="AE178" s="1292"/>
      <c r="AF178" s="1558"/>
      <c r="AG178" s="558"/>
      <c r="AH178" s="558"/>
      <c r="AI178" s="558"/>
      <c r="AJ178" s="558"/>
      <c r="AK178" s="1567">
        <v>11</v>
      </c>
    </row>
    <row r="179" spans="1:37" s="1567" customFormat="1" ht="11.45" customHeight="1">
      <c r="A179" s="916"/>
      <c r="B179" s="916"/>
      <c r="C179" s="916"/>
      <c r="D179" s="916"/>
      <c r="E179" s="916"/>
      <c r="F179" s="1562"/>
      <c r="G179" s="1562"/>
      <c r="H179" s="287"/>
      <c r="N179" s="1292"/>
      <c r="P179" s="1292"/>
      <c r="Q179" s="1562"/>
      <c r="R179" s="1562"/>
      <c r="S179" s="1292"/>
      <c r="T179" s="1292"/>
      <c r="U179" s="1292"/>
      <c r="V179" s="1292"/>
      <c r="W179" s="1562"/>
      <c r="X179" s="1292"/>
      <c r="Y179" s="1292"/>
      <c r="Z179" s="480"/>
      <c r="AA179" s="1292"/>
      <c r="AB179" s="1292"/>
      <c r="AC179" s="1292"/>
      <c r="AD179" s="1292"/>
      <c r="AE179" s="1292"/>
      <c r="AF179" s="1558"/>
      <c r="AG179" s="558"/>
      <c r="AH179" s="558"/>
      <c r="AI179" s="558"/>
      <c r="AJ179" s="558"/>
      <c r="AK179" s="1567">
        <v>11</v>
      </c>
    </row>
    <row r="180" spans="1:37" s="1567" customFormat="1" ht="11.45" customHeight="1">
      <c r="A180" s="916"/>
      <c r="B180" s="916"/>
      <c r="C180" s="916"/>
      <c r="D180" s="916"/>
      <c r="E180" s="916"/>
      <c r="F180" s="1562"/>
      <c r="G180" s="1562"/>
      <c r="H180" s="287"/>
      <c r="N180" s="1292"/>
      <c r="P180" s="1292"/>
      <c r="Q180" s="1562"/>
      <c r="R180" s="1562"/>
      <c r="S180" s="1292"/>
      <c r="T180" s="1292"/>
      <c r="U180" s="1292"/>
      <c r="V180" s="1292"/>
      <c r="W180" s="1562"/>
      <c r="X180" s="1292"/>
      <c r="Y180" s="1292"/>
      <c r="Z180" s="480"/>
      <c r="AA180" s="1292"/>
      <c r="AB180" s="1292"/>
      <c r="AC180" s="1292"/>
      <c r="AD180" s="1292"/>
      <c r="AE180" s="1292"/>
      <c r="AF180" s="1558"/>
      <c r="AG180" s="558"/>
      <c r="AH180" s="558"/>
      <c r="AI180" s="558"/>
      <c r="AJ180" s="558"/>
      <c r="AK180" s="1567">
        <v>11</v>
      </c>
    </row>
    <row r="181" spans="1:37" s="1567" customFormat="1" ht="11.45" customHeight="1">
      <c r="A181" s="916"/>
      <c r="B181" s="916"/>
      <c r="C181" s="916"/>
      <c r="D181" s="916"/>
      <c r="E181" s="916"/>
      <c r="F181" s="1562"/>
      <c r="G181" s="1562"/>
      <c r="H181" s="287"/>
      <c r="N181" s="1292"/>
      <c r="P181" s="1292"/>
      <c r="Q181" s="1562"/>
      <c r="R181" s="1562"/>
      <c r="S181" s="1292"/>
      <c r="T181" s="1292"/>
      <c r="U181" s="1292"/>
      <c r="V181" s="1292"/>
      <c r="W181" s="1562"/>
      <c r="X181" s="1292"/>
      <c r="Y181" s="1292"/>
      <c r="Z181" s="480"/>
      <c r="AA181" s="1292"/>
      <c r="AB181" s="1292"/>
      <c r="AC181" s="1292"/>
      <c r="AD181" s="1292"/>
      <c r="AE181" s="1292"/>
      <c r="AF181" s="1558"/>
      <c r="AG181" s="558"/>
      <c r="AH181" s="558"/>
      <c r="AI181" s="558"/>
      <c r="AJ181" s="558"/>
      <c r="AK181" s="1567">
        <v>11</v>
      </c>
    </row>
    <row r="182" spans="1:37" s="1567" customFormat="1" ht="11.45" customHeight="1">
      <c r="A182" s="916"/>
      <c r="B182" s="916"/>
      <c r="C182" s="916"/>
      <c r="D182" s="916"/>
      <c r="E182" s="916"/>
      <c r="F182" s="1562"/>
      <c r="G182" s="1562"/>
      <c r="H182" s="287"/>
      <c r="N182" s="1292"/>
      <c r="P182" s="1292"/>
      <c r="Q182" s="1562"/>
      <c r="R182" s="1562"/>
      <c r="S182" s="1292"/>
      <c r="T182" s="1292"/>
      <c r="U182" s="1292"/>
      <c r="V182" s="1292"/>
      <c r="W182" s="1562"/>
      <c r="X182" s="1292"/>
      <c r="Y182" s="1292"/>
      <c r="Z182" s="480"/>
      <c r="AA182" s="1292"/>
      <c r="AB182" s="1292"/>
      <c r="AC182" s="1292"/>
      <c r="AD182" s="1292"/>
      <c r="AE182" s="1292"/>
      <c r="AF182" s="1558"/>
      <c r="AG182" s="558"/>
      <c r="AH182" s="558"/>
      <c r="AI182" s="558"/>
      <c r="AJ182" s="558"/>
      <c r="AK182" s="1567">
        <v>11</v>
      </c>
    </row>
    <row r="183" spans="1:37" s="1567" customFormat="1" ht="11.45" customHeight="1">
      <c r="A183" s="916"/>
      <c r="B183" s="916"/>
      <c r="C183" s="916"/>
      <c r="D183" s="916"/>
      <c r="E183" s="916"/>
      <c r="F183" s="1562"/>
      <c r="G183" s="1562"/>
      <c r="H183" s="287"/>
      <c r="N183" s="1292"/>
      <c r="P183" s="1292"/>
      <c r="Q183" s="1562"/>
      <c r="R183" s="1562"/>
      <c r="S183" s="1292"/>
      <c r="T183" s="1292"/>
      <c r="U183" s="1292"/>
      <c r="V183" s="1292"/>
      <c r="W183" s="1562"/>
      <c r="X183" s="1292"/>
      <c r="Y183" s="1292"/>
      <c r="Z183" s="480"/>
      <c r="AA183" s="1292"/>
      <c r="AB183" s="1292"/>
      <c r="AC183" s="1292"/>
      <c r="AD183" s="1292"/>
      <c r="AE183" s="1292"/>
      <c r="AF183" s="1558"/>
      <c r="AG183" s="558"/>
      <c r="AH183" s="558"/>
      <c r="AI183" s="558"/>
      <c r="AJ183" s="558"/>
      <c r="AK183" s="1567">
        <v>11</v>
      </c>
    </row>
    <row r="184" spans="1:37" s="1567" customFormat="1" ht="11.45" customHeight="1">
      <c r="A184" s="916"/>
      <c r="B184" s="916"/>
      <c r="C184" s="916"/>
      <c r="D184" s="916"/>
      <c r="E184" s="916"/>
      <c r="F184" s="1562"/>
      <c r="G184" s="1562"/>
      <c r="H184" s="287"/>
      <c r="N184" s="1292"/>
      <c r="P184" s="1292"/>
      <c r="Q184" s="1562"/>
      <c r="R184" s="1562"/>
      <c r="S184" s="1292"/>
      <c r="T184" s="1292"/>
      <c r="U184" s="1292"/>
      <c r="V184" s="1292"/>
      <c r="W184" s="1562"/>
      <c r="X184" s="1292"/>
      <c r="Y184" s="1292"/>
      <c r="Z184" s="480"/>
      <c r="AA184" s="1292"/>
      <c r="AB184" s="1292"/>
      <c r="AC184" s="1292"/>
      <c r="AD184" s="1292"/>
      <c r="AE184" s="1292"/>
      <c r="AF184" s="1558"/>
      <c r="AG184" s="558"/>
      <c r="AH184" s="558"/>
      <c r="AI184" s="558"/>
      <c r="AJ184" s="558"/>
      <c r="AK184" s="1567">
        <v>11</v>
      </c>
    </row>
    <row r="185" spans="1:37" s="1567" customFormat="1" ht="11.45" customHeight="1">
      <c r="A185" s="916"/>
      <c r="B185" s="916"/>
      <c r="C185" s="916"/>
      <c r="D185" s="916"/>
      <c r="E185" s="916"/>
      <c r="F185" s="1562"/>
      <c r="G185" s="1562"/>
      <c r="H185" s="287"/>
      <c r="N185" s="1292"/>
      <c r="P185" s="1292"/>
      <c r="Q185" s="1562"/>
      <c r="R185" s="1562"/>
      <c r="S185" s="1292"/>
      <c r="T185" s="1292"/>
      <c r="U185" s="1292"/>
      <c r="V185" s="1292"/>
      <c r="W185" s="1562"/>
      <c r="X185" s="1292"/>
      <c r="Y185" s="1292"/>
      <c r="Z185" s="480"/>
      <c r="AA185" s="1292"/>
      <c r="AB185" s="1292"/>
      <c r="AC185" s="1292"/>
      <c r="AD185" s="1292"/>
      <c r="AE185" s="1292"/>
      <c r="AF185" s="1558"/>
      <c r="AG185" s="558"/>
      <c r="AH185" s="558"/>
      <c r="AI185" s="558"/>
      <c r="AJ185" s="558"/>
      <c r="AK185" s="1567">
        <v>11</v>
      </c>
    </row>
    <row r="186" spans="1:37" s="1567" customFormat="1" ht="11.45" customHeight="1">
      <c r="A186" s="916"/>
      <c r="B186" s="916"/>
      <c r="C186" s="916"/>
      <c r="D186" s="916"/>
      <c r="E186" s="916"/>
      <c r="F186" s="1562"/>
      <c r="G186" s="1562"/>
      <c r="H186" s="287"/>
      <c r="N186" s="1292"/>
      <c r="P186" s="1292"/>
      <c r="Q186" s="1562"/>
      <c r="R186" s="1562"/>
      <c r="S186" s="1292"/>
      <c r="T186" s="1292"/>
      <c r="U186" s="1292"/>
      <c r="V186" s="1292"/>
      <c r="W186" s="1562"/>
      <c r="X186" s="1292"/>
      <c r="Y186" s="1292"/>
      <c r="Z186" s="480"/>
      <c r="AA186" s="1292"/>
      <c r="AB186" s="1292"/>
      <c r="AC186" s="1292"/>
      <c r="AD186" s="1292"/>
      <c r="AE186" s="1292"/>
      <c r="AF186" s="1558"/>
      <c r="AG186" s="558"/>
      <c r="AH186" s="558"/>
      <c r="AI186" s="558"/>
      <c r="AJ186" s="558"/>
      <c r="AK186" s="1567">
        <v>11</v>
      </c>
    </row>
    <row r="187" spans="1:37" s="1567" customFormat="1" ht="11.45" customHeight="1">
      <c r="A187" s="916"/>
      <c r="B187" s="916"/>
      <c r="C187" s="916"/>
      <c r="D187" s="916"/>
      <c r="E187" s="916"/>
      <c r="F187" s="1562"/>
      <c r="G187" s="1562"/>
      <c r="H187" s="287"/>
      <c r="N187" s="1292"/>
      <c r="P187" s="1292"/>
      <c r="Q187" s="1562"/>
      <c r="R187" s="1562"/>
      <c r="S187" s="1292"/>
      <c r="T187" s="1292"/>
      <c r="U187" s="1292"/>
      <c r="V187" s="1292"/>
      <c r="W187" s="1562"/>
      <c r="X187" s="1292"/>
      <c r="Y187" s="1292"/>
      <c r="Z187" s="480"/>
      <c r="AA187" s="1292"/>
      <c r="AB187" s="1292"/>
      <c r="AC187" s="1292"/>
      <c r="AD187" s="1292"/>
      <c r="AE187" s="1292"/>
      <c r="AF187" s="1558"/>
      <c r="AG187" s="558"/>
      <c r="AH187" s="558"/>
      <c r="AI187" s="558"/>
      <c r="AJ187" s="558"/>
      <c r="AK187" s="1567">
        <v>11</v>
      </c>
    </row>
    <row r="188" spans="1:37" s="1567" customFormat="1" ht="11.45" customHeight="1">
      <c r="A188" s="916"/>
      <c r="B188" s="916"/>
      <c r="C188" s="916"/>
      <c r="D188" s="916"/>
      <c r="E188" s="916"/>
      <c r="F188" s="1562"/>
      <c r="G188" s="1562"/>
      <c r="H188" s="287"/>
      <c r="N188" s="1292"/>
      <c r="P188" s="1292"/>
      <c r="Q188" s="1562"/>
      <c r="R188" s="1562"/>
      <c r="S188" s="1292"/>
      <c r="T188" s="1292"/>
      <c r="U188" s="1292"/>
      <c r="V188" s="1292"/>
      <c r="W188" s="1562"/>
      <c r="X188" s="1292"/>
      <c r="Y188" s="1292"/>
      <c r="Z188" s="480"/>
      <c r="AA188" s="1292"/>
      <c r="AB188" s="1292"/>
      <c r="AC188" s="1292"/>
      <c r="AD188" s="1292"/>
      <c r="AE188" s="1292"/>
      <c r="AF188" s="1558"/>
      <c r="AG188" s="558"/>
      <c r="AH188" s="558"/>
      <c r="AI188" s="558"/>
      <c r="AJ188" s="558"/>
      <c r="AK188" s="1567">
        <v>11</v>
      </c>
    </row>
    <row r="189" spans="1:37" s="1567" customFormat="1" ht="11.45" customHeight="1">
      <c r="A189" s="916"/>
      <c r="B189" s="916"/>
      <c r="C189" s="916"/>
      <c r="D189" s="916"/>
      <c r="E189" s="916"/>
      <c r="F189" s="1562"/>
      <c r="G189" s="1562"/>
      <c r="H189" s="287"/>
      <c r="N189" s="1292"/>
      <c r="P189" s="1292"/>
      <c r="Q189" s="1562"/>
      <c r="R189" s="1562"/>
      <c r="S189" s="1292"/>
      <c r="T189" s="1292"/>
      <c r="U189" s="1292"/>
      <c r="V189" s="1292"/>
      <c r="W189" s="1562"/>
      <c r="X189" s="1292"/>
      <c r="Y189" s="1292"/>
      <c r="Z189" s="480"/>
      <c r="AA189" s="1292"/>
      <c r="AB189" s="1292"/>
      <c r="AC189" s="1292"/>
      <c r="AD189" s="1292"/>
      <c r="AE189" s="1292"/>
      <c r="AF189" s="1558"/>
      <c r="AG189" s="558"/>
      <c r="AH189" s="558"/>
      <c r="AI189" s="558"/>
      <c r="AJ189" s="558"/>
      <c r="AK189" s="1567">
        <v>11</v>
      </c>
    </row>
    <row r="190" spans="1:37" ht="11.45" customHeight="1">
      <c r="AK190" s="1557">
        <v>11</v>
      </c>
    </row>
    <row r="191" spans="1:37" ht="11.45" customHeight="1">
      <c r="AK191" s="1557">
        <v>11</v>
      </c>
    </row>
    <row r="192" spans="1:37" ht="11.45" customHeight="1">
      <c r="AK192" s="1557">
        <v>11</v>
      </c>
    </row>
    <row r="193" spans="1:37" ht="11.45" customHeight="1">
      <c r="A193" s="919"/>
      <c r="B193" s="919"/>
      <c r="C193" s="919"/>
      <c r="D193" s="919"/>
      <c r="E193" s="919"/>
      <c r="F193" s="1557"/>
      <c r="H193" s="1557"/>
      <c r="N193" s="1557"/>
      <c r="P193" s="1557"/>
      <c r="S193" s="1557"/>
      <c r="T193" s="1557"/>
      <c r="U193" s="1557"/>
      <c r="V193" s="1557"/>
      <c r="X193" s="1557"/>
      <c r="Y193" s="1557"/>
      <c r="Z193" s="1557"/>
      <c r="AA193" s="1557"/>
      <c r="AB193" s="1557"/>
      <c r="AC193" s="1557"/>
      <c r="AD193" s="1557"/>
      <c r="AE193" s="1557"/>
      <c r="AF193" s="1557"/>
      <c r="AG193" s="1557"/>
      <c r="AH193" s="1557"/>
      <c r="AI193" s="1557"/>
      <c r="AJ193" s="1557"/>
      <c r="AK193" s="1557">
        <v>11</v>
      </c>
    </row>
    <row r="194" spans="1:37" ht="11.45" customHeight="1">
      <c r="A194" s="919"/>
      <c r="B194" s="919"/>
      <c r="C194" s="919"/>
      <c r="D194" s="919"/>
      <c r="E194" s="919"/>
      <c r="F194" s="1557"/>
      <c r="H194" s="1557"/>
      <c r="N194" s="1557"/>
      <c r="P194" s="1557"/>
      <c r="S194" s="1557"/>
      <c r="T194" s="1557"/>
      <c r="U194" s="1557"/>
      <c r="V194" s="1557"/>
      <c r="X194" s="1557"/>
      <c r="Y194" s="1557"/>
      <c r="Z194" s="1557"/>
      <c r="AA194" s="1557"/>
      <c r="AB194" s="1557"/>
      <c r="AC194" s="1557"/>
      <c r="AD194" s="1557"/>
      <c r="AE194" s="1557"/>
      <c r="AF194" s="1557"/>
      <c r="AG194" s="1557"/>
      <c r="AH194" s="1557"/>
      <c r="AI194" s="1557"/>
      <c r="AJ194" s="1557"/>
      <c r="AK194" s="1557">
        <v>11</v>
      </c>
    </row>
    <row r="195" spans="1:37" ht="11.45" customHeight="1">
      <c r="A195" s="919"/>
      <c r="B195" s="919"/>
      <c r="C195" s="919"/>
      <c r="D195" s="919"/>
      <c r="E195" s="919"/>
      <c r="F195" s="1557"/>
      <c r="H195" s="1557"/>
      <c r="N195" s="1557"/>
      <c r="P195" s="1557"/>
      <c r="S195" s="1557"/>
      <c r="T195" s="1557"/>
      <c r="U195" s="1557"/>
      <c r="V195" s="1557"/>
      <c r="X195" s="1557"/>
      <c r="Y195" s="1557"/>
      <c r="Z195" s="1557"/>
      <c r="AA195" s="1557"/>
      <c r="AB195" s="1557"/>
      <c r="AC195" s="1557"/>
      <c r="AD195" s="1557"/>
      <c r="AE195" s="1557"/>
      <c r="AF195" s="1557"/>
      <c r="AG195" s="1557"/>
      <c r="AH195" s="1557"/>
      <c r="AI195" s="1557"/>
      <c r="AJ195" s="1557"/>
      <c r="AK195" s="1557">
        <v>11</v>
      </c>
    </row>
    <row r="196" spans="1:37" ht="11.45" customHeight="1">
      <c r="A196" s="919"/>
      <c r="B196" s="919"/>
      <c r="C196" s="919"/>
      <c r="D196" s="919"/>
      <c r="E196" s="919"/>
      <c r="F196" s="1557"/>
      <c r="H196" s="1557"/>
      <c r="N196" s="1557"/>
      <c r="P196" s="1557"/>
      <c r="S196" s="1557"/>
      <c r="T196" s="1557"/>
      <c r="U196" s="1557"/>
      <c r="V196" s="1557"/>
      <c r="X196" s="1557"/>
      <c r="Y196" s="1557"/>
      <c r="Z196" s="1557"/>
      <c r="AA196" s="1557"/>
      <c r="AB196" s="1557"/>
      <c r="AC196" s="1557"/>
      <c r="AD196" s="1557"/>
      <c r="AE196" s="1557"/>
      <c r="AF196" s="1557"/>
      <c r="AG196" s="1557"/>
      <c r="AH196" s="1557"/>
      <c r="AI196" s="1557"/>
      <c r="AJ196" s="1557"/>
      <c r="AK196" s="1557">
        <v>11</v>
      </c>
    </row>
    <row r="197" spans="1:37" ht="11.45" customHeight="1">
      <c r="A197" s="919"/>
      <c r="B197" s="919"/>
      <c r="C197" s="919"/>
      <c r="D197" s="919"/>
      <c r="E197" s="919"/>
      <c r="F197" s="1557"/>
      <c r="H197" s="1557"/>
      <c r="N197" s="1557"/>
      <c r="P197" s="1557"/>
      <c r="S197" s="1557"/>
      <c r="T197" s="1557"/>
      <c r="U197" s="1557"/>
      <c r="V197" s="1557"/>
      <c r="X197" s="1557"/>
      <c r="Y197" s="1557"/>
      <c r="Z197" s="1557"/>
      <c r="AA197" s="1557"/>
      <c r="AB197" s="1557"/>
      <c r="AC197" s="1557"/>
      <c r="AD197" s="1557"/>
      <c r="AE197" s="1557"/>
      <c r="AF197" s="1557"/>
      <c r="AG197" s="1557"/>
      <c r="AH197" s="1557"/>
      <c r="AI197" s="1557"/>
      <c r="AJ197" s="1557"/>
      <c r="AK197" s="1557">
        <v>11</v>
      </c>
    </row>
    <row r="198" spans="1:37" ht="11.45" customHeight="1">
      <c r="A198" s="919"/>
      <c r="B198" s="919"/>
      <c r="C198" s="919"/>
      <c r="D198" s="919"/>
      <c r="E198" s="919"/>
      <c r="F198" s="1557"/>
      <c r="H198" s="1557"/>
      <c r="N198" s="1557"/>
      <c r="P198" s="1557"/>
      <c r="S198" s="1557"/>
      <c r="T198" s="1557"/>
      <c r="U198" s="1557"/>
      <c r="V198" s="1557"/>
      <c r="X198" s="1557"/>
      <c r="Y198" s="1557"/>
      <c r="Z198" s="1557"/>
      <c r="AA198" s="1557"/>
      <c r="AB198" s="1557"/>
      <c r="AC198" s="1557"/>
      <c r="AD198" s="1557"/>
      <c r="AE198" s="1557"/>
      <c r="AF198" s="1557"/>
      <c r="AG198" s="1557"/>
      <c r="AH198" s="1557"/>
      <c r="AI198" s="1557"/>
      <c r="AJ198" s="1557"/>
      <c r="AK198" s="1557">
        <v>11</v>
      </c>
    </row>
    <row r="199" spans="1:37" ht="11.45" customHeight="1">
      <c r="A199" s="919"/>
      <c r="B199" s="919"/>
      <c r="C199" s="919"/>
      <c r="D199" s="919"/>
      <c r="E199" s="919"/>
      <c r="F199" s="1557"/>
      <c r="H199" s="1557"/>
      <c r="N199" s="1557"/>
      <c r="P199" s="1557"/>
      <c r="S199" s="1557"/>
      <c r="T199" s="1557"/>
      <c r="U199" s="1557"/>
      <c r="V199" s="1557"/>
      <c r="X199" s="1557"/>
      <c r="Y199" s="1557"/>
      <c r="Z199" s="1557"/>
      <c r="AA199" s="1557"/>
      <c r="AB199" s="1557"/>
      <c r="AC199" s="1557"/>
      <c r="AD199" s="1557"/>
      <c r="AE199" s="1557"/>
      <c r="AF199" s="1557"/>
      <c r="AG199" s="1557"/>
      <c r="AH199" s="1557"/>
      <c r="AI199" s="1557"/>
      <c r="AJ199" s="1557"/>
      <c r="AK199" s="1557">
        <v>11</v>
      </c>
    </row>
    <row r="200" spans="1:37" ht="11.45" customHeight="1">
      <c r="A200" s="919"/>
      <c r="B200" s="919"/>
      <c r="C200" s="919"/>
      <c r="D200" s="919"/>
      <c r="E200" s="919"/>
      <c r="F200" s="1557"/>
      <c r="H200" s="1557"/>
      <c r="N200" s="1557"/>
      <c r="P200" s="1557"/>
      <c r="S200" s="1557"/>
      <c r="T200" s="1557"/>
      <c r="U200" s="1557"/>
      <c r="V200" s="1557"/>
      <c r="X200" s="1557"/>
      <c r="Y200" s="1557"/>
      <c r="Z200" s="1557"/>
      <c r="AA200" s="1557"/>
      <c r="AB200" s="1557"/>
      <c r="AC200" s="1557"/>
      <c r="AD200" s="1557"/>
      <c r="AE200" s="1557"/>
      <c r="AF200" s="1557"/>
      <c r="AG200" s="1557"/>
      <c r="AH200" s="1557"/>
      <c r="AI200" s="1557"/>
      <c r="AJ200" s="1557"/>
      <c r="AK200" s="1557">
        <v>11</v>
      </c>
    </row>
    <row r="201" spans="1:37" ht="11.45" customHeight="1">
      <c r="A201" s="919"/>
      <c r="B201" s="919"/>
      <c r="C201" s="919"/>
      <c r="D201" s="919"/>
      <c r="E201" s="919"/>
      <c r="F201" s="1557"/>
      <c r="H201" s="1557"/>
      <c r="N201" s="1557"/>
      <c r="P201" s="1557"/>
      <c r="S201" s="1557"/>
      <c r="T201" s="1557"/>
      <c r="U201" s="1557"/>
      <c r="V201" s="1557"/>
      <c r="X201" s="1557"/>
      <c r="Y201" s="1557"/>
      <c r="Z201" s="1557"/>
      <c r="AA201" s="1557"/>
      <c r="AB201" s="1557"/>
      <c r="AC201" s="1557"/>
      <c r="AD201" s="1557"/>
      <c r="AE201" s="1557"/>
      <c r="AF201" s="1557"/>
      <c r="AG201" s="1557"/>
      <c r="AH201" s="1557"/>
      <c r="AI201" s="1557"/>
      <c r="AJ201" s="1557"/>
      <c r="AK201" s="1557">
        <v>11</v>
      </c>
    </row>
    <row r="202" spans="1:37" ht="11.45" customHeight="1">
      <c r="A202" s="919"/>
      <c r="B202" s="919"/>
      <c r="C202" s="919"/>
      <c r="D202" s="919"/>
      <c r="E202" s="919"/>
      <c r="F202" s="1557"/>
      <c r="H202" s="1557"/>
      <c r="N202" s="1557"/>
      <c r="P202" s="1557"/>
      <c r="S202" s="1557"/>
      <c r="T202" s="1557"/>
      <c r="U202" s="1557"/>
      <c r="V202" s="1557"/>
      <c r="X202" s="1557"/>
      <c r="Y202" s="1557"/>
      <c r="Z202" s="1557"/>
      <c r="AA202" s="1557"/>
      <c r="AB202" s="1557"/>
      <c r="AC202" s="1557"/>
      <c r="AD202" s="1557"/>
      <c r="AE202" s="1557"/>
      <c r="AF202" s="1557"/>
      <c r="AG202" s="1557"/>
      <c r="AH202" s="1557"/>
      <c r="AI202" s="1557"/>
      <c r="AJ202" s="1557"/>
      <c r="AK202" s="1557">
        <v>11</v>
      </c>
    </row>
    <row r="203" spans="1:37" ht="11.45" customHeight="1">
      <c r="A203" s="919"/>
      <c r="B203" s="919"/>
      <c r="C203" s="919"/>
      <c r="D203" s="919"/>
      <c r="E203" s="919"/>
      <c r="F203" s="1557"/>
      <c r="H203" s="1557"/>
      <c r="N203" s="1557"/>
      <c r="P203" s="1557"/>
      <c r="S203" s="1557"/>
      <c r="T203" s="1557"/>
      <c r="U203" s="1557"/>
      <c r="V203" s="1557"/>
      <c r="X203" s="1557"/>
      <c r="Y203" s="1557"/>
      <c r="Z203" s="1557"/>
      <c r="AA203" s="1557"/>
      <c r="AB203" s="1557"/>
      <c r="AC203" s="1557"/>
      <c r="AD203" s="1557"/>
      <c r="AE203" s="1557"/>
      <c r="AF203" s="1557"/>
      <c r="AG203" s="1557"/>
      <c r="AH203" s="1557"/>
      <c r="AI203" s="1557"/>
      <c r="AJ203" s="1557"/>
      <c r="AK203" s="1557">
        <v>11</v>
      </c>
    </row>
    <row r="204" spans="1:37" ht="12.75" hidden="1" customHeight="1">
      <c r="A204" s="916" t="s">
        <v>73</v>
      </c>
      <c r="B204" s="916" t="s">
        <v>133</v>
      </c>
      <c r="C204" s="916" t="s">
        <v>133</v>
      </c>
      <c r="D204" s="916" t="s">
        <v>133</v>
      </c>
      <c r="E204" s="916" t="s">
        <v>133</v>
      </c>
      <c r="F204" s="1561">
        <v>16</v>
      </c>
      <c r="G204" s="1562">
        <v>0</v>
      </c>
      <c r="H204" s="1561">
        <v>3</v>
      </c>
      <c r="I204" s="1557">
        <v>7</v>
      </c>
      <c r="J204" s="1557">
        <v>56</v>
      </c>
      <c r="K204" s="1557">
        <v>10</v>
      </c>
      <c r="L204" s="1557">
        <v>40</v>
      </c>
      <c r="M204" s="1557">
        <v>40</v>
      </c>
      <c r="N204" s="1292">
        <v>9</v>
      </c>
      <c r="O204" s="1557">
        <v>102</v>
      </c>
      <c r="P204" s="1292">
        <v>9</v>
      </c>
      <c r="Q204" s="1562">
        <v>5</v>
      </c>
      <c r="R204" s="1562">
        <v>3</v>
      </c>
      <c r="S204" s="1292">
        <v>3</v>
      </c>
      <c r="T204" s="1292">
        <v>3</v>
      </c>
      <c r="U204" s="1292">
        <v>3</v>
      </c>
      <c r="V204" s="1292">
        <v>3</v>
      </c>
      <c r="W204" s="1562">
        <v>10</v>
      </c>
      <c r="X204" s="1292">
        <v>34</v>
      </c>
      <c r="Y204" s="1292">
        <v>9</v>
      </c>
      <c r="Z204" s="480">
        <v>8</v>
      </c>
      <c r="AA204" s="1292">
        <v>8</v>
      </c>
      <c r="AB204" s="1292">
        <v>8</v>
      </c>
      <c r="AC204" s="1292">
        <v>8</v>
      </c>
      <c r="AD204" s="1292">
        <v>8</v>
      </c>
      <c r="AE204" s="1292">
        <v>8</v>
      </c>
      <c r="AF204" s="1558">
        <v>8</v>
      </c>
      <c r="AG204" s="1558">
        <v>8</v>
      </c>
      <c r="AH204" s="1558">
        <v>8</v>
      </c>
      <c r="AI204" s="1558">
        <v>8</v>
      </c>
      <c r="AJ204" s="1558">
        <v>8</v>
      </c>
      <c r="AK204" s="1557">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1" hidden="1"/>
    <col min="5" max="5" width="9.140625" style="1979" hidden="1" customWidth="1"/>
    <col min="6" max="7" width="9.140625" style="1292" hidden="1" customWidth="1"/>
    <col min="8" max="8" width="3" style="280"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1"/>
      <c r="T1" s="191"/>
      <c r="V1" s="191"/>
      <c r="W1" s="1557" t="s">
        <v>1</v>
      </c>
    </row>
    <row r="2" spans="1:23" ht="22.5" hidden="1" customHeight="1">
      <c r="B2" s="1947" t="s">
        <v>937</v>
      </c>
      <c r="C2" s="1947" t="s">
        <v>938</v>
      </c>
      <c r="D2" s="1946" t="s">
        <v>877</v>
      </c>
      <c r="E2" s="1952">
        <f>I2-3</f>
        <v>-3</v>
      </c>
      <c r="F2" s="1952">
        <f>J2</f>
        <v>0</v>
      </c>
      <c r="H2" s="1628" t="s">
        <v>96</v>
      </c>
      <c r="I2" s="1918"/>
      <c r="J2" s="1608"/>
      <c r="K2" s="1912" t="s">
        <v>535</v>
      </c>
      <c r="L2" s="1090"/>
      <c r="M2" s="233"/>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4069" t="s">
        <v>939</v>
      </c>
      <c r="J5" s="24069"/>
      <c r="K5" s="24069"/>
      <c r="L5" s="24069"/>
      <c r="M5" s="202"/>
      <c r="W5" s="1557">
        <v>48</v>
      </c>
    </row>
    <row r="6" spans="1:23" ht="18" customHeight="1">
      <c r="H6" s="312"/>
      <c r="I6" s="24042" t="str">
        <f>IF(org=0,"Не определено",org)</f>
        <v>ООО "Смоленскрегионтеплоэнерго"</v>
      </c>
      <c r="J6" s="24042"/>
      <c r="K6" s="24042"/>
      <c r="L6" s="24042"/>
      <c r="M6" s="202"/>
      <c r="W6" s="1557">
        <v>17</v>
      </c>
    </row>
    <row r="7" spans="1:23" ht="14.65" customHeight="1">
      <c r="H7" s="312"/>
      <c r="I7" s="393"/>
      <c r="J7" s="399"/>
      <c r="K7" s="399"/>
      <c r="L7" s="688"/>
      <c r="M7" s="130"/>
      <c r="W7" s="1557">
        <v>14</v>
      </c>
    </row>
    <row r="8" spans="1:23" ht="14.65" customHeight="1">
      <c r="H8" s="312"/>
      <c r="I8" s="24227" t="s">
        <v>529</v>
      </c>
      <c r="J8" s="24228"/>
      <c r="K8" s="24228"/>
      <c r="L8" s="24229"/>
      <c r="M8" s="24230" t="s">
        <v>530</v>
      </c>
      <c r="W8" s="1557">
        <v>14</v>
      </c>
    </row>
    <row r="9" spans="1:23" ht="35.65" customHeight="1">
      <c r="E9" s="1945" t="s">
        <v>868</v>
      </c>
      <c r="F9" s="1945" t="s">
        <v>874</v>
      </c>
      <c r="H9" s="312"/>
      <c r="I9" s="1919" t="s">
        <v>79</v>
      </c>
      <c r="J9" s="1920" t="s">
        <v>531</v>
      </c>
      <c r="K9" s="1958" t="s">
        <v>816</v>
      </c>
      <c r="L9" s="1959" t="s">
        <v>532</v>
      </c>
      <c r="M9" s="24230"/>
      <c r="W9" s="1557">
        <v>34</v>
      </c>
    </row>
    <row r="10" spans="1:23" ht="35.65" customHeight="1">
      <c r="B10" s="1947" t="s">
        <v>940</v>
      </c>
      <c r="C10" s="1947" t="s">
        <v>941</v>
      </c>
      <c r="D10" s="1946" t="s">
        <v>877</v>
      </c>
      <c r="E10" s="1950" t="s">
        <v>878</v>
      </c>
      <c r="F10" s="1950" t="s">
        <v>878</v>
      </c>
      <c r="H10" s="312"/>
      <c r="I10" s="1918" t="s">
        <v>218</v>
      </c>
      <c r="J10" s="1783" t="s">
        <v>942</v>
      </c>
      <c r="K10" s="1912" t="s">
        <v>535</v>
      </c>
      <c r="L10" s="748"/>
      <c r="M10" s="233" t="s">
        <v>943</v>
      </c>
      <c r="W10" s="1557">
        <v>34</v>
      </c>
    </row>
    <row r="11" spans="1:23" ht="50.25" customHeight="1">
      <c r="B11" s="1947" t="s">
        <v>944</v>
      </c>
      <c r="C11" s="1947" t="s">
        <v>945</v>
      </c>
      <c r="D11" s="1946" t="s">
        <v>877</v>
      </c>
      <c r="E11" s="1950" t="s">
        <v>878</v>
      </c>
      <c r="F11" s="1950" t="s">
        <v>878</v>
      </c>
      <c r="H11" s="312"/>
      <c r="I11" s="1918" t="s">
        <v>95</v>
      </c>
      <c r="J11" s="1783" t="s">
        <v>946</v>
      </c>
      <c r="K11" s="1912" t="s">
        <v>535</v>
      </c>
      <c r="L11" s="748"/>
      <c r="M11" s="233" t="s">
        <v>943</v>
      </c>
      <c r="W11" s="1557">
        <v>48</v>
      </c>
    </row>
    <row r="12" spans="1:23" ht="48.2" customHeight="1">
      <c r="B12" s="1947" t="s">
        <v>947</v>
      </c>
      <c r="C12" s="1947" t="s">
        <v>948</v>
      </c>
      <c r="D12" s="1946" t="s">
        <v>877</v>
      </c>
      <c r="E12" s="1950" t="s">
        <v>878</v>
      </c>
      <c r="F12" s="1950" t="s">
        <v>878</v>
      </c>
      <c r="H12" s="1614"/>
      <c r="I12" s="1918" t="s">
        <v>81</v>
      </c>
      <c r="J12" s="1925" t="s">
        <v>949</v>
      </c>
      <c r="K12" s="1912" t="s">
        <v>535</v>
      </c>
      <c r="L12" s="748"/>
      <c r="M12" s="233" t="s">
        <v>950</v>
      </c>
      <c r="N12" s="1550"/>
      <c r="P12" s="1557"/>
      <c r="W12" s="1557">
        <v>46</v>
      </c>
    </row>
    <row r="13" spans="1:23" ht="14.65" customHeight="1">
      <c r="E13" s="279"/>
      <c r="H13" s="312"/>
      <c r="I13" s="283"/>
      <c r="J13" s="587" t="s">
        <v>951</v>
      </c>
      <c r="K13" s="507"/>
      <c r="L13" s="151"/>
      <c r="M13" s="233"/>
      <c r="W13" s="1557">
        <v>14</v>
      </c>
    </row>
    <row r="14" spans="1:23" ht="14.65" customHeight="1">
      <c r="E14" s="279"/>
      <c r="H14" s="312"/>
      <c r="I14" s="986"/>
      <c r="J14" s="1603"/>
      <c r="K14" s="1604"/>
      <c r="L14" s="1605"/>
      <c r="M14" s="1922"/>
      <c r="W14" s="1557">
        <v>14</v>
      </c>
    </row>
    <row r="15" spans="1:23" ht="14.65" customHeight="1">
      <c r="I15" s="1607"/>
      <c r="J15" s="24087"/>
      <c r="K15" s="24087"/>
      <c r="L15" s="24087"/>
      <c r="M15" s="24087"/>
      <c r="W15" s="1557">
        <v>14</v>
      </c>
    </row>
    <row r="16" spans="1:23" ht="21" hidden="1" customHeight="1">
      <c r="A16" s="1924" t="s">
        <v>73</v>
      </c>
      <c r="B16" s="1557">
        <v>9</v>
      </c>
      <c r="C16" s="1557">
        <v>9</v>
      </c>
      <c r="D16" s="1557">
        <v>9</v>
      </c>
      <c r="E16" s="1924" t="s">
        <v>128</v>
      </c>
      <c r="F16" s="1949" t="s">
        <v>128</v>
      </c>
      <c r="G16" s="1951"/>
      <c r="H16" s="280">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10.42578125" style="1561" hidden="1" customWidth="1"/>
  </cols>
  <sheetData>
    <row r="1" spans="1:32" s="1292" customFormat="1" ht="22.5" hidden="1" customHeight="1">
      <c r="A1" s="916"/>
      <c r="C1" s="1562"/>
      <c r="D1" s="473"/>
      <c r="H1" s="1086">
        <v>4</v>
      </c>
      <c r="I1" s="1086">
        <v>4</v>
      </c>
      <c r="L1" s="1562"/>
      <c r="M1" s="1562"/>
      <c r="R1" s="1562"/>
      <c r="AF1" s="1086" t="s">
        <v>1</v>
      </c>
    </row>
    <row r="2" spans="1:32" s="1292" customFormat="1" ht="22.5" hidden="1" customHeight="1">
      <c r="A2" s="916"/>
      <c r="C2" s="1562"/>
      <c r="D2" s="474"/>
      <c r="E2" s="1563"/>
      <c r="F2" s="476"/>
      <c r="G2" s="1565" t="s">
        <v>802</v>
      </c>
      <c r="H2" s="477"/>
      <c r="I2" s="477"/>
      <c r="J2" s="478" t="s">
        <v>952</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1.5" customHeight="1">
      <c r="E6" s="24021" t="s">
        <v>953</v>
      </c>
      <c r="F6" s="24021"/>
      <c r="G6" s="24021"/>
      <c r="H6" s="24021"/>
      <c r="I6" s="24021"/>
      <c r="J6" s="492"/>
      <c r="AF6" s="1557">
        <v>30</v>
      </c>
    </row>
    <row r="7" spans="1:32" ht="11.45" customHeight="1">
      <c r="E7" s="24042" t="str">
        <f>IF(org=0,"Не определено",org)</f>
        <v>ООО "Смоленскрегионтеплоэнерго"</v>
      </c>
      <c r="F7" s="24042"/>
      <c r="G7" s="24042"/>
      <c r="H7" s="24042"/>
      <c r="I7" s="24042"/>
      <c r="AF7" s="1557">
        <v>11</v>
      </c>
    </row>
    <row r="8" spans="1:32" ht="11.45" customHeight="1">
      <c r="E8" s="1061"/>
      <c r="F8" s="1061"/>
      <c r="G8" s="1061"/>
      <c r="H8" s="1061"/>
      <c r="I8" s="1061"/>
      <c r="AF8" s="1557">
        <v>11</v>
      </c>
    </row>
    <row r="9" spans="1:32" s="1568" customFormat="1" ht="4.1500000000000004" customHeight="1">
      <c r="A9" s="1093"/>
      <c r="H9" s="818"/>
      <c r="I9" s="818" t="s">
        <v>223</v>
      </c>
      <c r="AF9" s="1562">
        <v>4</v>
      </c>
    </row>
    <row r="10" spans="1:32" ht="11.45" customHeight="1">
      <c r="E10" s="647"/>
      <c r="F10" s="24213" t="s">
        <v>214</v>
      </c>
      <c r="G10" s="24214"/>
      <c r="H10" s="1478" t="str">
        <f>IF(H9="","",INDEX(DIFFERENTIATION_UNMERGE_VD,MATCH(H9,DIFFERENTIATION_ID_DIFF,0)))</f>
        <v/>
      </c>
      <c r="I10" s="1478">
        <f>IF(I9="","",INDEX(DIFFERENTIATION_UNMERGE_VD,MATCH(I9,DIFFERENTIATION_ID_DIFF,0)))</f>
        <v>0</v>
      </c>
      <c r="J10" s="23947"/>
      <c r="AF10" s="1557">
        <v>11</v>
      </c>
    </row>
    <row r="11" spans="1:32" ht="11.45" customHeight="1">
      <c r="E11" s="647"/>
      <c r="F11" s="24213" t="s">
        <v>814</v>
      </c>
      <c r="G11" s="24214"/>
      <c r="H11" s="1478" t="str">
        <f>IF(H9="","",INDEX(DIFFERENTIATION_UNMERGE_AREA,MATCH(H9,DIFFERENTIATION_ID_DIFF,0)))</f>
        <v/>
      </c>
      <c r="I11" s="1478" t="str">
        <f>IF(I9="","",INDEX(DIFFERENTIATION_UNMERGE_AREA,MATCH(I9,DIFFERENTIATION_ID_DIFF,0)))</f>
        <v/>
      </c>
      <c r="J11" s="23947"/>
      <c r="AF11" s="1557">
        <v>11</v>
      </c>
    </row>
    <row r="12" spans="1:32" ht="1.1499999999999999" customHeight="1">
      <c r="E12" s="1588"/>
      <c r="F12" s="24231" t="s">
        <v>815</v>
      </c>
      <c r="G12" s="24232"/>
      <c r="H12" s="1589" t="str">
        <f>IF(H9="","",INDEX(DIFFERENTIATION_UNMERGE_SYSTEM,MATCH(H9,DIFFERENTIATION_ID_DIFF,0)))</f>
        <v/>
      </c>
      <c r="I12" s="1589" t="str">
        <f>IF(I9="","",INDEX(DIFFERENTIATION_UNMERGE_SYSTEM,MATCH(I9,DIFFERENTIATION_ID_DIFF,0)))</f>
        <v>без дифференциации</v>
      </c>
      <c r="J12" s="23947"/>
      <c r="AF12" s="1557">
        <v>1</v>
      </c>
    </row>
    <row r="13" spans="1:32" ht="11.45" customHeight="1">
      <c r="E13" s="24215" t="s">
        <v>529</v>
      </c>
      <c r="F13" s="24216"/>
      <c r="G13" s="24216"/>
      <c r="H13" s="1477"/>
      <c r="I13" s="1477"/>
      <c r="J13" s="23947"/>
      <c r="AF13" s="1557">
        <v>11</v>
      </c>
    </row>
    <row r="14" spans="1:32" ht="24" customHeight="1">
      <c r="E14" s="1565" t="s">
        <v>79</v>
      </c>
      <c r="F14" s="1560" t="s">
        <v>531</v>
      </c>
      <c r="G14" s="1560" t="s">
        <v>816</v>
      </c>
      <c r="H14" s="1560" t="s">
        <v>532</v>
      </c>
      <c r="I14" s="1560" t="s">
        <v>532</v>
      </c>
      <c r="J14" s="23947"/>
      <c r="AF14" s="1557">
        <v>23</v>
      </c>
    </row>
    <row r="15" spans="1:32" ht="19.899999999999999" customHeight="1">
      <c r="D15" s="1564"/>
      <c r="E15" s="1556" t="s">
        <v>218</v>
      </c>
      <c r="F15" s="643" t="s">
        <v>954</v>
      </c>
      <c r="G15" s="1572" t="s">
        <v>802</v>
      </c>
      <c r="H15" s="493"/>
      <c r="I15" s="493"/>
      <c r="J15" s="225" t="s">
        <v>955</v>
      </c>
      <c r="K15" s="479" t="s">
        <v>880</v>
      </c>
      <c r="AF15" s="1557">
        <v>19</v>
      </c>
    </row>
    <row r="16" spans="1:32" ht="35.65" customHeight="1">
      <c r="D16" s="1564"/>
      <c r="E16" s="1556" t="s">
        <v>95</v>
      </c>
      <c r="F16" s="643" t="s">
        <v>956</v>
      </c>
      <c r="G16" s="1572" t="s">
        <v>802</v>
      </c>
      <c r="H16" s="494">
        <f>SUM(H17,H20:H32)</f>
        <v>0</v>
      </c>
      <c r="I16" s="494">
        <f>SUM(I17,I20,I23,I26,I29:I32)</f>
        <v>0</v>
      </c>
      <c r="J16" s="225" t="s">
        <v>957</v>
      </c>
      <c r="K16" s="479" t="s">
        <v>880</v>
      </c>
      <c r="AF16" s="1557">
        <v>34</v>
      </c>
    </row>
    <row r="17" spans="1:32" ht="19.899999999999999" customHeight="1">
      <c r="D17" s="1564"/>
      <c r="E17" s="1590" t="s">
        <v>958</v>
      </c>
      <c r="F17" s="883" t="s">
        <v>959</v>
      </c>
      <c r="G17" s="1569" t="s">
        <v>802</v>
      </c>
      <c r="H17" s="493"/>
      <c r="I17" s="493"/>
      <c r="J17" s="225" t="s">
        <v>960</v>
      </c>
      <c r="K17" s="479"/>
      <c r="AF17" s="1557">
        <v>19</v>
      </c>
    </row>
    <row r="18" spans="1:32" ht="24" customHeight="1">
      <c r="D18" s="1564"/>
      <c r="E18" s="1590" t="s">
        <v>961</v>
      </c>
      <c r="F18" s="1576" t="s">
        <v>962</v>
      </c>
      <c r="G18" s="1569" t="s">
        <v>802</v>
      </c>
      <c r="H18" s="493"/>
      <c r="I18" s="493"/>
      <c r="J18" s="225" t="s">
        <v>963</v>
      </c>
      <c r="K18" s="479"/>
      <c r="AF18" s="1557">
        <v>23</v>
      </c>
    </row>
    <row r="19" spans="1:32" ht="35.65" customHeight="1">
      <c r="D19" s="1564"/>
      <c r="E19" s="1590" t="s">
        <v>964</v>
      </c>
      <c r="F19" s="1576" t="s">
        <v>965</v>
      </c>
      <c r="G19" s="1569" t="s">
        <v>802</v>
      </c>
      <c r="H19" s="493"/>
      <c r="I19" s="493"/>
      <c r="J19" s="225"/>
      <c r="K19" s="479"/>
      <c r="AF19" s="1557">
        <v>34</v>
      </c>
    </row>
    <row r="20" spans="1:32" ht="19.899999999999999" customHeight="1">
      <c r="D20" s="1564"/>
      <c r="E20" s="1590" t="s">
        <v>536</v>
      </c>
      <c r="F20" s="883" t="s">
        <v>966</v>
      </c>
      <c r="G20" s="1569" t="s">
        <v>802</v>
      </c>
      <c r="H20" s="493"/>
      <c r="I20" s="493"/>
      <c r="J20" s="225" t="s">
        <v>967</v>
      </c>
      <c r="K20" s="479"/>
      <c r="AF20" s="1557">
        <v>19</v>
      </c>
    </row>
    <row r="21" spans="1:32" ht="19.899999999999999" customHeight="1">
      <c r="D21" s="1564"/>
      <c r="E21" s="1590" t="s">
        <v>968</v>
      </c>
      <c r="F21" s="1576" t="s">
        <v>969</v>
      </c>
      <c r="G21" s="1569" t="s">
        <v>802</v>
      </c>
      <c r="H21" s="493"/>
      <c r="I21" s="493"/>
      <c r="J21" s="225"/>
      <c r="K21" s="479"/>
      <c r="AF21" s="1557">
        <v>19</v>
      </c>
    </row>
    <row r="22" spans="1:32" ht="19.899999999999999" customHeight="1">
      <c r="D22" s="1564"/>
      <c r="E22" s="1590" t="s">
        <v>970</v>
      </c>
      <c r="F22" s="1576" t="s">
        <v>971</v>
      </c>
      <c r="G22" s="1569" t="s">
        <v>802</v>
      </c>
      <c r="H22" s="493"/>
      <c r="I22" s="493"/>
      <c r="J22" s="225"/>
      <c r="K22" s="479"/>
      <c r="AF22" s="1557">
        <v>19</v>
      </c>
    </row>
    <row r="23" spans="1:32" ht="24" customHeight="1">
      <c r="D23" s="1564"/>
      <c r="E23" s="1590" t="s">
        <v>539</v>
      </c>
      <c r="F23" s="883" t="s">
        <v>972</v>
      </c>
      <c r="G23" s="1569" t="s">
        <v>802</v>
      </c>
      <c r="H23" s="493"/>
      <c r="I23" s="493"/>
      <c r="J23" s="225" t="s">
        <v>973</v>
      </c>
      <c r="K23" s="479"/>
      <c r="AF23" s="1557">
        <v>23</v>
      </c>
    </row>
    <row r="24" spans="1:32" ht="19.899999999999999" customHeight="1">
      <c r="D24" s="1564"/>
      <c r="E24" s="1590" t="s">
        <v>974</v>
      </c>
      <c r="F24" s="1576" t="s">
        <v>975</v>
      </c>
      <c r="G24" s="1569" t="s">
        <v>802</v>
      </c>
      <c r="H24" s="493"/>
      <c r="I24" s="493"/>
      <c r="J24" s="225"/>
      <c r="K24" s="479"/>
      <c r="AF24" s="1557">
        <v>19</v>
      </c>
    </row>
    <row r="25" spans="1:32" ht="35.65" customHeight="1">
      <c r="D25" s="1564"/>
      <c r="E25" s="1590" t="s">
        <v>976</v>
      </c>
      <c r="F25" s="1576" t="s">
        <v>977</v>
      </c>
      <c r="G25" s="1569" t="s">
        <v>802</v>
      </c>
      <c r="H25" s="493"/>
      <c r="I25" s="493"/>
      <c r="J25" s="225"/>
      <c r="K25" s="479"/>
      <c r="AF25" s="1557">
        <v>34</v>
      </c>
    </row>
    <row r="26" spans="1:32" ht="24" customHeight="1">
      <c r="D26" s="1564"/>
      <c r="E26" s="1590" t="s">
        <v>978</v>
      </c>
      <c r="F26" s="883" t="s">
        <v>979</v>
      </c>
      <c r="G26" s="1569" t="s">
        <v>802</v>
      </c>
      <c r="H26" s="493"/>
      <c r="I26" s="493"/>
      <c r="J26" s="225" t="s">
        <v>980</v>
      </c>
      <c r="K26" s="479"/>
      <c r="AF26" s="1557">
        <v>23</v>
      </c>
    </row>
    <row r="27" spans="1:32" ht="19.899999999999999" customHeight="1">
      <c r="D27" s="1564"/>
      <c r="E27" s="1601" t="s">
        <v>981</v>
      </c>
      <c r="F27" s="1576" t="s">
        <v>982</v>
      </c>
      <c r="G27" s="1580" t="s">
        <v>802</v>
      </c>
      <c r="H27" s="1602"/>
      <c r="I27" s="1602"/>
      <c r="J27" s="225"/>
      <c r="K27" s="479"/>
      <c r="AF27" s="1557">
        <v>19</v>
      </c>
    </row>
    <row r="28" spans="1:32" ht="19.899999999999999" customHeight="1">
      <c r="D28" s="1564"/>
      <c r="E28" s="1601" t="s">
        <v>983</v>
      </c>
      <c r="F28" s="1576" t="s">
        <v>984</v>
      </c>
      <c r="G28" s="1580" t="s">
        <v>802</v>
      </c>
      <c r="H28" s="1602"/>
      <c r="I28" s="1602"/>
      <c r="J28" s="225"/>
      <c r="K28" s="479"/>
      <c r="AF28" s="1557">
        <v>19</v>
      </c>
    </row>
    <row r="29" spans="1:32" ht="19.899999999999999" customHeight="1">
      <c r="D29" s="1564"/>
      <c r="E29" s="1601" t="s">
        <v>985</v>
      </c>
      <c r="F29" s="883" t="s">
        <v>986</v>
      </c>
      <c r="G29" s="1580" t="s">
        <v>802</v>
      </c>
      <c r="H29" s="1602"/>
      <c r="I29" s="1602"/>
      <c r="J29" s="225"/>
      <c r="K29" s="479"/>
      <c r="AF29" s="1557">
        <v>19</v>
      </c>
    </row>
    <row r="30" spans="1:32" ht="19.899999999999999" customHeight="1">
      <c r="D30" s="1564"/>
      <c r="E30" s="1601" t="s">
        <v>987</v>
      </c>
      <c r="F30" s="883" t="s">
        <v>988</v>
      </c>
      <c r="G30" s="1580" t="s">
        <v>802</v>
      </c>
      <c r="H30" s="1602"/>
      <c r="I30" s="1602"/>
      <c r="J30" s="225"/>
      <c r="K30" s="479"/>
      <c r="AF30" s="1557">
        <v>19</v>
      </c>
    </row>
    <row r="31" spans="1:32" ht="19.899999999999999" customHeight="1">
      <c r="D31" s="1564"/>
      <c r="E31" s="1601" t="s">
        <v>989</v>
      </c>
      <c r="F31" s="883" t="s">
        <v>990</v>
      </c>
      <c r="G31" s="1580" t="s">
        <v>802</v>
      </c>
      <c r="H31" s="1602"/>
      <c r="I31" s="1602"/>
      <c r="J31" s="225"/>
      <c r="K31" s="479"/>
      <c r="AF31" s="1557">
        <v>19</v>
      </c>
    </row>
    <row r="32" spans="1:32" s="1292" customFormat="1" ht="35.65" customHeight="1">
      <c r="A32" s="916"/>
      <c r="C32" s="1562"/>
      <c r="D32" s="1564"/>
      <c r="E32" s="1601" t="s">
        <v>991</v>
      </c>
      <c r="F32" s="883" t="s">
        <v>992</v>
      </c>
      <c r="G32" s="1570" t="s">
        <v>802</v>
      </c>
      <c r="H32" s="515">
        <f>SUM(H33:H34)</f>
        <v>0</v>
      </c>
      <c r="I32" s="515">
        <f>SUM(I33:I34)</f>
        <v>0</v>
      </c>
      <c r="J32" s="225" t="s">
        <v>993</v>
      </c>
      <c r="K32" s="479"/>
      <c r="L32" s="1562"/>
      <c r="M32" s="1562"/>
      <c r="R32" s="1562"/>
      <c r="U32" s="480"/>
      <c r="AA32" s="1558"/>
      <c r="AB32" s="1558"/>
      <c r="AC32" s="1558"/>
      <c r="AD32" s="1558"/>
      <c r="AE32" s="1558"/>
      <c r="AF32" s="1086">
        <v>34</v>
      </c>
    </row>
    <row r="33" spans="1:32" s="1568" customFormat="1" ht="1.1499999999999999" customHeight="1">
      <c r="A33" s="1093"/>
      <c r="D33" s="484"/>
      <c r="E33" s="732" t="str">
        <f>E32&amp;".0"</f>
        <v>2.8.0</v>
      </c>
      <c r="F33" s="920"/>
      <c r="G33" s="487"/>
      <c r="H33" s="921"/>
      <c r="I33" s="921"/>
      <c r="J33" s="922"/>
      <c r="AF33" s="1562">
        <v>1</v>
      </c>
    </row>
    <row r="34" spans="1:32" s="1292" customFormat="1" ht="19.899999999999999" customHeight="1">
      <c r="A34" s="916"/>
      <c r="C34" s="1562"/>
      <c r="D34" s="1559"/>
      <c r="E34" s="506"/>
      <c r="F34" s="1592" t="s">
        <v>827</v>
      </c>
      <c r="G34" s="508"/>
      <c r="H34" s="509"/>
      <c r="I34" s="509"/>
      <c r="J34" s="237" t="s">
        <v>994</v>
      </c>
      <c r="K34" s="479"/>
      <c r="L34" s="1562"/>
      <c r="M34" s="1562"/>
      <c r="R34" s="1562"/>
      <c r="U34" s="480"/>
      <c r="AA34" s="1558"/>
      <c r="AB34" s="1558"/>
      <c r="AC34" s="1558"/>
      <c r="AD34" s="1558"/>
      <c r="AE34" s="1558"/>
      <c r="AF34" s="1086">
        <v>19</v>
      </c>
    </row>
    <row r="35" spans="1:32" ht="60" customHeight="1">
      <c r="D35" s="1564"/>
      <c r="E35" s="1601" t="s">
        <v>995</v>
      </c>
      <c r="F35" s="883" t="s">
        <v>996</v>
      </c>
      <c r="G35" s="1580" t="s">
        <v>802</v>
      </c>
      <c r="H35" s="1602"/>
      <c r="I35" s="1602"/>
      <c r="J35" s="225" t="s">
        <v>997</v>
      </c>
      <c r="K35" s="479"/>
      <c r="AF35" s="1557">
        <v>57</v>
      </c>
    </row>
    <row r="36" spans="1:32" s="1292" customFormat="1" ht="24" customHeight="1">
      <c r="A36" s="918" t="s">
        <v>828</v>
      </c>
      <c r="C36" s="1562"/>
      <c r="D36" s="1564"/>
      <c r="E36" s="1590" t="s">
        <v>81</v>
      </c>
      <c r="F36" s="643" t="s">
        <v>998</v>
      </c>
      <c r="G36" s="1569" t="s">
        <v>802</v>
      </c>
      <c r="H36" s="493"/>
      <c r="I36" s="493"/>
      <c r="J36" s="225" t="s">
        <v>999</v>
      </c>
      <c r="K36" s="479"/>
      <c r="L36" s="1562"/>
      <c r="M36" s="1562"/>
      <c r="R36" s="1562"/>
      <c r="U36" s="480"/>
      <c r="AA36" s="1558"/>
      <c r="AB36" s="1558"/>
      <c r="AC36" s="1558"/>
      <c r="AD36" s="1558"/>
      <c r="AE36" s="1558"/>
      <c r="AF36" s="1086">
        <v>23</v>
      </c>
    </row>
    <row r="37" spans="1:32" s="1292" customFormat="1" ht="35.65" customHeight="1">
      <c r="A37" s="918"/>
      <c r="C37" s="1562"/>
      <c r="D37" s="1564"/>
      <c r="E37" s="1590" t="s">
        <v>553</v>
      </c>
      <c r="F37" s="883" t="s">
        <v>1000</v>
      </c>
      <c r="G37" s="1580"/>
      <c r="H37" s="493"/>
      <c r="I37" s="493"/>
      <c r="J37" s="225"/>
      <c r="K37" s="479"/>
      <c r="L37" s="1562"/>
      <c r="M37" s="1562"/>
      <c r="R37" s="1562"/>
      <c r="U37" s="480"/>
      <c r="AA37" s="1558"/>
      <c r="AB37" s="1558"/>
      <c r="AC37" s="1558"/>
      <c r="AD37" s="1558"/>
      <c r="AE37" s="1558"/>
      <c r="AF37" s="1086">
        <v>34</v>
      </c>
    </row>
    <row r="38" spans="1:32" s="1292" customFormat="1" ht="19.899999999999999" customHeight="1">
      <c r="A38" s="916"/>
      <c r="C38" s="1562"/>
      <c r="D38" s="511"/>
      <c r="E38" s="1590" t="s">
        <v>82</v>
      </c>
      <c r="F38" s="643" t="s">
        <v>1001</v>
      </c>
      <c r="G38" s="1569" t="s">
        <v>802</v>
      </c>
      <c r="H38" s="493"/>
      <c r="I38" s="493"/>
      <c r="J38" s="225" t="s">
        <v>1002</v>
      </c>
      <c r="K38" s="479"/>
      <c r="L38" s="1562"/>
      <c r="M38" s="1562"/>
      <c r="R38" s="1562"/>
      <c r="U38" s="480"/>
      <c r="AA38" s="1558"/>
      <c r="AB38" s="1558"/>
      <c r="AC38" s="1558"/>
      <c r="AD38" s="1558"/>
      <c r="AE38" s="1558"/>
      <c r="AF38" s="1086">
        <v>19</v>
      </c>
    </row>
    <row r="39" spans="1:32" s="1292" customFormat="1" ht="24" customHeight="1">
      <c r="A39" s="916"/>
      <c r="C39" s="1562"/>
      <c r="D39" s="511"/>
      <c r="E39" s="1590" t="s">
        <v>1003</v>
      </c>
      <c r="F39" s="883" t="s">
        <v>1004</v>
      </c>
      <c r="G39" s="1580" t="s">
        <v>802</v>
      </c>
      <c r="H39" s="493"/>
      <c r="I39" s="493"/>
      <c r="J39" s="225" t="s">
        <v>1005</v>
      </c>
      <c r="K39" s="479"/>
      <c r="L39" s="1562"/>
      <c r="M39" s="1562"/>
      <c r="R39" s="1562"/>
      <c r="U39" s="480"/>
      <c r="AA39" s="1558"/>
      <c r="AB39" s="1558"/>
      <c r="AC39" s="1558"/>
      <c r="AD39" s="1558"/>
      <c r="AE39" s="1558"/>
      <c r="AF39" s="1086">
        <v>23</v>
      </c>
    </row>
    <row r="40" spans="1:32" s="1292" customFormat="1" ht="24" customHeight="1">
      <c r="A40" s="916"/>
      <c r="C40" s="1562"/>
      <c r="D40" s="1564"/>
      <c r="E40" s="1590" t="s">
        <v>1006</v>
      </c>
      <c r="F40" s="1576" t="s">
        <v>1007</v>
      </c>
      <c r="G40" s="1569" t="s">
        <v>802</v>
      </c>
      <c r="H40" s="493"/>
      <c r="I40" s="493"/>
      <c r="J40" s="225" t="s">
        <v>1008</v>
      </c>
      <c r="K40" s="479"/>
      <c r="L40" s="1562"/>
      <c r="M40" s="1562"/>
      <c r="R40" s="1562"/>
      <c r="U40" s="480"/>
      <c r="AA40" s="1558"/>
      <c r="AB40" s="1558"/>
      <c r="AC40" s="1558"/>
      <c r="AD40" s="1558"/>
      <c r="AE40" s="1558"/>
      <c r="AF40" s="1086">
        <v>23</v>
      </c>
    </row>
    <row r="41" spans="1:32" s="1292" customFormat="1" ht="24" customHeight="1">
      <c r="A41" s="916"/>
      <c r="C41" s="1562"/>
      <c r="D41" s="1564"/>
      <c r="E41" s="1590" t="s">
        <v>1009</v>
      </c>
      <c r="F41" s="1576" t="s">
        <v>1010</v>
      </c>
      <c r="G41" s="1569" t="s">
        <v>802</v>
      </c>
      <c r="H41" s="493"/>
      <c r="I41" s="493"/>
      <c r="J41" s="225" t="s">
        <v>1011</v>
      </c>
      <c r="K41" s="479"/>
      <c r="L41" s="1562"/>
      <c r="M41" s="1562"/>
      <c r="R41" s="1562"/>
      <c r="U41" s="480"/>
      <c r="AA41" s="1558"/>
      <c r="AB41" s="1558"/>
      <c r="AC41" s="1558"/>
      <c r="AD41" s="1558"/>
      <c r="AE41" s="1558"/>
      <c r="AF41" s="1086">
        <v>23</v>
      </c>
    </row>
    <row r="42" spans="1:32" s="1292" customFormat="1" ht="24" customHeight="1">
      <c r="A42" s="916"/>
      <c r="C42" s="1562"/>
      <c r="D42" s="1564"/>
      <c r="E42" s="1590" t="s">
        <v>1012</v>
      </c>
      <c r="F42" s="1576" t="s">
        <v>1013</v>
      </c>
      <c r="G42" s="1569" t="s">
        <v>802</v>
      </c>
      <c r="H42" s="493"/>
      <c r="I42" s="493"/>
      <c r="J42" s="225" t="s">
        <v>1014</v>
      </c>
      <c r="K42" s="479"/>
      <c r="L42" s="1562"/>
      <c r="M42" s="1562"/>
      <c r="R42" s="1562"/>
      <c r="U42" s="480"/>
      <c r="AA42" s="1558"/>
      <c r="AB42" s="1558"/>
      <c r="AC42" s="1558"/>
      <c r="AD42" s="1558"/>
      <c r="AE42" s="1558"/>
      <c r="AF42" s="1086">
        <v>23</v>
      </c>
    </row>
    <row r="43" spans="1:32" s="1292" customFormat="1" ht="35.65" customHeight="1">
      <c r="A43" s="916"/>
      <c r="C43" s="1562" t="s">
        <v>838</v>
      </c>
      <c r="D43" s="1564"/>
      <c r="E43" s="1590" t="s">
        <v>109</v>
      </c>
      <c r="F43" s="643" t="s">
        <v>879</v>
      </c>
      <c r="G43" s="1572" t="s">
        <v>1015</v>
      </c>
      <c r="H43" s="337"/>
      <c r="I43" s="337"/>
      <c r="J43" s="225" t="s">
        <v>1016</v>
      </c>
      <c r="K43" s="479"/>
      <c r="L43" s="1562"/>
      <c r="M43" s="1562"/>
      <c r="R43" s="1562"/>
      <c r="U43" s="480"/>
      <c r="AA43" s="1558"/>
      <c r="AB43" s="1558"/>
      <c r="AC43" s="1558"/>
      <c r="AD43" s="1558"/>
      <c r="AE43" s="1558"/>
      <c r="AF43" s="1086">
        <v>34</v>
      </c>
    </row>
    <row r="44" spans="1:32" s="1292" customFormat="1" ht="35.65" customHeight="1">
      <c r="A44" s="916"/>
      <c r="C44" s="1562"/>
      <c r="D44" s="1564"/>
      <c r="E44" s="1590" t="s">
        <v>83</v>
      </c>
      <c r="F44" s="643" t="s">
        <v>1017</v>
      </c>
      <c r="G44" s="1569" t="s">
        <v>1018</v>
      </c>
      <c r="H44" s="481"/>
      <c r="I44" s="481"/>
      <c r="J44" s="225" t="s">
        <v>1019</v>
      </c>
      <c r="K44" s="479"/>
      <c r="L44" s="1562"/>
      <c r="M44" s="1562"/>
      <c r="R44" s="1562"/>
      <c r="U44" s="480"/>
      <c r="AA44" s="1558"/>
      <c r="AB44" s="1558"/>
      <c r="AC44" s="1558"/>
      <c r="AD44" s="1558"/>
      <c r="AE44" s="1558"/>
      <c r="AF44" s="1086">
        <v>34</v>
      </c>
    </row>
    <row r="45" spans="1:32" s="1292" customFormat="1" ht="24" customHeight="1">
      <c r="A45" s="916"/>
      <c r="C45" s="1562"/>
      <c r="D45" s="1564"/>
      <c r="E45" s="1590" t="s">
        <v>84</v>
      </c>
      <c r="F45" s="643" t="s">
        <v>1020</v>
      </c>
      <c r="G45" s="1580" t="s">
        <v>1021</v>
      </c>
      <c r="H45" s="481"/>
      <c r="I45" s="481"/>
      <c r="J45" s="225" t="s">
        <v>1022</v>
      </c>
      <c r="K45" s="479"/>
      <c r="L45" s="1562"/>
      <c r="M45" s="1562"/>
      <c r="R45" s="1562"/>
      <c r="U45" s="480"/>
      <c r="AA45" s="1558"/>
      <c r="AB45" s="1558"/>
      <c r="AC45" s="1558"/>
      <c r="AD45" s="1558"/>
      <c r="AE45" s="1558"/>
      <c r="AF45" s="1086">
        <v>23</v>
      </c>
    </row>
    <row r="46" spans="1:32" s="1292" customFormat="1" ht="19.899999999999999" customHeight="1">
      <c r="A46" s="916"/>
      <c r="C46" s="1562"/>
      <c r="D46" s="1564"/>
      <c r="E46" s="1590" t="s">
        <v>90</v>
      </c>
      <c r="F46" s="643" t="s">
        <v>1023</v>
      </c>
      <c r="G46" s="1569" t="s">
        <v>840</v>
      </c>
      <c r="H46" s="513"/>
      <c r="I46" s="513"/>
      <c r="J46" s="225"/>
      <c r="K46" s="479"/>
      <c r="L46" s="1562"/>
      <c r="M46" s="1562"/>
      <c r="R46" s="1562"/>
      <c r="U46" s="480"/>
      <c r="AA46" s="1558"/>
      <c r="AB46" s="1558"/>
      <c r="AC46" s="1558"/>
      <c r="AD46" s="1558"/>
      <c r="AE46" s="1558"/>
      <c r="AF46" s="1086">
        <v>19</v>
      </c>
    </row>
    <row r="47" spans="1:32" ht="11.45" customHeight="1">
      <c r="D47" s="1564"/>
      <c r="AF47" s="155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H50" s="502"/>
      <c r="I50" s="502"/>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s="1567" customFormat="1" ht="11.45" customHeight="1">
      <c r="A196" s="916"/>
      <c r="B196" s="1562"/>
      <c r="C196" s="1562"/>
      <c r="D196" s="287"/>
      <c r="K196" s="1086"/>
      <c r="L196" s="1562"/>
      <c r="M196" s="1562"/>
      <c r="N196" s="1086"/>
      <c r="O196" s="1086"/>
      <c r="P196" s="1086"/>
      <c r="Q196" s="1086"/>
      <c r="R196" s="1562"/>
      <c r="S196" s="1086"/>
      <c r="T196" s="1086"/>
      <c r="U196" s="480"/>
      <c r="V196" s="1086"/>
      <c r="W196" s="1086"/>
      <c r="X196" s="1086"/>
      <c r="Y196" s="1086"/>
      <c r="Z196" s="1086"/>
      <c r="AA196" s="1558"/>
      <c r="AB196" s="502"/>
      <c r="AC196" s="502"/>
      <c r="AD196" s="502"/>
      <c r="AE196" s="502"/>
      <c r="AF196" s="1567">
        <v>11</v>
      </c>
    </row>
    <row r="197" spans="1:32" s="1567" customFormat="1" ht="11.45" customHeight="1">
      <c r="A197" s="916"/>
      <c r="B197" s="1562"/>
      <c r="C197" s="1562"/>
      <c r="D197" s="287"/>
      <c r="K197" s="1086"/>
      <c r="L197" s="1562"/>
      <c r="M197" s="1562"/>
      <c r="N197" s="1086"/>
      <c r="O197" s="1086"/>
      <c r="P197" s="1086"/>
      <c r="Q197" s="1086"/>
      <c r="R197" s="1562"/>
      <c r="S197" s="1086"/>
      <c r="T197" s="1086"/>
      <c r="U197" s="480"/>
      <c r="V197" s="1086"/>
      <c r="W197" s="1086"/>
      <c r="X197" s="1086"/>
      <c r="Y197" s="1086"/>
      <c r="Z197" s="1086"/>
      <c r="AA197" s="1558"/>
      <c r="AB197" s="502"/>
      <c r="AC197" s="502"/>
      <c r="AD197" s="502"/>
      <c r="AE197" s="502"/>
      <c r="AF197" s="1567">
        <v>11</v>
      </c>
    </row>
    <row r="198" spans="1:32" s="1567" customFormat="1" ht="11.45" customHeight="1">
      <c r="A198" s="916"/>
      <c r="B198" s="1562"/>
      <c r="C198" s="1562"/>
      <c r="D198" s="287"/>
      <c r="K198" s="1086"/>
      <c r="L198" s="1562"/>
      <c r="M198" s="1562"/>
      <c r="N198" s="1086"/>
      <c r="O198" s="1086"/>
      <c r="P198" s="1086"/>
      <c r="Q198" s="1086"/>
      <c r="R198" s="1562"/>
      <c r="S198" s="1086"/>
      <c r="T198" s="1086"/>
      <c r="U198" s="480"/>
      <c r="V198" s="1086"/>
      <c r="W198" s="1086"/>
      <c r="X198" s="1086"/>
      <c r="Y198" s="1086"/>
      <c r="Z198" s="1086"/>
      <c r="AA198" s="1558"/>
      <c r="AB198" s="502"/>
      <c r="AC198" s="502"/>
      <c r="AD198" s="502"/>
      <c r="AE198" s="502"/>
      <c r="AF198" s="1567">
        <v>11</v>
      </c>
    </row>
    <row r="199" spans="1:32" s="1567" customFormat="1" ht="11.45" customHeight="1">
      <c r="A199" s="916"/>
      <c r="B199" s="1562"/>
      <c r="C199" s="1562"/>
      <c r="D199" s="287"/>
      <c r="K199" s="1086"/>
      <c r="L199" s="1562"/>
      <c r="M199" s="1562"/>
      <c r="N199" s="1086"/>
      <c r="O199" s="1086"/>
      <c r="P199" s="1086"/>
      <c r="Q199" s="1086"/>
      <c r="R199" s="1562"/>
      <c r="S199" s="1086"/>
      <c r="T199" s="1086"/>
      <c r="U199" s="480"/>
      <c r="V199" s="1086"/>
      <c r="W199" s="1086"/>
      <c r="X199" s="1086"/>
      <c r="Y199" s="1086"/>
      <c r="Z199" s="1086"/>
      <c r="AA199" s="1558"/>
      <c r="AB199" s="502"/>
      <c r="AC199" s="502"/>
      <c r="AD199" s="502"/>
      <c r="AE199" s="502"/>
      <c r="AF199" s="1567">
        <v>11</v>
      </c>
    </row>
    <row r="200" spans="1:32" s="1567" customFormat="1" ht="11.45" customHeight="1">
      <c r="A200" s="916"/>
      <c r="B200" s="1562"/>
      <c r="C200" s="1562"/>
      <c r="D200" s="287"/>
      <c r="K200" s="1086"/>
      <c r="L200" s="1562"/>
      <c r="M200" s="1562"/>
      <c r="N200" s="1086"/>
      <c r="O200" s="1086"/>
      <c r="P200" s="1086"/>
      <c r="Q200" s="1086"/>
      <c r="R200" s="1562"/>
      <c r="S200" s="1086"/>
      <c r="T200" s="1086"/>
      <c r="U200" s="480"/>
      <c r="V200" s="1086"/>
      <c r="W200" s="1086"/>
      <c r="X200" s="1086"/>
      <c r="Y200" s="1086"/>
      <c r="Z200" s="1086"/>
      <c r="AA200" s="1558"/>
      <c r="AB200" s="502"/>
      <c r="AC200" s="502"/>
      <c r="AD200" s="502"/>
      <c r="AE200" s="502"/>
      <c r="AF200" s="1567">
        <v>11</v>
      </c>
    </row>
    <row r="201" spans="1:32" s="1567" customFormat="1" ht="11.45" customHeight="1">
      <c r="A201" s="916"/>
      <c r="B201" s="1562"/>
      <c r="C201" s="1562"/>
      <c r="D201" s="287"/>
      <c r="K201" s="1086"/>
      <c r="L201" s="1562"/>
      <c r="M201" s="1562"/>
      <c r="N201" s="1086"/>
      <c r="O201" s="1086"/>
      <c r="P201" s="1086"/>
      <c r="Q201" s="1086"/>
      <c r="R201" s="1562"/>
      <c r="S201" s="1086"/>
      <c r="T201" s="1086"/>
      <c r="U201" s="480"/>
      <c r="V201" s="1086"/>
      <c r="W201" s="1086"/>
      <c r="X201" s="1086"/>
      <c r="Y201" s="1086"/>
      <c r="Z201" s="1086"/>
      <c r="AA201" s="1558"/>
      <c r="AB201" s="502"/>
      <c r="AC201" s="502"/>
      <c r="AD201" s="502"/>
      <c r="AE201" s="502"/>
      <c r="AF201" s="1567">
        <v>11</v>
      </c>
    </row>
    <row r="202" spans="1:32" s="1567" customFormat="1" ht="11.45" customHeight="1">
      <c r="A202" s="916"/>
      <c r="B202" s="1562"/>
      <c r="C202" s="1562"/>
      <c r="D202" s="287"/>
      <c r="K202" s="1086"/>
      <c r="L202" s="1562"/>
      <c r="M202" s="1562"/>
      <c r="N202" s="1086"/>
      <c r="O202" s="1086"/>
      <c r="P202" s="1086"/>
      <c r="Q202" s="1086"/>
      <c r="R202" s="1562"/>
      <c r="S202" s="1086"/>
      <c r="T202" s="1086"/>
      <c r="U202" s="480"/>
      <c r="V202" s="1086"/>
      <c r="W202" s="1086"/>
      <c r="X202" s="1086"/>
      <c r="Y202" s="1086"/>
      <c r="Z202" s="1086"/>
      <c r="AA202" s="1558"/>
      <c r="AB202" s="502"/>
      <c r="AC202" s="502"/>
      <c r="AD202" s="502"/>
      <c r="AE202" s="502"/>
      <c r="AF202" s="1567">
        <v>11</v>
      </c>
    </row>
    <row r="203" spans="1:32" ht="11.45" customHeight="1">
      <c r="AF203" s="1557">
        <v>11</v>
      </c>
    </row>
    <row r="204" spans="1:32" ht="11.45" customHeight="1">
      <c r="AF204" s="1557">
        <v>11</v>
      </c>
    </row>
    <row r="205" spans="1:32" ht="11.45" customHeight="1">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45" customHeight="1">
      <c r="A210" s="919"/>
      <c r="B210" s="1557"/>
      <c r="D210" s="1557"/>
      <c r="K210" s="1557"/>
      <c r="N210" s="1557"/>
      <c r="O210" s="1557"/>
      <c r="P210" s="1557"/>
      <c r="Q210" s="1557"/>
      <c r="S210" s="1557"/>
      <c r="T210" s="1557"/>
      <c r="U210" s="1557"/>
      <c r="V210" s="1557"/>
      <c r="W210" s="1557"/>
      <c r="X210" s="1557"/>
      <c r="Y210" s="1557"/>
      <c r="Z210" s="1557"/>
      <c r="AA210" s="1557"/>
      <c r="AB210" s="1557"/>
      <c r="AC210" s="1557"/>
      <c r="AD210" s="1557"/>
      <c r="AE210" s="1557"/>
      <c r="AF210" s="1557">
        <v>11</v>
      </c>
    </row>
    <row r="211" spans="1:32" ht="11.45" customHeight="1">
      <c r="A211" s="919"/>
      <c r="B211" s="1557"/>
      <c r="D211" s="1557"/>
      <c r="K211" s="1557"/>
      <c r="N211" s="1557"/>
      <c r="O211" s="1557"/>
      <c r="P211" s="1557"/>
      <c r="Q211" s="1557"/>
      <c r="S211" s="1557"/>
      <c r="T211" s="1557"/>
      <c r="U211" s="1557"/>
      <c r="V211" s="1557"/>
      <c r="W211" s="1557"/>
      <c r="X211" s="1557"/>
      <c r="Y211" s="1557"/>
      <c r="Z211" s="1557"/>
      <c r="AA211" s="1557"/>
      <c r="AB211" s="1557"/>
      <c r="AC211" s="1557"/>
      <c r="AD211" s="1557"/>
      <c r="AE211" s="1557"/>
      <c r="AF211" s="1557">
        <v>11</v>
      </c>
    </row>
    <row r="212" spans="1:32" ht="11.45" customHeight="1">
      <c r="A212" s="919"/>
      <c r="B212" s="1557"/>
      <c r="D212" s="1557"/>
      <c r="K212" s="1557"/>
      <c r="N212" s="1557"/>
      <c r="O212" s="1557"/>
      <c r="P212" s="1557"/>
      <c r="Q212" s="1557"/>
      <c r="S212" s="1557"/>
      <c r="T212" s="1557"/>
      <c r="U212" s="1557"/>
      <c r="V212" s="1557"/>
      <c r="W212" s="1557"/>
      <c r="X212" s="1557"/>
      <c r="Y212" s="1557"/>
      <c r="Z212" s="1557"/>
      <c r="AA212" s="1557"/>
      <c r="AB212" s="1557"/>
      <c r="AC212" s="1557"/>
      <c r="AD212" s="1557"/>
      <c r="AE212" s="1557"/>
      <c r="AF212" s="1557">
        <v>11</v>
      </c>
    </row>
    <row r="213" spans="1:32" ht="11.45" customHeight="1">
      <c r="A213" s="919"/>
      <c r="B213" s="1557"/>
      <c r="D213" s="1557"/>
      <c r="K213" s="1557"/>
      <c r="N213" s="1557"/>
      <c r="O213" s="1557"/>
      <c r="P213" s="1557"/>
      <c r="Q213" s="1557"/>
      <c r="S213" s="1557"/>
      <c r="T213" s="1557"/>
      <c r="U213" s="1557"/>
      <c r="V213" s="1557"/>
      <c r="W213" s="1557"/>
      <c r="X213" s="1557"/>
      <c r="Y213" s="1557"/>
      <c r="Z213" s="1557"/>
      <c r="AA213" s="1557"/>
      <c r="AB213" s="1557"/>
      <c r="AC213" s="1557"/>
      <c r="AD213" s="1557"/>
      <c r="AE213" s="1557"/>
      <c r="AF213" s="1557">
        <v>11</v>
      </c>
    </row>
    <row r="214" spans="1:32" ht="11.45" customHeight="1">
      <c r="A214" s="919"/>
      <c r="B214" s="1557"/>
      <c r="D214" s="1557"/>
      <c r="K214" s="1557"/>
      <c r="N214" s="1557"/>
      <c r="O214" s="1557"/>
      <c r="P214" s="1557"/>
      <c r="Q214" s="1557"/>
      <c r="S214" s="1557"/>
      <c r="T214" s="1557"/>
      <c r="U214" s="1557"/>
      <c r="V214" s="1557"/>
      <c r="W214" s="1557"/>
      <c r="X214" s="1557"/>
      <c r="Y214" s="1557"/>
      <c r="Z214" s="1557"/>
      <c r="AA214" s="1557"/>
      <c r="AB214" s="1557"/>
      <c r="AC214" s="1557"/>
      <c r="AD214" s="1557"/>
      <c r="AE214" s="1557"/>
      <c r="AF214" s="1557">
        <v>11</v>
      </c>
    </row>
    <row r="215" spans="1:32" ht="11.45" customHeight="1">
      <c r="A215" s="919"/>
      <c r="B215" s="1557"/>
      <c r="D215" s="1557"/>
      <c r="K215" s="1557"/>
      <c r="N215" s="1557"/>
      <c r="O215" s="1557"/>
      <c r="P215" s="1557"/>
      <c r="Q215" s="1557"/>
      <c r="S215" s="1557"/>
      <c r="T215" s="1557"/>
      <c r="U215" s="1557"/>
      <c r="V215" s="1557"/>
      <c r="W215" s="1557"/>
      <c r="X215" s="1557"/>
      <c r="Y215" s="1557"/>
      <c r="Z215" s="1557"/>
      <c r="AA215" s="1557"/>
      <c r="AB215" s="1557"/>
      <c r="AC215" s="1557"/>
      <c r="AD215" s="1557"/>
      <c r="AE215" s="1557"/>
      <c r="AF215" s="1557">
        <v>11</v>
      </c>
    </row>
    <row r="216" spans="1:32" ht="11.45" customHeight="1">
      <c r="A216" s="919"/>
      <c r="B216" s="1557"/>
      <c r="D216" s="1557"/>
      <c r="K216" s="1557"/>
      <c r="N216" s="1557"/>
      <c r="O216" s="1557"/>
      <c r="P216" s="1557"/>
      <c r="Q216" s="1557"/>
      <c r="S216" s="1557"/>
      <c r="T216" s="1557"/>
      <c r="U216" s="1557"/>
      <c r="V216" s="1557"/>
      <c r="W216" s="1557"/>
      <c r="X216" s="1557"/>
      <c r="Y216" s="1557"/>
      <c r="Z216" s="1557"/>
      <c r="AA216" s="1557"/>
      <c r="AB216" s="1557"/>
      <c r="AC216" s="1557"/>
      <c r="AD216" s="1557"/>
      <c r="AE216" s="1557"/>
      <c r="AF216" s="1557">
        <v>11</v>
      </c>
    </row>
    <row r="217" spans="1:32" ht="11.25" hidden="1" customHeight="1">
      <c r="A217" s="916" t="s">
        <v>73</v>
      </c>
      <c r="B217" s="1086">
        <v>0</v>
      </c>
      <c r="C217" s="1562">
        <v>0</v>
      </c>
      <c r="D217" s="1561">
        <v>3</v>
      </c>
      <c r="E217" s="1557">
        <v>7</v>
      </c>
      <c r="F217" s="1557">
        <v>56</v>
      </c>
      <c r="G217" s="1557">
        <v>10</v>
      </c>
      <c r="H217" s="1557">
        <v>0</v>
      </c>
      <c r="I217" s="1557">
        <v>40</v>
      </c>
      <c r="J217" s="1557">
        <v>102</v>
      </c>
      <c r="K217" s="1086">
        <v>9</v>
      </c>
      <c r="L217" s="1562">
        <v>5</v>
      </c>
      <c r="M217" s="1562">
        <v>3</v>
      </c>
      <c r="N217" s="1086">
        <v>3</v>
      </c>
      <c r="O217" s="1086">
        <v>3</v>
      </c>
      <c r="P217" s="1086">
        <v>3</v>
      </c>
      <c r="Q217" s="1086">
        <v>3</v>
      </c>
      <c r="R217" s="1562">
        <v>10</v>
      </c>
      <c r="S217" s="1086">
        <v>34</v>
      </c>
      <c r="T217" s="1086">
        <v>9</v>
      </c>
      <c r="U217" s="480">
        <v>8</v>
      </c>
      <c r="V217" s="1086">
        <v>8</v>
      </c>
      <c r="W217" s="1086">
        <v>8</v>
      </c>
      <c r="X217" s="1086">
        <v>8</v>
      </c>
      <c r="Y217" s="1086">
        <v>8</v>
      </c>
      <c r="Z217" s="1086">
        <v>8</v>
      </c>
      <c r="AA217" s="1558">
        <v>8</v>
      </c>
      <c r="AB217" s="1558">
        <v>8</v>
      </c>
      <c r="AC217" s="1558">
        <v>8</v>
      </c>
      <c r="AD217" s="1558">
        <v>8</v>
      </c>
      <c r="AE217" s="1558">
        <v>8</v>
      </c>
      <c r="AF217" s="1557">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0" width="102" style="1561" customWidth="1"/>
    <col min="11" max="11" width="9" style="1292" customWidth="1"/>
    <col min="12" max="12" width="5" style="1568" customWidth="1"/>
    <col min="13" max="13" width="3" style="1568" customWidth="1"/>
    <col min="14" max="17" width="3" style="1292" customWidth="1"/>
    <col min="18" max="18" width="10" style="1568" customWidth="1"/>
    <col min="19" max="19" width="34" style="1292" customWidth="1"/>
    <col min="20" max="20" width="9" style="1292" customWidth="1"/>
    <col min="21" max="21" width="8" style="672" customWidth="1"/>
    <col min="22" max="26" width="8" style="1292" customWidth="1"/>
    <col min="27" max="31" width="8" style="1558" customWidth="1"/>
    <col min="32" max="32" width="9.140625" style="1561" hidden="1"/>
  </cols>
  <sheetData>
    <row r="1" spans="1:32" s="1292" customFormat="1" ht="22.5" hidden="1" customHeight="1">
      <c r="A1" s="916"/>
      <c r="C1" s="1562"/>
      <c r="D1" s="473"/>
      <c r="H1" s="1086">
        <v>4</v>
      </c>
      <c r="I1" s="1086">
        <v>4</v>
      </c>
      <c r="L1" s="1562"/>
      <c r="M1" s="1562"/>
      <c r="R1" s="1562"/>
      <c r="AF1" s="1086" t="s">
        <v>1</v>
      </c>
    </row>
    <row r="2" spans="1:32" s="1292" customFormat="1" ht="22.5" hidden="1" customHeight="1">
      <c r="A2" s="916"/>
      <c r="C2" s="1562"/>
      <c r="D2" s="474"/>
      <c r="E2" s="1584"/>
      <c r="F2" s="476"/>
      <c r="G2" s="1583" t="s">
        <v>802</v>
      </c>
      <c r="H2" s="477"/>
      <c r="I2" s="477"/>
      <c r="J2" s="478" t="s">
        <v>805</v>
      </c>
      <c r="K2" s="479"/>
      <c r="L2" s="1562"/>
      <c r="M2" s="1562"/>
      <c r="R2" s="1562"/>
      <c r="U2" s="480"/>
      <c r="AA2" s="1558"/>
      <c r="AB2" s="1558"/>
      <c r="AC2" s="1558"/>
      <c r="AD2" s="1558"/>
      <c r="AE2" s="1558"/>
      <c r="AF2" s="1086">
        <v>0</v>
      </c>
    </row>
    <row r="3" spans="1:32" ht="11.25" hidden="1" customHeight="1">
      <c r="AF3" s="1557">
        <v>0</v>
      </c>
    </row>
    <row r="4" spans="1:32" s="1558" customFormat="1" ht="11.25" hidden="1" customHeight="1">
      <c r="A4" s="916"/>
      <c r="B4" s="1086"/>
      <c r="C4" s="1562"/>
      <c r="D4" s="298"/>
      <c r="J4" s="1558">
        <v>4</v>
      </c>
      <c r="K4" s="1086"/>
      <c r="L4" s="1562"/>
      <c r="M4" s="1562"/>
      <c r="N4" s="1086"/>
      <c r="O4" s="1086"/>
      <c r="P4" s="1086"/>
      <c r="Q4" s="1086"/>
      <c r="R4" s="1562"/>
      <c r="S4" s="1086"/>
      <c r="T4" s="1086"/>
      <c r="U4" s="480"/>
      <c r="V4" s="1086"/>
      <c r="W4" s="1086"/>
      <c r="X4" s="1086"/>
      <c r="Y4" s="1086"/>
      <c r="Z4" s="1086"/>
      <c r="AF4" s="1558">
        <v>0</v>
      </c>
    </row>
    <row r="5" spans="1:32" ht="11.45" customHeight="1">
      <c r="AF5" s="1557">
        <v>11</v>
      </c>
    </row>
    <row r="6" spans="1:32" ht="33.75" customHeight="1">
      <c r="E6" s="24069" t="s">
        <v>1024</v>
      </c>
      <c r="F6" s="24069"/>
      <c r="G6" s="24069"/>
      <c r="H6" s="24069"/>
      <c r="I6" s="24069"/>
      <c r="J6" s="492"/>
      <c r="AF6" s="1557">
        <v>32</v>
      </c>
    </row>
    <row r="7" spans="1:32" ht="25.15" customHeight="1">
      <c r="E7" s="24042" t="str">
        <f>IF(org=0,"Не определено",org)</f>
        <v>ООО "Смоленскрегионтеплоэнерго"</v>
      </c>
      <c r="F7" s="24042"/>
      <c r="G7" s="24042"/>
      <c r="H7" s="24042"/>
      <c r="I7" s="24042"/>
      <c r="AF7" s="1557">
        <v>24</v>
      </c>
    </row>
    <row r="8" spans="1:32" ht="11.45" customHeight="1">
      <c r="E8" s="1061"/>
      <c r="F8" s="1061"/>
      <c r="G8" s="1061"/>
      <c r="H8" s="1061"/>
      <c r="I8" s="1061"/>
      <c r="AF8" s="1557">
        <v>11</v>
      </c>
    </row>
    <row r="9" spans="1:32" s="1568" customFormat="1" ht="1.1499999999999999" customHeight="1">
      <c r="A9" s="1093"/>
      <c r="H9" s="818"/>
      <c r="I9" s="818" t="s">
        <v>223</v>
      </c>
      <c r="AF9" s="1562">
        <v>1</v>
      </c>
    </row>
    <row r="10" spans="1:32" ht="11.45" customHeight="1">
      <c r="E10" s="647"/>
      <c r="F10" s="24213" t="s">
        <v>214</v>
      </c>
      <c r="G10" s="24214"/>
      <c r="H10" s="1585" t="str">
        <f>IF(H9="","",INDEX(DIFFERENTIATION_UNMERGE_VD,MATCH(H9,DIFFERENTIATION_ID_DIFF,0)))</f>
        <v/>
      </c>
      <c r="I10" s="1585">
        <f>IF(I9="","",INDEX(DIFFERENTIATION_UNMERGE_VD,MATCH(I9,DIFFERENTIATION_ID_DIFF,0)))</f>
        <v>0</v>
      </c>
      <c r="J10" s="23947"/>
      <c r="AF10" s="1557">
        <v>11</v>
      </c>
    </row>
    <row r="11" spans="1:32" ht="11.45" customHeight="1">
      <c r="E11" s="647"/>
      <c r="F11" s="24213" t="s">
        <v>814</v>
      </c>
      <c r="G11" s="24214"/>
      <c r="H11" s="1585" t="str">
        <f>IF(H9="","",INDEX(DIFFERENTIATION_UNMERGE_AREA,MATCH(H9,DIFFERENTIATION_ID_DIFF,0)))</f>
        <v/>
      </c>
      <c r="I11" s="1585" t="str">
        <f>IF(I9="","",INDEX(DIFFERENTIATION_UNMERGE_AREA,MATCH(I9,DIFFERENTIATION_ID_DIFF,0)))</f>
        <v/>
      </c>
      <c r="J11" s="23947"/>
      <c r="AF11" s="1557">
        <v>11</v>
      </c>
    </row>
    <row r="12" spans="1:32" ht="11.25" hidden="1" customHeight="1">
      <c r="E12" s="1588"/>
      <c r="F12" s="24231" t="s">
        <v>815</v>
      </c>
      <c r="G12" s="24232"/>
      <c r="H12" s="1589" t="str">
        <f>IF(H9="","",INDEX(DIFFERENTIATION_UNMERGE_SYSTEM,MATCH(H9,DIFFERENTIATION_ID_DIFF,0)))</f>
        <v/>
      </c>
      <c r="I12" s="1589" t="str">
        <f>IF(I9="","",INDEX(DIFFERENTIATION_UNMERGE_SYSTEM,MATCH(I9,DIFFERENTIATION_ID_DIFF,0)))</f>
        <v>без дифференциации</v>
      </c>
      <c r="J12" s="23947"/>
      <c r="AF12" s="1557">
        <v>0</v>
      </c>
    </row>
    <row r="13" spans="1:32" ht="11.45" customHeight="1">
      <c r="E13" s="24215" t="s">
        <v>529</v>
      </c>
      <c r="F13" s="24216"/>
      <c r="G13" s="24216"/>
      <c r="H13" s="1582"/>
      <c r="I13" s="1582"/>
      <c r="J13" s="23947"/>
      <c r="AF13" s="1557">
        <v>11</v>
      </c>
    </row>
    <row r="14" spans="1:32" ht="24" customHeight="1">
      <c r="E14" s="1583" t="s">
        <v>79</v>
      </c>
      <c r="F14" s="1586" t="s">
        <v>531</v>
      </c>
      <c r="G14" s="1586" t="s">
        <v>816</v>
      </c>
      <c r="H14" s="1586" t="s">
        <v>532</v>
      </c>
      <c r="I14" s="1586" t="s">
        <v>532</v>
      </c>
      <c r="J14" s="23947"/>
      <c r="AF14" s="1557">
        <v>23</v>
      </c>
    </row>
    <row r="15" spans="1:32" ht="19.899999999999999" customHeight="1">
      <c r="D15" s="1564"/>
      <c r="E15" s="1556" t="s">
        <v>218</v>
      </c>
      <c r="F15" s="643" t="s">
        <v>1025</v>
      </c>
      <c r="G15" s="1583" t="s">
        <v>802</v>
      </c>
      <c r="H15" s="493"/>
      <c r="I15" s="493"/>
      <c r="J15" s="225" t="s">
        <v>1026</v>
      </c>
      <c r="K15" s="479" t="s">
        <v>880</v>
      </c>
      <c r="AF15" s="1557">
        <v>19</v>
      </c>
    </row>
    <row r="16" spans="1:32" ht="24" customHeight="1">
      <c r="D16" s="1564"/>
      <c r="E16" s="1556" t="s">
        <v>95</v>
      </c>
      <c r="F16" s="1591" t="s">
        <v>1027</v>
      </c>
      <c r="G16" s="1583" t="s">
        <v>802</v>
      </c>
      <c r="H16" s="494">
        <f>SUM(H17,H20:H27)</f>
        <v>0</v>
      </c>
      <c r="I16" s="494">
        <f>SUM(I17,I20:I27)</f>
        <v>0</v>
      </c>
      <c r="J16" s="225" t="s">
        <v>1028</v>
      </c>
      <c r="K16" s="479" t="s">
        <v>880</v>
      </c>
      <c r="AF16" s="1557">
        <v>23</v>
      </c>
    </row>
    <row r="17" spans="1:32" ht="35.65" customHeight="1">
      <c r="D17" s="1564"/>
      <c r="E17" s="1590" t="s">
        <v>958</v>
      </c>
      <c r="F17" s="1593" t="s">
        <v>1029</v>
      </c>
      <c r="G17" s="1580" t="s">
        <v>802</v>
      </c>
      <c r="H17" s="493"/>
      <c r="I17" s="493"/>
      <c r="J17" s="225" t="s">
        <v>1030</v>
      </c>
      <c r="K17" s="479"/>
      <c r="AF17" s="1557">
        <v>34</v>
      </c>
    </row>
    <row r="18" spans="1:32" ht="19.899999999999999" customHeight="1">
      <c r="D18" s="1564"/>
      <c r="E18" s="1590" t="s">
        <v>961</v>
      </c>
      <c r="F18" s="1594" t="s">
        <v>1031</v>
      </c>
      <c r="G18" s="1580" t="s">
        <v>802</v>
      </c>
      <c r="H18" s="493"/>
      <c r="I18" s="493"/>
      <c r="J18" s="225"/>
      <c r="K18" s="479"/>
      <c r="AF18" s="1557">
        <v>19</v>
      </c>
    </row>
    <row r="19" spans="1:32" ht="24" customHeight="1">
      <c r="D19" s="1564"/>
      <c r="E19" s="1590" t="s">
        <v>964</v>
      </c>
      <c r="F19" s="1594" t="s">
        <v>1032</v>
      </c>
      <c r="G19" s="1580" t="s">
        <v>802</v>
      </c>
      <c r="H19" s="493"/>
      <c r="I19" s="493"/>
      <c r="J19" s="225"/>
      <c r="K19" s="479"/>
      <c r="AF19" s="1557">
        <v>23</v>
      </c>
    </row>
    <row r="20" spans="1:32" ht="35.65" customHeight="1">
      <c r="D20" s="1564"/>
      <c r="E20" s="1590" t="s">
        <v>536</v>
      </c>
      <c r="F20" s="1593" t="s">
        <v>1033</v>
      </c>
      <c r="G20" s="1580" t="s">
        <v>802</v>
      </c>
      <c r="H20" s="493"/>
      <c r="I20" s="493"/>
      <c r="J20" s="225"/>
      <c r="K20" s="479"/>
      <c r="AF20" s="1557">
        <v>34</v>
      </c>
    </row>
    <row r="21" spans="1:32" ht="48.2" customHeight="1">
      <c r="D21" s="1564"/>
      <c r="E21" s="1590" t="s">
        <v>539</v>
      </c>
      <c r="F21" s="1593" t="s">
        <v>1034</v>
      </c>
      <c r="G21" s="1580" t="s">
        <v>802</v>
      </c>
      <c r="H21" s="493"/>
      <c r="I21" s="493"/>
      <c r="J21" s="225"/>
      <c r="K21" s="479"/>
      <c r="AF21" s="1557">
        <v>46</v>
      </c>
    </row>
    <row r="22" spans="1:32" ht="60" customHeight="1">
      <c r="D22" s="1564"/>
      <c r="E22" s="1590" t="s">
        <v>978</v>
      </c>
      <c r="F22" s="1593" t="s">
        <v>1035</v>
      </c>
      <c r="G22" s="1580" t="s">
        <v>802</v>
      </c>
      <c r="H22" s="493"/>
      <c r="I22" s="493"/>
      <c r="J22" s="225"/>
      <c r="K22" s="479"/>
      <c r="AF22" s="1557">
        <v>57</v>
      </c>
    </row>
    <row r="23" spans="1:32" ht="35.65" customHeight="1">
      <c r="D23" s="1564"/>
      <c r="E23" s="1590" t="s">
        <v>985</v>
      </c>
      <c r="F23" s="1593" t="s">
        <v>1036</v>
      </c>
      <c r="G23" s="1580" t="s">
        <v>802</v>
      </c>
      <c r="H23" s="493"/>
      <c r="I23" s="493"/>
      <c r="J23" s="225"/>
      <c r="K23" s="479"/>
      <c r="AF23" s="1557">
        <v>34</v>
      </c>
    </row>
    <row r="24" spans="1:32" ht="35.65" customHeight="1">
      <c r="D24" s="1564"/>
      <c r="E24" s="1590" t="s">
        <v>987</v>
      </c>
      <c r="F24" s="1593" t="s">
        <v>1037</v>
      </c>
      <c r="G24" s="1580" t="s">
        <v>802</v>
      </c>
      <c r="H24" s="493"/>
      <c r="I24" s="493"/>
      <c r="J24" s="225"/>
      <c r="K24" s="479"/>
      <c r="AF24" s="1557">
        <v>34</v>
      </c>
    </row>
    <row r="25" spans="1:32" ht="24" customHeight="1">
      <c r="D25" s="1564"/>
      <c r="E25" s="1590" t="s">
        <v>989</v>
      </c>
      <c r="F25" s="1593" t="s">
        <v>1038</v>
      </c>
      <c r="G25" s="1580" t="s">
        <v>802</v>
      </c>
      <c r="H25" s="493"/>
      <c r="I25" s="493"/>
      <c r="J25" s="225"/>
      <c r="K25" s="479"/>
      <c r="AF25" s="1557">
        <v>23</v>
      </c>
    </row>
    <row r="26" spans="1:32" ht="76.5" customHeight="1">
      <c r="D26" s="1564"/>
      <c r="E26" s="1590" t="s">
        <v>991</v>
      </c>
      <c r="F26" s="1593" t="s">
        <v>1039</v>
      </c>
      <c r="G26" s="1580" t="s">
        <v>802</v>
      </c>
      <c r="H26" s="493"/>
      <c r="I26" s="493"/>
      <c r="J26" s="225"/>
      <c r="K26" s="479"/>
      <c r="AF26" s="1557">
        <v>73</v>
      </c>
    </row>
    <row r="27" spans="1:32" s="1292" customFormat="1" ht="35.65" customHeight="1">
      <c r="A27" s="916"/>
      <c r="C27" s="1562"/>
      <c r="D27" s="1564"/>
      <c r="E27" s="1555" t="s">
        <v>995</v>
      </c>
      <c r="F27" s="1554" t="s">
        <v>1040</v>
      </c>
      <c r="G27" s="1581" t="s">
        <v>802</v>
      </c>
      <c r="H27" s="515">
        <f>SUM(H28:H29)</f>
        <v>0</v>
      </c>
      <c r="I27" s="515">
        <f>SUM(I28:I29)</f>
        <v>0</v>
      </c>
      <c r="J27" s="225" t="s">
        <v>993</v>
      </c>
      <c r="K27" s="479"/>
      <c r="L27" s="1562"/>
      <c r="M27" s="1562"/>
      <c r="R27" s="1562"/>
      <c r="U27" s="480"/>
      <c r="AA27" s="1558"/>
      <c r="AB27" s="1558"/>
      <c r="AC27" s="1558"/>
      <c r="AD27" s="1558"/>
      <c r="AE27" s="1558"/>
      <c r="AF27" s="1086">
        <v>34</v>
      </c>
    </row>
    <row r="28" spans="1:32" s="1568" customFormat="1" ht="1.1499999999999999" customHeight="1">
      <c r="A28" s="1093"/>
      <c r="D28" s="484"/>
      <c r="E28" s="732" t="str">
        <f>E27&amp;".0"</f>
        <v>2.9.0</v>
      </c>
      <c r="F28" s="920"/>
      <c r="G28" s="487"/>
      <c r="H28" s="921"/>
      <c r="I28" s="921"/>
      <c r="J28" s="922"/>
      <c r="AF28" s="1562">
        <v>1</v>
      </c>
    </row>
    <row r="29" spans="1:32" s="1292" customFormat="1" ht="19.899999999999999" customHeight="1">
      <c r="A29" s="916"/>
      <c r="C29" s="1562"/>
      <c r="D29" s="1559"/>
      <c r="E29" s="506"/>
      <c r="F29" s="1592" t="s">
        <v>827</v>
      </c>
      <c r="G29" s="508"/>
      <c r="H29" s="509"/>
      <c r="I29" s="509"/>
      <c r="J29" s="237" t="s">
        <v>994</v>
      </c>
      <c r="K29" s="479"/>
      <c r="L29" s="1562"/>
      <c r="M29" s="1562"/>
      <c r="R29" s="1562"/>
      <c r="U29" s="480"/>
      <c r="AA29" s="1558"/>
      <c r="AB29" s="1558"/>
      <c r="AC29" s="1558"/>
      <c r="AD29" s="1558"/>
      <c r="AE29" s="1558"/>
      <c r="AF29" s="1086">
        <v>19</v>
      </c>
    </row>
    <row r="30" spans="1:32" s="1292" customFormat="1" ht="24" customHeight="1">
      <c r="A30" s="916"/>
      <c r="C30" s="1562"/>
      <c r="D30" s="1564"/>
      <c r="E30" s="1590" t="s">
        <v>81</v>
      </c>
      <c r="F30" s="1587" t="s">
        <v>1041</v>
      </c>
      <c r="G30" s="1580" t="s">
        <v>802</v>
      </c>
      <c r="H30" s="493"/>
      <c r="I30" s="493"/>
      <c r="J30" s="225"/>
      <c r="K30" s="479"/>
      <c r="L30" s="1562"/>
      <c r="M30" s="1562"/>
      <c r="R30" s="1562"/>
      <c r="U30" s="480"/>
      <c r="AA30" s="1558"/>
      <c r="AB30" s="1558"/>
      <c r="AC30" s="1558"/>
      <c r="AD30" s="1558"/>
      <c r="AE30" s="1558"/>
      <c r="AF30" s="1086">
        <v>23</v>
      </c>
    </row>
    <row r="31" spans="1:32" s="1292" customFormat="1" ht="35.65" customHeight="1">
      <c r="A31" s="916"/>
      <c r="C31" s="1562"/>
      <c r="D31" s="511"/>
      <c r="E31" s="1590" t="s">
        <v>82</v>
      </c>
      <c r="F31" s="1587" t="s">
        <v>1042</v>
      </c>
      <c r="G31" s="1580" t="s">
        <v>802</v>
      </c>
      <c r="H31" s="493"/>
      <c r="I31" s="493"/>
      <c r="J31" s="225" t="s">
        <v>1043</v>
      </c>
      <c r="K31" s="479"/>
      <c r="L31" s="1562"/>
      <c r="M31" s="1562"/>
      <c r="R31" s="1562"/>
      <c r="U31" s="480"/>
      <c r="AA31" s="1558"/>
      <c r="AB31" s="1558"/>
      <c r="AC31" s="1558"/>
      <c r="AD31" s="1558"/>
      <c r="AE31" s="1558"/>
      <c r="AF31" s="1086">
        <v>34</v>
      </c>
    </row>
    <row r="32" spans="1:32" s="1292" customFormat="1" ht="24" customHeight="1">
      <c r="A32" s="916"/>
      <c r="C32" s="1562"/>
      <c r="D32" s="1564"/>
      <c r="E32" s="1590" t="s">
        <v>1003</v>
      </c>
      <c r="F32" s="626" t="s">
        <v>1007</v>
      </c>
      <c r="G32" s="1580" t="s">
        <v>802</v>
      </c>
      <c r="H32" s="493"/>
      <c r="I32" s="493"/>
      <c r="J32" s="225" t="s">
        <v>1044</v>
      </c>
      <c r="K32" s="479"/>
      <c r="L32" s="1562"/>
      <c r="M32" s="1562"/>
      <c r="R32" s="1562"/>
      <c r="U32" s="480"/>
      <c r="AA32" s="1558"/>
      <c r="AB32" s="1558"/>
      <c r="AC32" s="1558"/>
      <c r="AD32" s="1558"/>
      <c r="AE32" s="1558"/>
      <c r="AF32" s="1086">
        <v>23</v>
      </c>
    </row>
    <row r="33" spans="1:32" s="1292" customFormat="1" ht="24" customHeight="1">
      <c r="A33" s="916"/>
      <c r="C33" s="1562"/>
      <c r="D33" s="1564"/>
      <c r="E33" s="1590" t="s">
        <v>1045</v>
      </c>
      <c r="F33" s="626" t="s">
        <v>1046</v>
      </c>
      <c r="G33" s="1580" t="s">
        <v>802</v>
      </c>
      <c r="H33" s="493"/>
      <c r="I33" s="493"/>
      <c r="J33" s="225" t="s">
        <v>1047</v>
      </c>
      <c r="K33" s="479"/>
      <c r="L33" s="1562"/>
      <c r="M33" s="1562"/>
      <c r="R33" s="1562"/>
      <c r="U33" s="480"/>
      <c r="AA33" s="1558"/>
      <c r="AB33" s="1558"/>
      <c r="AC33" s="1558"/>
      <c r="AD33" s="1558"/>
      <c r="AE33" s="1558"/>
      <c r="AF33" s="1086">
        <v>23</v>
      </c>
    </row>
    <row r="34" spans="1:32" s="1292" customFormat="1" ht="24" customHeight="1">
      <c r="A34" s="916"/>
      <c r="C34" s="1562"/>
      <c r="D34" s="1564"/>
      <c r="E34" s="1590" t="s">
        <v>1048</v>
      </c>
      <c r="F34" s="626" t="s">
        <v>1013</v>
      </c>
      <c r="G34" s="1580" t="s">
        <v>802</v>
      </c>
      <c r="H34" s="493"/>
      <c r="I34" s="493"/>
      <c r="J34" s="225" t="s">
        <v>1049</v>
      </c>
      <c r="K34" s="479"/>
      <c r="L34" s="1562"/>
      <c r="M34" s="1562"/>
      <c r="R34" s="1562"/>
      <c r="U34" s="480"/>
      <c r="AA34" s="1558"/>
      <c r="AB34" s="1558"/>
      <c r="AC34" s="1558"/>
      <c r="AD34" s="1558"/>
      <c r="AE34" s="1558"/>
      <c r="AF34" s="1086">
        <v>23</v>
      </c>
    </row>
    <row r="35" spans="1:32" s="1292" customFormat="1" ht="35.65" customHeight="1">
      <c r="A35" s="916"/>
      <c r="C35" s="1562" t="s">
        <v>838</v>
      </c>
      <c r="D35" s="1564"/>
      <c r="E35" s="1590" t="s">
        <v>109</v>
      </c>
      <c r="F35" s="1587" t="s">
        <v>879</v>
      </c>
      <c r="G35" s="1583" t="s">
        <v>535</v>
      </c>
      <c r="H35" s="337"/>
      <c r="I35" s="337"/>
      <c r="J35" s="225" t="s">
        <v>1050</v>
      </c>
      <c r="K35" s="479"/>
      <c r="L35" s="1562"/>
      <c r="M35" s="1562"/>
      <c r="R35" s="1562"/>
      <c r="U35" s="480"/>
      <c r="AA35" s="1558"/>
      <c r="AB35" s="1558"/>
      <c r="AC35" s="1558"/>
      <c r="AD35" s="1558"/>
      <c r="AE35" s="1558"/>
      <c r="AF35" s="1086">
        <v>34</v>
      </c>
    </row>
    <row r="36" spans="1:32" s="1292" customFormat="1" ht="35.65" customHeight="1">
      <c r="A36" s="916"/>
      <c r="C36" s="1562"/>
      <c r="D36" s="1564"/>
      <c r="E36" s="1590" t="s">
        <v>83</v>
      </c>
      <c r="F36" s="1587" t="s">
        <v>1051</v>
      </c>
      <c r="G36" s="1580" t="s">
        <v>1018</v>
      </c>
      <c r="H36" s="481"/>
      <c r="I36" s="481"/>
      <c r="J36" s="225" t="s">
        <v>1019</v>
      </c>
      <c r="K36" s="479"/>
      <c r="L36" s="1562"/>
      <c r="M36" s="1562"/>
      <c r="R36" s="1562"/>
      <c r="U36" s="480"/>
      <c r="AA36" s="1558"/>
      <c r="AB36" s="1558"/>
      <c r="AC36" s="1558"/>
      <c r="AD36" s="1558"/>
      <c r="AE36" s="1558"/>
      <c r="AF36" s="1086">
        <v>34</v>
      </c>
    </row>
    <row r="37" spans="1:32" s="1292" customFormat="1" ht="24" customHeight="1">
      <c r="A37" s="916"/>
      <c r="C37" s="1562"/>
      <c r="D37" s="1564"/>
      <c r="E37" s="1590" t="s">
        <v>84</v>
      </c>
      <c r="F37" s="1587" t="s">
        <v>1052</v>
      </c>
      <c r="G37" s="1580" t="s">
        <v>1021</v>
      </c>
      <c r="H37" s="481"/>
      <c r="I37" s="481"/>
      <c r="J37" s="225" t="s">
        <v>1022</v>
      </c>
      <c r="K37" s="479"/>
      <c r="L37" s="1562"/>
      <c r="M37" s="1562"/>
      <c r="R37" s="1562"/>
      <c r="U37" s="480"/>
      <c r="AA37" s="1558"/>
      <c r="AB37" s="1558"/>
      <c r="AC37" s="1558"/>
      <c r="AD37" s="1558"/>
      <c r="AE37" s="1558"/>
      <c r="AF37" s="1086">
        <v>23</v>
      </c>
    </row>
    <row r="38" spans="1:32" ht="11.45" customHeight="1">
      <c r="D38" s="1564"/>
      <c r="AF38" s="1557">
        <v>11</v>
      </c>
    </row>
    <row r="39" spans="1:32" ht="27.4" customHeight="1">
      <c r="D39" s="1564"/>
      <c r="E39" s="1179" t="s">
        <v>1053</v>
      </c>
      <c r="F39" s="24087" t="s">
        <v>1054</v>
      </c>
      <c r="G39" s="24087"/>
      <c r="H39" s="305"/>
      <c r="I39" s="305"/>
      <c r="J39" s="305"/>
      <c r="AF39" s="1557">
        <v>26</v>
      </c>
    </row>
    <row r="40" spans="1:32" s="1567" customFormat="1" ht="39.75" customHeight="1">
      <c r="A40" s="916"/>
      <c r="B40" s="1562"/>
      <c r="C40" s="1562"/>
      <c r="D40" s="287"/>
      <c r="F40" s="24087" t="s">
        <v>1055</v>
      </c>
      <c r="G40" s="24087"/>
      <c r="H40" s="305"/>
      <c r="I40" s="305"/>
      <c r="J40" s="305"/>
      <c r="K40" s="1086"/>
      <c r="L40" s="1562"/>
      <c r="M40" s="1562"/>
      <c r="N40" s="1086"/>
      <c r="O40" s="1086"/>
      <c r="P40" s="1086"/>
      <c r="Q40" s="1086"/>
      <c r="R40" s="1562"/>
      <c r="S40" s="1086"/>
      <c r="T40" s="1086"/>
      <c r="U40" s="480"/>
      <c r="V40" s="1086"/>
      <c r="W40" s="1086"/>
      <c r="X40" s="1086"/>
      <c r="Y40" s="1086"/>
      <c r="Z40" s="1086"/>
      <c r="AA40" s="1558"/>
      <c r="AB40" s="502"/>
      <c r="AC40" s="502"/>
      <c r="AD40" s="502"/>
      <c r="AE40" s="502"/>
      <c r="AF40" s="1567">
        <v>38</v>
      </c>
    </row>
    <row r="41" spans="1:32" s="1567" customFormat="1" ht="11.45" customHeight="1">
      <c r="A41" s="916"/>
      <c r="B41" s="1562"/>
      <c r="C41" s="1562"/>
      <c r="D41" s="287"/>
      <c r="K41" s="1086"/>
      <c r="L41" s="1562"/>
      <c r="M41" s="1562"/>
      <c r="N41" s="1086"/>
      <c r="O41" s="1086"/>
      <c r="P41" s="1086"/>
      <c r="Q41" s="1086"/>
      <c r="R41" s="1562"/>
      <c r="S41" s="1086"/>
      <c r="T41" s="1086"/>
      <c r="U41" s="480"/>
      <c r="V41" s="1086"/>
      <c r="W41" s="1086"/>
      <c r="X41" s="1086"/>
      <c r="Y41" s="1086"/>
      <c r="Z41" s="1086"/>
      <c r="AA41" s="1558"/>
      <c r="AB41" s="502"/>
      <c r="AC41" s="502"/>
      <c r="AD41" s="502"/>
      <c r="AE41" s="502"/>
      <c r="AF41" s="1567">
        <v>11</v>
      </c>
    </row>
    <row r="42" spans="1:32" s="1567" customFormat="1" ht="11.45" customHeight="1">
      <c r="A42" s="916"/>
      <c r="B42" s="1562"/>
      <c r="C42" s="1562"/>
      <c r="D42" s="287"/>
      <c r="K42" s="1086"/>
      <c r="L42" s="1562"/>
      <c r="M42" s="1562"/>
      <c r="N42" s="1086"/>
      <c r="O42" s="1086"/>
      <c r="P42" s="1086"/>
      <c r="Q42" s="1086"/>
      <c r="R42" s="1562"/>
      <c r="S42" s="1086"/>
      <c r="T42" s="1086"/>
      <c r="U42" s="480"/>
      <c r="V42" s="1086"/>
      <c r="W42" s="1086"/>
      <c r="X42" s="1086"/>
      <c r="Y42" s="1086"/>
      <c r="Z42" s="1086"/>
      <c r="AA42" s="1558"/>
      <c r="AB42" s="502"/>
      <c r="AC42" s="502"/>
      <c r="AD42" s="502"/>
      <c r="AE42" s="502"/>
      <c r="AF42" s="1567">
        <v>11</v>
      </c>
    </row>
    <row r="43" spans="1:32" s="1567" customFormat="1" ht="11.45" customHeight="1">
      <c r="A43" s="916"/>
      <c r="B43" s="1562"/>
      <c r="C43" s="1562"/>
      <c r="D43" s="287"/>
      <c r="H43" s="502"/>
      <c r="I43" s="502"/>
      <c r="K43" s="1086"/>
      <c r="L43" s="1562"/>
      <c r="M43" s="1562"/>
      <c r="N43" s="1086"/>
      <c r="O43" s="1086"/>
      <c r="P43" s="1086"/>
      <c r="Q43" s="1086"/>
      <c r="R43" s="1562"/>
      <c r="S43" s="1086"/>
      <c r="T43" s="1086"/>
      <c r="U43" s="480"/>
      <c r="V43" s="1086"/>
      <c r="W43" s="1086"/>
      <c r="X43" s="1086"/>
      <c r="Y43" s="1086"/>
      <c r="Z43" s="1086"/>
      <c r="AA43" s="1558"/>
      <c r="AB43" s="502"/>
      <c r="AC43" s="502"/>
      <c r="AD43" s="502"/>
      <c r="AE43" s="502"/>
      <c r="AF43" s="1567">
        <v>11</v>
      </c>
    </row>
    <row r="44" spans="1:32" s="1567" customFormat="1" ht="11.45" customHeight="1">
      <c r="A44" s="916"/>
      <c r="B44" s="1562"/>
      <c r="C44" s="1562"/>
      <c r="D44" s="287"/>
      <c r="K44" s="1086"/>
      <c r="L44" s="1562"/>
      <c r="M44" s="1562"/>
      <c r="N44" s="1086"/>
      <c r="O44" s="1086"/>
      <c r="P44" s="1086"/>
      <c r="Q44" s="1086"/>
      <c r="R44" s="1562"/>
      <c r="S44" s="1086"/>
      <c r="T44" s="1086"/>
      <c r="U44" s="480"/>
      <c r="V44" s="1086"/>
      <c r="W44" s="1086"/>
      <c r="X44" s="1086"/>
      <c r="Y44" s="1086"/>
      <c r="Z44" s="1086"/>
      <c r="AA44" s="1558"/>
      <c r="AB44" s="502"/>
      <c r="AC44" s="502"/>
      <c r="AD44" s="502"/>
      <c r="AE44" s="502"/>
      <c r="AF44" s="1567">
        <v>11</v>
      </c>
    </row>
    <row r="45" spans="1:32" s="1567" customFormat="1" ht="11.45" customHeight="1">
      <c r="A45" s="916"/>
      <c r="B45" s="1562"/>
      <c r="C45" s="1562"/>
      <c r="D45" s="287"/>
      <c r="K45" s="1086"/>
      <c r="L45" s="1562"/>
      <c r="M45" s="1562"/>
      <c r="N45" s="1086"/>
      <c r="O45" s="1086"/>
      <c r="P45" s="1086"/>
      <c r="Q45" s="1086"/>
      <c r="R45" s="1562"/>
      <c r="S45" s="1086"/>
      <c r="T45" s="1086"/>
      <c r="U45" s="480"/>
      <c r="V45" s="1086"/>
      <c r="W45" s="1086"/>
      <c r="X45" s="1086"/>
      <c r="Y45" s="1086"/>
      <c r="Z45" s="1086"/>
      <c r="AA45" s="1558"/>
      <c r="AB45" s="502"/>
      <c r="AC45" s="502"/>
      <c r="AD45" s="502"/>
      <c r="AE45" s="502"/>
      <c r="AF45" s="1567">
        <v>11</v>
      </c>
    </row>
    <row r="46" spans="1:32" s="1567" customFormat="1" ht="11.45" customHeight="1">
      <c r="A46" s="916"/>
      <c r="B46" s="1562"/>
      <c r="C46" s="1562"/>
      <c r="D46" s="287"/>
      <c r="K46" s="1086"/>
      <c r="L46" s="1562"/>
      <c r="M46" s="1562"/>
      <c r="N46" s="1086"/>
      <c r="O46" s="1086"/>
      <c r="P46" s="1086"/>
      <c r="Q46" s="1086"/>
      <c r="R46" s="1562"/>
      <c r="S46" s="1086"/>
      <c r="T46" s="1086"/>
      <c r="U46" s="480"/>
      <c r="V46" s="1086"/>
      <c r="W46" s="1086"/>
      <c r="X46" s="1086"/>
      <c r="Y46" s="1086"/>
      <c r="Z46" s="1086"/>
      <c r="AA46" s="1558"/>
      <c r="AB46" s="502"/>
      <c r="AC46" s="502"/>
      <c r="AD46" s="502"/>
      <c r="AE46" s="502"/>
      <c r="AF46" s="1567">
        <v>11</v>
      </c>
    </row>
    <row r="47" spans="1:32" s="1567" customFormat="1" ht="11.45" customHeight="1">
      <c r="A47" s="916"/>
      <c r="B47" s="1562"/>
      <c r="C47" s="1562"/>
      <c r="D47" s="287"/>
      <c r="K47" s="1086"/>
      <c r="L47" s="1562"/>
      <c r="M47" s="1562"/>
      <c r="N47" s="1086"/>
      <c r="O47" s="1086"/>
      <c r="P47" s="1086"/>
      <c r="Q47" s="1086"/>
      <c r="R47" s="1562"/>
      <c r="S47" s="1086"/>
      <c r="T47" s="1086"/>
      <c r="U47" s="480"/>
      <c r="V47" s="1086"/>
      <c r="W47" s="1086"/>
      <c r="X47" s="1086"/>
      <c r="Y47" s="1086"/>
      <c r="Z47" s="1086"/>
      <c r="AA47" s="1558"/>
      <c r="AB47" s="502"/>
      <c r="AC47" s="502"/>
      <c r="AD47" s="502"/>
      <c r="AE47" s="502"/>
      <c r="AF47" s="1567">
        <v>11</v>
      </c>
    </row>
    <row r="48" spans="1:32" s="1567" customFormat="1" ht="11.45" customHeight="1">
      <c r="A48" s="916"/>
      <c r="B48" s="1562"/>
      <c r="C48" s="1562"/>
      <c r="D48" s="287"/>
      <c r="K48" s="1086"/>
      <c r="L48" s="1562"/>
      <c r="M48" s="1562"/>
      <c r="N48" s="1086"/>
      <c r="O48" s="1086"/>
      <c r="P48" s="1086"/>
      <c r="Q48" s="1086"/>
      <c r="R48" s="1562"/>
      <c r="S48" s="1086"/>
      <c r="T48" s="1086"/>
      <c r="U48" s="480"/>
      <c r="V48" s="1086"/>
      <c r="W48" s="1086"/>
      <c r="X48" s="1086"/>
      <c r="Y48" s="1086"/>
      <c r="Z48" s="1086"/>
      <c r="AA48" s="1558"/>
      <c r="AB48" s="502"/>
      <c r="AC48" s="502"/>
      <c r="AD48" s="502"/>
      <c r="AE48" s="502"/>
      <c r="AF48" s="1567">
        <v>11</v>
      </c>
    </row>
    <row r="49" spans="1:32" s="1567" customFormat="1" ht="11.45" customHeight="1">
      <c r="A49" s="916"/>
      <c r="B49" s="1562"/>
      <c r="C49" s="1562"/>
      <c r="D49" s="287"/>
      <c r="K49" s="1086"/>
      <c r="L49" s="1562"/>
      <c r="M49" s="1562"/>
      <c r="N49" s="1086"/>
      <c r="O49" s="1086"/>
      <c r="P49" s="1086"/>
      <c r="Q49" s="1086"/>
      <c r="R49" s="1562"/>
      <c r="S49" s="1086"/>
      <c r="T49" s="1086"/>
      <c r="U49" s="480"/>
      <c r="V49" s="1086"/>
      <c r="W49" s="1086"/>
      <c r="X49" s="1086"/>
      <c r="Y49" s="1086"/>
      <c r="Z49" s="1086"/>
      <c r="AA49" s="1558"/>
      <c r="AB49" s="502"/>
      <c r="AC49" s="502"/>
      <c r="AD49" s="502"/>
      <c r="AE49" s="502"/>
      <c r="AF49" s="1567">
        <v>11</v>
      </c>
    </row>
    <row r="50" spans="1:32" s="1567" customFormat="1" ht="11.45" customHeight="1">
      <c r="A50" s="916"/>
      <c r="B50" s="1562"/>
      <c r="C50" s="1562"/>
      <c r="D50" s="287"/>
      <c r="K50" s="1086"/>
      <c r="L50" s="1562"/>
      <c r="M50" s="1562"/>
      <c r="N50" s="1086"/>
      <c r="O50" s="1086"/>
      <c r="P50" s="1086"/>
      <c r="Q50" s="1086"/>
      <c r="R50" s="1562"/>
      <c r="S50" s="1086"/>
      <c r="T50" s="1086"/>
      <c r="U50" s="480"/>
      <c r="V50" s="1086"/>
      <c r="W50" s="1086"/>
      <c r="X50" s="1086"/>
      <c r="Y50" s="1086"/>
      <c r="Z50" s="1086"/>
      <c r="AA50" s="1558"/>
      <c r="AB50" s="502"/>
      <c r="AC50" s="502"/>
      <c r="AD50" s="502"/>
      <c r="AE50" s="502"/>
      <c r="AF50" s="1567">
        <v>11</v>
      </c>
    </row>
    <row r="51" spans="1:32" s="1567" customFormat="1" ht="11.45" customHeight="1">
      <c r="A51" s="916"/>
      <c r="B51" s="1562"/>
      <c r="C51" s="1562"/>
      <c r="D51" s="287"/>
      <c r="K51" s="1086"/>
      <c r="L51" s="1562"/>
      <c r="M51" s="1562"/>
      <c r="N51" s="1086"/>
      <c r="O51" s="1086"/>
      <c r="P51" s="1086"/>
      <c r="Q51" s="1086"/>
      <c r="R51" s="1562"/>
      <c r="S51" s="1086"/>
      <c r="T51" s="1086"/>
      <c r="U51" s="480"/>
      <c r="V51" s="1086"/>
      <c r="W51" s="1086"/>
      <c r="X51" s="1086"/>
      <c r="Y51" s="1086"/>
      <c r="Z51" s="1086"/>
      <c r="AA51" s="1558"/>
      <c r="AB51" s="502"/>
      <c r="AC51" s="502"/>
      <c r="AD51" s="502"/>
      <c r="AE51" s="502"/>
      <c r="AF51" s="1567">
        <v>11</v>
      </c>
    </row>
    <row r="52" spans="1:32" s="1567" customFormat="1" ht="11.45" customHeight="1">
      <c r="A52" s="916"/>
      <c r="B52" s="1562"/>
      <c r="C52" s="1562"/>
      <c r="D52" s="287"/>
      <c r="K52" s="1086"/>
      <c r="L52" s="1562"/>
      <c r="M52" s="1562"/>
      <c r="N52" s="1086"/>
      <c r="O52" s="1086"/>
      <c r="P52" s="1086"/>
      <c r="Q52" s="1086"/>
      <c r="R52" s="1562"/>
      <c r="S52" s="1086"/>
      <c r="T52" s="1086"/>
      <c r="U52" s="480"/>
      <c r="V52" s="1086"/>
      <c r="W52" s="1086"/>
      <c r="X52" s="1086"/>
      <c r="Y52" s="1086"/>
      <c r="Z52" s="1086"/>
      <c r="AA52" s="1558"/>
      <c r="AB52" s="502"/>
      <c r="AC52" s="502"/>
      <c r="AD52" s="502"/>
      <c r="AE52" s="502"/>
      <c r="AF52" s="1567">
        <v>11</v>
      </c>
    </row>
    <row r="53" spans="1:32" s="1567" customFormat="1" ht="11.45" customHeight="1">
      <c r="A53" s="916"/>
      <c r="B53" s="1562"/>
      <c r="C53" s="1562"/>
      <c r="D53" s="287"/>
      <c r="K53" s="1086"/>
      <c r="L53" s="1562"/>
      <c r="M53" s="1562"/>
      <c r="N53" s="1086"/>
      <c r="O53" s="1086"/>
      <c r="P53" s="1086"/>
      <c r="Q53" s="1086"/>
      <c r="R53" s="1562"/>
      <c r="S53" s="1086"/>
      <c r="T53" s="1086"/>
      <c r="U53" s="480"/>
      <c r="V53" s="1086"/>
      <c r="W53" s="1086"/>
      <c r="X53" s="1086"/>
      <c r="Y53" s="1086"/>
      <c r="Z53" s="1086"/>
      <c r="AA53" s="1558"/>
      <c r="AB53" s="502"/>
      <c r="AC53" s="502"/>
      <c r="AD53" s="502"/>
      <c r="AE53" s="502"/>
      <c r="AF53" s="1567">
        <v>11</v>
      </c>
    </row>
    <row r="54" spans="1:32" s="1567" customFormat="1" ht="11.45" customHeight="1">
      <c r="A54" s="916"/>
      <c r="B54" s="1562"/>
      <c r="C54" s="1562"/>
      <c r="D54" s="287"/>
      <c r="K54" s="1086"/>
      <c r="L54" s="1562"/>
      <c r="M54" s="1562"/>
      <c r="N54" s="1086"/>
      <c r="O54" s="1086"/>
      <c r="P54" s="1086"/>
      <c r="Q54" s="1086"/>
      <c r="R54" s="1562"/>
      <c r="S54" s="1086"/>
      <c r="T54" s="1086"/>
      <c r="U54" s="480"/>
      <c r="V54" s="1086"/>
      <c r="W54" s="1086"/>
      <c r="X54" s="1086"/>
      <c r="Y54" s="1086"/>
      <c r="Z54" s="1086"/>
      <c r="AA54" s="1558"/>
      <c r="AB54" s="502"/>
      <c r="AC54" s="502"/>
      <c r="AD54" s="502"/>
      <c r="AE54" s="502"/>
      <c r="AF54" s="1567">
        <v>11</v>
      </c>
    </row>
    <row r="55" spans="1:32" s="1567" customFormat="1" ht="11.45" customHeight="1">
      <c r="A55" s="916"/>
      <c r="B55" s="1562"/>
      <c r="C55" s="1562"/>
      <c r="D55" s="287"/>
      <c r="K55" s="1086"/>
      <c r="L55" s="1562"/>
      <c r="M55" s="1562"/>
      <c r="N55" s="1086"/>
      <c r="O55" s="1086"/>
      <c r="P55" s="1086"/>
      <c r="Q55" s="1086"/>
      <c r="R55" s="1562"/>
      <c r="S55" s="1086"/>
      <c r="T55" s="1086"/>
      <c r="U55" s="480"/>
      <c r="V55" s="1086"/>
      <c r="W55" s="1086"/>
      <c r="X55" s="1086"/>
      <c r="Y55" s="1086"/>
      <c r="Z55" s="1086"/>
      <c r="AA55" s="1558"/>
      <c r="AB55" s="502"/>
      <c r="AC55" s="502"/>
      <c r="AD55" s="502"/>
      <c r="AE55" s="502"/>
      <c r="AF55" s="1567">
        <v>11</v>
      </c>
    </row>
    <row r="56" spans="1:32" s="1567" customFormat="1" ht="11.45" customHeight="1">
      <c r="A56" s="916"/>
      <c r="B56" s="1562"/>
      <c r="C56" s="1562"/>
      <c r="D56" s="287"/>
      <c r="K56" s="1086"/>
      <c r="L56" s="1562"/>
      <c r="M56" s="1562"/>
      <c r="N56" s="1086"/>
      <c r="O56" s="1086"/>
      <c r="P56" s="1086"/>
      <c r="Q56" s="1086"/>
      <c r="R56" s="1562"/>
      <c r="S56" s="1086"/>
      <c r="T56" s="1086"/>
      <c r="U56" s="480"/>
      <c r="V56" s="1086"/>
      <c r="W56" s="1086"/>
      <c r="X56" s="1086"/>
      <c r="Y56" s="1086"/>
      <c r="Z56" s="1086"/>
      <c r="AA56" s="1558"/>
      <c r="AB56" s="502"/>
      <c r="AC56" s="502"/>
      <c r="AD56" s="502"/>
      <c r="AE56" s="502"/>
      <c r="AF56" s="1567">
        <v>11</v>
      </c>
    </row>
    <row r="57" spans="1:32" s="1567" customFormat="1" ht="11.45" customHeight="1">
      <c r="A57" s="916"/>
      <c r="B57" s="1562"/>
      <c r="C57" s="1562"/>
      <c r="D57" s="287"/>
      <c r="K57" s="1086"/>
      <c r="L57" s="1562"/>
      <c r="M57" s="1562"/>
      <c r="N57" s="1086"/>
      <c r="O57" s="1086"/>
      <c r="P57" s="1086"/>
      <c r="Q57" s="1086"/>
      <c r="R57" s="1562"/>
      <c r="S57" s="1086"/>
      <c r="T57" s="1086"/>
      <c r="U57" s="480"/>
      <c r="V57" s="1086"/>
      <c r="W57" s="1086"/>
      <c r="X57" s="1086"/>
      <c r="Y57" s="1086"/>
      <c r="Z57" s="1086"/>
      <c r="AA57" s="1558"/>
      <c r="AB57" s="502"/>
      <c r="AC57" s="502"/>
      <c r="AD57" s="502"/>
      <c r="AE57" s="502"/>
      <c r="AF57" s="1567">
        <v>11</v>
      </c>
    </row>
    <row r="58" spans="1:32" s="1567" customFormat="1" ht="11.45" customHeight="1">
      <c r="A58" s="916"/>
      <c r="B58" s="1562"/>
      <c r="C58" s="1562"/>
      <c r="D58" s="287"/>
      <c r="K58" s="1086"/>
      <c r="L58" s="1562"/>
      <c r="M58" s="1562"/>
      <c r="N58" s="1086"/>
      <c r="O58" s="1086"/>
      <c r="P58" s="1086"/>
      <c r="Q58" s="1086"/>
      <c r="R58" s="1562"/>
      <c r="S58" s="1086"/>
      <c r="T58" s="1086"/>
      <c r="U58" s="480"/>
      <c r="V58" s="1086"/>
      <c r="W58" s="1086"/>
      <c r="X58" s="1086"/>
      <c r="Y58" s="1086"/>
      <c r="Z58" s="1086"/>
      <c r="AA58" s="1558"/>
      <c r="AB58" s="502"/>
      <c r="AC58" s="502"/>
      <c r="AD58" s="502"/>
      <c r="AE58" s="502"/>
      <c r="AF58" s="1567">
        <v>11</v>
      </c>
    </row>
    <row r="59" spans="1:32" s="1567" customFormat="1" ht="11.45" customHeight="1">
      <c r="A59" s="916"/>
      <c r="B59" s="1562"/>
      <c r="C59" s="1562"/>
      <c r="D59" s="287"/>
      <c r="K59" s="1086"/>
      <c r="L59" s="1562"/>
      <c r="M59" s="1562"/>
      <c r="N59" s="1086"/>
      <c r="O59" s="1086"/>
      <c r="P59" s="1086"/>
      <c r="Q59" s="1086"/>
      <c r="R59" s="1562"/>
      <c r="S59" s="1086"/>
      <c r="T59" s="1086"/>
      <c r="U59" s="480"/>
      <c r="V59" s="1086"/>
      <c r="W59" s="1086"/>
      <c r="X59" s="1086"/>
      <c r="Y59" s="1086"/>
      <c r="Z59" s="1086"/>
      <c r="AA59" s="1558"/>
      <c r="AB59" s="502"/>
      <c r="AC59" s="502"/>
      <c r="AD59" s="502"/>
      <c r="AE59" s="502"/>
      <c r="AF59" s="1567">
        <v>11</v>
      </c>
    </row>
    <row r="60" spans="1:32" s="1567" customFormat="1" ht="11.45" customHeight="1">
      <c r="A60" s="916"/>
      <c r="B60" s="1562"/>
      <c r="C60" s="1562"/>
      <c r="D60" s="287"/>
      <c r="K60" s="1086"/>
      <c r="L60" s="1562"/>
      <c r="M60" s="1562"/>
      <c r="N60" s="1086"/>
      <c r="O60" s="1086"/>
      <c r="P60" s="1086"/>
      <c r="Q60" s="1086"/>
      <c r="R60" s="1562"/>
      <c r="S60" s="1086"/>
      <c r="T60" s="1086"/>
      <c r="U60" s="480"/>
      <c r="V60" s="1086"/>
      <c r="W60" s="1086"/>
      <c r="X60" s="1086"/>
      <c r="Y60" s="1086"/>
      <c r="Z60" s="1086"/>
      <c r="AA60" s="1558"/>
      <c r="AB60" s="502"/>
      <c r="AC60" s="502"/>
      <c r="AD60" s="502"/>
      <c r="AE60" s="502"/>
      <c r="AF60" s="1567">
        <v>11</v>
      </c>
    </row>
    <row r="61" spans="1:32" s="1567" customFormat="1" ht="11.45" customHeight="1">
      <c r="A61" s="916"/>
      <c r="B61" s="1562"/>
      <c r="C61" s="1562"/>
      <c r="D61" s="287"/>
      <c r="K61" s="1086"/>
      <c r="L61" s="1562"/>
      <c r="M61" s="1562"/>
      <c r="N61" s="1086"/>
      <c r="O61" s="1086"/>
      <c r="P61" s="1086"/>
      <c r="Q61" s="1086"/>
      <c r="R61" s="1562"/>
      <c r="S61" s="1086"/>
      <c r="T61" s="1086"/>
      <c r="U61" s="480"/>
      <c r="V61" s="1086"/>
      <c r="W61" s="1086"/>
      <c r="X61" s="1086"/>
      <c r="Y61" s="1086"/>
      <c r="Z61" s="1086"/>
      <c r="AA61" s="1558"/>
      <c r="AB61" s="502"/>
      <c r="AC61" s="502"/>
      <c r="AD61" s="502"/>
      <c r="AE61" s="502"/>
      <c r="AF61" s="1567">
        <v>11</v>
      </c>
    </row>
    <row r="62" spans="1:32" s="1567" customFormat="1" ht="11.45" customHeight="1">
      <c r="A62" s="916"/>
      <c r="B62" s="1562"/>
      <c r="C62" s="1562"/>
      <c r="D62" s="287"/>
      <c r="K62" s="1086"/>
      <c r="L62" s="1562"/>
      <c r="M62" s="1562"/>
      <c r="N62" s="1086"/>
      <c r="O62" s="1086"/>
      <c r="P62" s="1086"/>
      <c r="Q62" s="1086"/>
      <c r="R62" s="1562"/>
      <c r="S62" s="1086"/>
      <c r="T62" s="1086"/>
      <c r="U62" s="480"/>
      <c r="V62" s="1086"/>
      <c r="W62" s="1086"/>
      <c r="X62" s="1086"/>
      <c r="Y62" s="1086"/>
      <c r="Z62" s="1086"/>
      <c r="AA62" s="1558"/>
      <c r="AB62" s="502"/>
      <c r="AC62" s="502"/>
      <c r="AD62" s="502"/>
      <c r="AE62" s="502"/>
      <c r="AF62" s="1567">
        <v>11</v>
      </c>
    </row>
    <row r="63" spans="1:32" s="1567" customFormat="1" ht="11.45" customHeight="1">
      <c r="A63" s="916"/>
      <c r="B63" s="1562"/>
      <c r="C63" s="1562"/>
      <c r="D63" s="287"/>
      <c r="K63" s="1086"/>
      <c r="L63" s="1562"/>
      <c r="M63" s="1562"/>
      <c r="N63" s="1086"/>
      <c r="O63" s="1086"/>
      <c r="P63" s="1086"/>
      <c r="Q63" s="1086"/>
      <c r="R63" s="1562"/>
      <c r="S63" s="1086"/>
      <c r="T63" s="1086"/>
      <c r="U63" s="480"/>
      <c r="V63" s="1086"/>
      <c r="W63" s="1086"/>
      <c r="X63" s="1086"/>
      <c r="Y63" s="1086"/>
      <c r="Z63" s="1086"/>
      <c r="AA63" s="1558"/>
      <c r="AB63" s="502"/>
      <c r="AC63" s="502"/>
      <c r="AD63" s="502"/>
      <c r="AE63" s="502"/>
      <c r="AF63" s="1567">
        <v>11</v>
      </c>
    </row>
    <row r="64" spans="1:32" s="1567" customFormat="1" ht="11.45" customHeight="1">
      <c r="A64" s="916"/>
      <c r="B64" s="1562"/>
      <c r="C64" s="1562"/>
      <c r="D64" s="287"/>
      <c r="K64" s="1086"/>
      <c r="L64" s="1562"/>
      <c r="M64" s="1562"/>
      <c r="N64" s="1086"/>
      <c r="O64" s="1086"/>
      <c r="P64" s="1086"/>
      <c r="Q64" s="1086"/>
      <c r="R64" s="1562"/>
      <c r="S64" s="1086"/>
      <c r="T64" s="1086"/>
      <c r="U64" s="480"/>
      <c r="V64" s="1086"/>
      <c r="W64" s="1086"/>
      <c r="X64" s="1086"/>
      <c r="Y64" s="1086"/>
      <c r="Z64" s="1086"/>
      <c r="AA64" s="1558"/>
      <c r="AB64" s="502"/>
      <c r="AC64" s="502"/>
      <c r="AD64" s="502"/>
      <c r="AE64" s="502"/>
      <c r="AF64" s="1567">
        <v>11</v>
      </c>
    </row>
    <row r="65" spans="1:32" s="1567" customFormat="1" ht="11.45" customHeight="1">
      <c r="A65" s="916"/>
      <c r="B65" s="1562"/>
      <c r="C65" s="1562"/>
      <c r="D65" s="287"/>
      <c r="K65" s="1086"/>
      <c r="L65" s="1562"/>
      <c r="M65" s="1562"/>
      <c r="N65" s="1086"/>
      <c r="O65" s="1086"/>
      <c r="P65" s="1086"/>
      <c r="Q65" s="1086"/>
      <c r="R65" s="1562"/>
      <c r="S65" s="1086"/>
      <c r="T65" s="1086"/>
      <c r="U65" s="480"/>
      <c r="V65" s="1086"/>
      <c r="W65" s="1086"/>
      <c r="X65" s="1086"/>
      <c r="Y65" s="1086"/>
      <c r="Z65" s="1086"/>
      <c r="AA65" s="1558"/>
      <c r="AB65" s="502"/>
      <c r="AC65" s="502"/>
      <c r="AD65" s="502"/>
      <c r="AE65" s="502"/>
      <c r="AF65" s="1567">
        <v>11</v>
      </c>
    </row>
    <row r="66" spans="1:32" s="1567" customFormat="1" ht="11.45" customHeight="1">
      <c r="A66" s="916"/>
      <c r="B66" s="1562"/>
      <c r="C66" s="1562"/>
      <c r="D66" s="287"/>
      <c r="K66" s="1086"/>
      <c r="L66" s="1562"/>
      <c r="M66" s="1562"/>
      <c r="N66" s="1086"/>
      <c r="O66" s="1086"/>
      <c r="P66" s="1086"/>
      <c r="Q66" s="1086"/>
      <c r="R66" s="1562"/>
      <c r="S66" s="1086"/>
      <c r="T66" s="1086"/>
      <c r="U66" s="480"/>
      <c r="V66" s="1086"/>
      <c r="W66" s="1086"/>
      <c r="X66" s="1086"/>
      <c r="Y66" s="1086"/>
      <c r="Z66" s="1086"/>
      <c r="AA66" s="1558"/>
      <c r="AB66" s="502"/>
      <c r="AC66" s="502"/>
      <c r="AD66" s="502"/>
      <c r="AE66" s="502"/>
      <c r="AF66" s="1567">
        <v>11</v>
      </c>
    </row>
    <row r="67" spans="1:32" s="1567" customFormat="1" ht="11.45" customHeight="1">
      <c r="A67" s="916"/>
      <c r="B67" s="1562"/>
      <c r="C67" s="1562"/>
      <c r="D67" s="287"/>
      <c r="K67" s="1086"/>
      <c r="L67" s="1562"/>
      <c r="M67" s="1562"/>
      <c r="N67" s="1086"/>
      <c r="O67" s="1086"/>
      <c r="P67" s="1086"/>
      <c r="Q67" s="1086"/>
      <c r="R67" s="1562"/>
      <c r="S67" s="1086"/>
      <c r="T67" s="1086"/>
      <c r="U67" s="480"/>
      <c r="V67" s="1086"/>
      <c r="W67" s="1086"/>
      <c r="X67" s="1086"/>
      <c r="Y67" s="1086"/>
      <c r="Z67" s="1086"/>
      <c r="AA67" s="1558"/>
      <c r="AB67" s="502"/>
      <c r="AC67" s="502"/>
      <c r="AD67" s="502"/>
      <c r="AE67" s="502"/>
      <c r="AF67" s="1567">
        <v>11</v>
      </c>
    </row>
    <row r="68" spans="1:32" s="1567" customFormat="1" ht="11.45" customHeight="1">
      <c r="A68" s="916"/>
      <c r="B68" s="1562"/>
      <c r="C68" s="1562"/>
      <c r="D68" s="287"/>
      <c r="K68" s="1086"/>
      <c r="L68" s="1562"/>
      <c r="M68" s="1562"/>
      <c r="N68" s="1086"/>
      <c r="O68" s="1086"/>
      <c r="P68" s="1086"/>
      <c r="Q68" s="1086"/>
      <c r="R68" s="1562"/>
      <c r="S68" s="1086"/>
      <c r="T68" s="1086"/>
      <c r="U68" s="480"/>
      <c r="V68" s="1086"/>
      <c r="W68" s="1086"/>
      <c r="X68" s="1086"/>
      <c r="Y68" s="1086"/>
      <c r="Z68" s="1086"/>
      <c r="AA68" s="1558"/>
      <c r="AB68" s="502"/>
      <c r="AC68" s="502"/>
      <c r="AD68" s="502"/>
      <c r="AE68" s="502"/>
      <c r="AF68" s="1567">
        <v>11</v>
      </c>
    </row>
    <row r="69" spans="1:32" s="1567" customFormat="1" ht="11.45" customHeight="1">
      <c r="A69" s="916"/>
      <c r="B69" s="1562"/>
      <c r="C69" s="1562"/>
      <c r="D69" s="287"/>
      <c r="K69" s="1086"/>
      <c r="L69" s="1562"/>
      <c r="M69" s="1562"/>
      <c r="N69" s="1086"/>
      <c r="O69" s="1086"/>
      <c r="P69" s="1086"/>
      <c r="Q69" s="1086"/>
      <c r="R69" s="1562"/>
      <c r="S69" s="1086"/>
      <c r="T69" s="1086"/>
      <c r="U69" s="480"/>
      <c r="V69" s="1086"/>
      <c r="W69" s="1086"/>
      <c r="X69" s="1086"/>
      <c r="Y69" s="1086"/>
      <c r="Z69" s="1086"/>
      <c r="AA69" s="1558"/>
      <c r="AB69" s="502"/>
      <c r="AC69" s="502"/>
      <c r="AD69" s="502"/>
      <c r="AE69" s="502"/>
      <c r="AF69" s="1567">
        <v>11</v>
      </c>
    </row>
    <row r="70" spans="1:32" s="1567" customFormat="1" ht="11.45" customHeight="1">
      <c r="A70" s="916"/>
      <c r="B70" s="1562"/>
      <c r="C70" s="1562"/>
      <c r="D70" s="287"/>
      <c r="K70" s="1086"/>
      <c r="L70" s="1562"/>
      <c r="M70" s="1562"/>
      <c r="N70" s="1086"/>
      <c r="O70" s="1086"/>
      <c r="P70" s="1086"/>
      <c r="Q70" s="1086"/>
      <c r="R70" s="1562"/>
      <c r="S70" s="1086"/>
      <c r="T70" s="1086"/>
      <c r="U70" s="480"/>
      <c r="V70" s="1086"/>
      <c r="W70" s="1086"/>
      <c r="X70" s="1086"/>
      <c r="Y70" s="1086"/>
      <c r="Z70" s="1086"/>
      <c r="AA70" s="1558"/>
      <c r="AB70" s="502"/>
      <c r="AC70" s="502"/>
      <c r="AD70" s="502"/>
      <c r="AE70" s="502"/>
      <c r="AF70" s="1567">
        <v>11</v>
      </c>
    </row>
    <row r="71" spans="1:32" s="1567" customFormat="1" ht="11.45" customHeight="1">
      <c r="A71" s="916"/>
      <c r="B71" s="1562"/>
      <c r="C71" s="1562"/>
      <c r="D71" s="287"/>
      <c r="K71" s="1086"/>
      <c r="L71" s="1562"/>
      <c r="M71" s="1562"/>
      <c r="N71" s="1086"/>
      <c r="O71" s="1086"/>
      <c r="P71" s="1086"/>
      <c r="Q71" s="1086"/>
      <c r="R71" s="1562"/>
      <c r="S71" s="1086"/>
      <c r="T71" s="1086"/>
      <c r="U71" s="480"/>
      <c r="V71" s="1086"/>
      <c r="W71" s="1086"/>
      <c r="X71" s="1086"/>
      <c r="Y71" s="1086"/>
      <c r="Z71" s="1086"/>
      <c r="AA71" s="1558"/>
      <c r="AB71" s="502"/>
      <c r="AC71" s="502"/>
      <c r="AD71" s="502"/>
      <c r="AE71" s="502"/>
      <c r="AF71" s="1567">
        <v>11</v>
      </c>
    </row>
    <row r="72" spans="1:32" s="1567" customFormat="1" ht="11.45" customHeight="1">
      <c r="A72" s="916"/>
      <c r="B72" s="1562"/>
      <c r="C72" s="1562"/>
      <c r="D72" s="287"/>
      <c r="K72" s="1086"/>
      <c r="L72" s="1562"/>
      <c r="M72" s="1562"/>
      <c r="N72" s="1086"/>
      <c r="O72" s="1086"/>
      <c r="P72" s="1086"/>
      <c r="Q72" s="1086"/>
      <c r="R72" s="1562"/>
      <c r="S72" s="1086"/>
      <c r="T72" s="1086"/>
      <c r="U72" s="480"/>
      <c r="V72" s="1086"/>
      <c r="W72" s="1086"/>
      <c r="X72" s="1086"/>
      <c r="Y72" s="1086"/>
      <c r="Z72" s="1086"/>
      <c r="AA72" s="1558"/>
      <c r="AB72" s="502"/>
      <c r="AC72" s="502"/>
      <c r="AD72" s="502"/>
      <c r="AE72" s="502"/>
      <c r="AF72" s="1567">
        <v>11</v>
      </c>
    </row>
    <row r="73" spans="1:32" s="1567" customFormat="1" ht="11.45" customHeight="1">
      <c r="A73" s="916"/>
      <c r="B73" s="1562"/>
      <c r="C73" s="1562"/>
      <c r="D73" s="287"/>
      <c r="K73" s="1086"/>
      <c r="L73" s="1562"/>
      <c r="M73" s="1562"/>
      <c r="N73" s="1086"/>
      <c r="O73" s="1086"/>
      <c r="P73" s="1086"/>
      <c r="Q73" s="1086"/>
      <c r="R73" s="1562"/>
      <c r="S73" s="1086"/>
      <c r="T73" s="1086"/>
      <c r="U73" s="480"/>
      <c r="V73" s="1086"/>
      <c r="W73" s="1086"/>
      <c r="X73" s="1086"/>
      <c r="Y73" s="1086"/>
      <c r="Z73" s="1086"/>
      <c r="AA73" s="1558"/>
      <c r="AB73" s="502"/>
      <c r="AC73" s="502"/>
      <c r="AD73" s="502"/>
      <c r="AE73" s="502"/>
      <c r="AF73" s="1567">
        <v>11</v>
      </c>
    </row>
    <row r="74" spans="1:32" s="1567" customFormat="1" ht="11.45" customHeight="1">
      <c r="A74" s="916"/>
      <c r="B74" s="1562"/>
      <c r="C74" s="1562"/>
      <c r="D74" s="287"/>
      <c r="K74" s="1086"/>
      <c r="L74" s="1562"/>
      <c r="M74" s="1562"/>
      <c r="N74" s="1086"/>
      <c r="O74" s="1086"/>
      <c r="P74" s="1086"/>
      <c r="Q74" s="1086"/>
      <c r="R74" s="1562"/>
      <c r="S74" s="1086"/>
      <c r="T74" s="1086"/>
      <c r="U74" s="480"/>
      <c r="V74" s="1086"/>
      <c r="W74" s="1086"/>
      <c r="X74" s="1086"/>
      <c r="Y74" s="1086"/>
      <c r="Z74" s="1086"/>
      <c r="AA74" s="1558"/>
      <c r="AB74" s="502"/>
      <c r="AC74" s="502"/>
      <c r="AD74" s="502"/>
      <c r="AE74" s="502"/>
      <c r="AF74" s="1567">
        <v>11</v>
      </c>
    </row>
    <row r="75" spans="1:32" s="1567" customFormat="1" ht="11.45" customHeight="1">
      <c r="A75" s="916"/>
      <c r="B75" s="1562"/>
      <c r="C75" s="1562"/>
      <c r="D75" s="287"/>
      <c r="K75" s="1086"/>
      <c r="L75" s="1562"/>
      <c r="M75" s="1562"/>
      <c r="N75" s="1086"/>
      <c r="O75" s="1086"/>
      <c r="P75" s="1086"/>
      <c r="Q75" s="1086"/>
      <c r="R75" s="1562"/>
      <c r="S75" s="1086"/>
      <c r="T75" s="1086"/>
      <c r="U75" s="480"/>
      <c r="V75" s="1086"/>
      <c r="W75" s="1086"/>
      <c r="X75" s="1086"/>
      <c r="Y75" s="1086"/>
      <c r="Z75" s="1086"/>
      <c r="AA75" s="1558"/>
      <c r="AB75" s="502"/>
      <c r="AC75" s="502"/>
      <c r="AD75" s="502"/>
      <c r="AE75" s="502"/>
      <c r="AF75" s="1567">
        <v>11</v>
      </c>
    </row>
    <row r="76" spans="1:32" s="1567" customFormat="1" ht="11.45" customHeight="1">
      <c r="A76" s="916"/>
      <c r="B76" s="1562"/>
      <c r="C76" s="1562"/>
      <c r="D76" s="287"/>
      <c r="K76" s="1086"/>
      <c r="L76" s="1562"/>
      <c r="M76" s="1562"/>
      <c r="N76" s="1086"/>
      <c r="O76" s="1086"/>
      <c r="P76" s="1086"/>
      <c r="Q76" s="1086"/>
      <c r="R76" s="1562"/>
      <c r="S76" s="1086"/>
      <c r="T76" s="1086"/>
      <c r="U76" s="480"/>
      <c r="V76" s="1086"/>
      <c r="W76" s="1086"/>
      <c r="X76" s="1086"/>
      <c r="Y76" s="1086"/>
      <c r="Z76" s="1086"/>
      <c r="AA76" s="1558"/>
      <c r="AB76" s="502"/>
      <c r="AC76" s="502"/>
      <c r="AD76" s="502"/>
      <c r="AE76" s="502"/>
      <c r="AF76" s="1567">
        <v>11</v>
      </c>
    </row>
    <row r="77" spans="1:32" s="1567" customFormat="1" ht="11.45" customHeight="1">
      <c r="A77" s="916"/>
      <c r="B77" s="1562"/>
      <c r="C77" s="1562"/>
      <c r="D77" s="287"/>
      <c r="K77" s="1086"/>
      <c r="L77" s="1562"/>
      <c r="M77" s="1562"/>
      <c r="N77" s="1086"/>
      <c r="O77" s="1086"/>
      <c r="P77" s="1086"/>
      <c r="Q77" s="1086"/>
      <c r="R77" s="1562"/>
      <c r="S77" s="1086"/>
      <c r="T77" s="1086"/>
      <c r="U77" s="480"/>
      <c r="V77" s="1086"/>
      <c r="W77" s="1086"/>
      <c r="X77" s="1086"/>
      <c r="Y77" s="1086"/>
      <c r="Z77" s="1086"/>
      <c r="AA77" s="1558"/>
      <c r="AB77" s="502"/>
      <c r="AC77" s="502"/>
      <c r="AD77" s="502"/>
      <c r="AE77" s="502"/>
      <c r="AF77" s="1567">
        <v>11</v>
      </c>
    </row>
    <row r="78" spans="1:32" s="1567" customFormat="1" ht="11.45" customHeight="1">
      <c r="A78" s="916"/>
      <c r="B78" s="1562"/>
      <c r="C78" s="1562"/>
      <c r="D78" s="287"/>
      <c r="K78" s="1086"/>
      <c r="L78" s="1562"/>
      <c r="M78" s="1562"/>
      <c r="N78" s="1086"/>
      <c r="O78" s="1086"/>
      <c r="P78" s="1086"/>
      <c r="Q78" s="1086"/>
      <c r="R78" s="1562"/>
      <c r="S78" s="1086"/>
      <c r="T78" s="1086"/>
      <c r="U78" s="480"/>
      <c r="V78" s="1086"/>
      <c r="W78" s="1086"/>
      <c r="X78" s="1086"/>
      <c r="Y78" s="1086"/>
      <c r="Z78" s="1086"/>
      <c r="AA78" s="1558"/>
      <c r="AB78" s="502"/>
      <c r="AC78" s="502"/>
      <c r="AD78" s="502"/>
      <c r="AE78" s="502"/>
      <c r="AF78" s="1567">
        <v>11</v>
      </c>
    </row>
    <row r="79" spans="1:32" s="1567" customFormat="1" ht="11.45" customHeight="1">
      <c r="A79" s="916"/>
      <c r="B79" s="1562"/>
      <c r="C79" s="1562"/>
      <c r="D79" s="287"/>
      <c r="K79" s="1086"/>
      <c r="L79" s="1562"/>
      <c r="M79" s="1562"/>
      <c r="N79" s="1086"/>
      <c r="O79" s="1086"/>
      <c r="P79" s="1086"/>
      <c r="Q79" s="1086"/>
      <c r="R79" s="1562"/>
      <c r="S79" s="1086"/>
      <c r="T79" s="1086"/>
      <c r="U79" s="480"/>
      <c r="V79" s="1086"/>
      <c r="W79" s="1086"/>
      <c r="X79" s="1086"/>
      <c r="Y79" s="1086"/>
      <c r="Z79" s="1086"/>
      <c r="AA79" s="1558"/>
      <c r="AB79" s="502"/>
      <c r="AC79" s="502"/>
      <c r="AD79" s="502"/>
      <c r="AE79" s="502"/>
      <c r="AF79" s="1567">
        <v>11</v>
      </c>
    </row>
    <row r="80" spans="1:32" s="1567" customFormat="1" ht="11.45" customHeight="1">
      <c r="A80" s="916"/>
      <c r="B80" s="1562"/>
      <c r="C80" s="1562"/>
      <c r="D80" s="287"/>
      <c r="K80" s="1086"/>
      <c r="L80" s="1562"/>
      <c r="M80" s="1562"/>
      <c r="N80" s="1086"/>
      <c r="O80" s="1086"/>
      <c r="P80" s="1086"/>
      <c r="Q80" s="1086"/>
      <c r="R80" s="1562"/>
      <c r="S80" s="1086"/>
      <c r="T80" s="1086"/>
      <c r="U80" s="480"/>
      <c r="V80" s="1086"/>
      <c r="W80" s="1086"/>
      <c r="X80" s="1086"/>
      <c r="Y80" s="1086"/>
      <c r="Z80" s="1086"/>
      <c r="AA80" s="1558"/>
      <c r="AB80" s="502"/>
      <c r="AC80" s="502"/>
      <c r="AD80" s="502"/>
      <c r="AE80" s="502"/>
      <c r="AF80" s="1567">
        <v>11</v>
      </c>
    </row>
    <row r="81" spans="1:32" s="1567" customFormat="1" ht="11.45" customHeight="1">
      <c r="A81" s="916"/>
      <c r="B81" s="1562"/>
      <c r="C81" s="1562"/>
      <c r="D81" s="287"/>
      <c r="K81" s="1086"/>
      <c r="L81" s="1562"/>
      <c r="M81" s="1562"/>
      <c r="N81" s="1086"/>
      <c r="O81" s="1086"/>
      <c r="P81" s="1086"/>
      <c r="Q81" s="1086"/>
      <c r="R81" s="1562"/>
      <c r="S81" s="1086"/>
      <c r="T81" s="1086"/>
      <c r="U81" s="480"/>
      <c r="V81" s="1086"/>
      <c r="W81" s="1086"/>
      <c r="X81" s="1086"/>
      <c r="Y81" s="1086"/>
      <c r="Z81" s="1086"/>
      <c r="AA81" s="1558"/>
      <c r="AB81" s="502"/>
      <c r="AC81" s="502"/>
      <c r="AD81" s="502"/>
      <c r="AE81" s="502"/>
      <c r="AF81" s="1567">
        <v>11</v>
      </c>
    </row>
    <row r="82" spans="1:32" s="1567" customFormat="1" ht="11.45" customHeight="1">
      <c r="A82" s="916"/>
      <c r="B82" s="1562"/>
      <c r="C82" s="1562"/>
      <c r="D82" s="287"/>
      <c r="K82" s="1086"/>
      <c r="L82" s="1562"/>
      <c r="M82" s="1562"/>
      <c r="N82" s="1086"/>
      <c r="O82" s="1086"/>
      <c r="P82" s="1086"/>
      <c r="Q82" s="1086"/>
      <c r="R82" s="1562"/>
      <c r="S82" s="1086"/>
      <c r="T82" s="1086"/>
      <c r="U82" s="480"/>
      <c r="V82" s="1086"/>
      <c r="W82" s="1086"/>
      <c r="X82" s="1086"/>
      <c r="Y82" s="1086"/>
      <c r="Z82" s="1086"/>
      <c r="AA82" s="1558"/>
      <c r="AB82" s="502"/>
      <c r="AC82" s="502"/>
      <c r="AD82" s="502"/>
      <c r="AE82" s="502"/>
      <c r="AF82" s="1567">
        <v>11</v>
      </c>
    </row>
    <row r="83" spans="1:32" s="1567" customFormat="1" ht="11.45" customHeight="1">
      <c r="A83" s="916"/>
      <c r="B83" s="1562"/>
      <c r="C83" s="1562"/>
      <c r="D83" s="287"/>
      <c r="K83" s="1086"/>
      <c r="L83" s="1562"/>
      <c r="M83" s="1562"/>
      <c r="N83" s="1086"/>
      <c r="O83" s="1086"/>
      <c r="P83" s="1086"/>
      <c r="Q83" s="1086"/>
      <c r="R83" s="1562"/>
      <c r="S83" s="1086"/>
      <c r="T83" s="1086"/>
      <c r="U83" s="480"/>
      <c r="V83" s="1086"/>
      <c r="W83" s="1086"/>
      <c r="X83" s="1086"/>
      <c r="Y83" s="1086"/>
      <c r="Z83" s="1086"/>
      <c r="AA83" s="1558"/>
      <c r="AB83" s="502"/>
      <c r="AC83" s="502"/>
      <c r="AD83" s="502"/>
      <c r="AE83" s="502"/>
      <c r="AF83" s="1567">
        <v>11</v>
      </c>
    </row>
    <row r="84" spans="1:32" s="1567" customFormat="1" ht="11.45" customHeight="1">
      <c r="A84" s="916"/>
      <c r="B84" s="1562"/>
      <c r="C84" s="1562"/>
      <c r="D84" s="287"/>
      <c r="K84" s="1086"/>
      <c r="L84" s="1562"/>
      <c r="M84" s="1562"/>
      <c r="N84" s="1086"/>
      <c r="O84" s="1086"/>
      <c r="P84" s="1086"/>
      <c r="Q84" s="1086"/>
      <c r="R84" s="1562"/>
      <c r="S84" s="1086"/>
      <c r="T84" s="1086"/>
      <c r="U84" s="480"/>
      <c r="V84" s="1086"/>
      <c r="W84" s="1086"/>
      <c r="X84" s="1086"/>
      <c r="Y84" s="1086"/>
      <c r="Z84" s="1086"/>
      <c r="AA84" s="1558"/>
      <c r="AB84" s="502"/>
      <c r="AC84" s="502"/>
      <c r="AD84" s="502"/>
      <c r="AE84" s="502"/>
      <c r="AF84" s="1567">
        <v>11</v>
      </c>
    </row>
    <row r="85" spans="1:32" s="1567" customFormat="1" ht="11.45" customHeight="1">
      <c r="A85" s="916"/>
      <c r="B85" s="1562"/>
      <c r="C85" s="1562"/>
      <c r="D85" s="287"/>
      <c r="K85" s="1086"/>
      <c r="L85" s="1562"/>
      <c r="M85" s="1562"/>
      <c r="N85" s="1086"/>
      <c r="O85" s="1086"/>
      <c r="P85" s="1086"/>
      <c r="Q85" s="1086"/>
      <c r="R85" s="1562"/>
      <c r="S85" s="1086"/>
      <c r="T85" s="1086"/>
      <c r="U85" s="480"/>
      <c r="V85" s="1086"/>
      <c r="W85" s="1086"/>
      <c r="X85" s="1086"/>
      <c r="Y85" s="1086"/>
      <c r="Z85" s="1086"/>
      <c r="AA85" s="1558"/>
      <c r="AB85" s="502"/>
      <c r="AC85" s="502"/>
      <c r="AD85" s="502"/>
      <c r="AE85" s="502"/>
      <c r="AF85" s="1567">
        <v>11</v>
      </c>
    </row>
    <row r="86" spans="1:32" s="1567" customFormat="1" ht="11.45" customHeight="1">
      <c r="A86" s="916"/>
      <c r="B86" s="1562"/>
      <c r="C86" s="1562"/>
      <c r="D86" s="287"/>
      <c r="K86" s="1086"/>
      <c r="L86" s="1562"/>
      <c r="M86" s="1562"/>
      <c r="N86" s="1086"/>
      <c r="O86" s="1086"/>
      <c r="P86" s="1086"/>
      <c r="Q86" s="1086"/>
      <c r="R86" s="1562"/>
      <c r="S86" s="1086"/>
      <c r="T86" s="1086"/>
      <c r="U86" s="480"/>
      <c r="V86" s="1086"/>
      <c r="W86" s="1086"/>
      <c r="X86" s="1086"/>
      <c r="Y86" s="1086"/>
      <c r="Z86" s="1086"/>
      <c r="AA86" s="1558"/>
      <c r="AB86" s="502"/>
      <c r="AC86" s="502"/>
      <c r="AD86" s="502"/>
      <c r="AE86" s="502"/>
      <c r="AF86" s="1567">
        <v>11</v>
      </c>
    </row>
    <row r="87" spans="1:32" s="1567" customFormat="1" ht="11.45" customHeight="1">
      <c r="A87" s="916"/>
      <c r="B87" s="1562"/>
      <c r="C87" s="1562"/>
      <c r="D87" s="287"/>
      <c r="K87" s="1086"/>
      <c r="L87" s="1562"/>
      <c r="M87" s="1562"/>
      <c r="N87" s="1086"/>
      <c r="O87" s="1086"/>
      <c r="P87" s="1086"/>
      <c r="Q87" s="1086"/>
      <c r="R87" s="1562"/>
      <c r="S87" s="1086"/>
      <c r="T87" s="1086"/>
      <c r="U87" s="480"/>
      <c r="V87" s="1086"/>
      <c r="W87" s="1086"/>
      <c r="X87" s="1086"/>
      <c r="Y87" s="1086"/>
      <c r="Z87" s="1086"/>
      <c r="AA87" s="1558"/>
      <c r="AB87" s="502"/>
      <c r="AC87" s="502"/>
      <c r="AD87" s="502"/>
      <c r="AE87" s="502"/>
      <c r="AF87" s="1567">
        <v>11</v>
      </c>
    </row>
    <row r="88" spans="1:32" s="1567" customFormat="1" ht="11.45" customHeight="1">
      <c r="A88" s="916"/>
      <c r="B88" s="1562"/>
      <c r="C88" s="1562"/>
      <c r="D88" s="287"/>
      <c r="K88" s="1086"/>
      <c r="L88" s="1562"/>
      <c r="M88" s="1562"/>
      <c r="N88" s="1086"/>
      <c r="O88" s="1086"/>
      <c r="P88" s="1086"/>
      <c r="Q88" s="1086"/>
      <c r="R88" s="1562"/>
      <c r="S88" s="1086"/>
      <c r="T88" s="1086"/>
      <c r="U88" s="480"/>
      <c r="V88" s="1086"/>
      <c r="W88" s="1086"/>
      <c r="X88" s="1086"/>
      <c r="Y88" s="1086"/>
      <c r="Z88" s="1086"/>
      <c r="AA88" s="1558"/>
      <c r="AB88" s="502"/>
      <c r="AC88" s="502"/>
      <c r="AD88" s="502"/>
      <c r="AE88" s="502"/>
      <c r="AF88" s="1567">
        <v>11</v>
      </c>
    </row>
    <row r="89" spans="1:32" s="1567" customFormat="1" ht="11.45" customHeight="1">
      <c r="A89" s="916"/>
      <c r="B89" s="1562"/>
      <c r="C89" s="1562"/>
      <c r="D89" s="287"/>
      <c r="K89" s="1086"/>
      <c r="L89" s="1562"/>
      <c r="M89" s="1562"/>
      <c r="N89" s="1086"/>
      <c r="O89" s="1086"/>
      <c r="P89" s="1086"/>
      <c r="Q89" s="1086"/>
      <c r="R89" s="1562"/>
      <c r="S89" s="1086"/>
      <c r="T89" s="1086"/>
      <c r="U89" s="480"/>
      <c r="V89" s="1086"/>
      <c r="W89" s="1086"/>
      <c r="X89" s="1086"/>
      <c r="Y89" s="1086"/>
      <c r="Z89" s="1086"/>
      <c r="AA89" s="1558"/>
      <c r="AB89" s="502"/>
      <c r="AC89" s="502"/>
      <c r="AD89" s="502"/>
      <c r="AE89" s="502"/>
      <c r="AF89" s="1567">
        <v>11</v>
      </c>
    </row>
    <row r="90" spans="1:32" s="1567" customFormat="1" ht="11.45" customHeight="1">
      <c r="A90" s="916"/>
      <c r="B90" s="1562"/>
      <c r="C90" s="1562"/>
      <c r="D90" s="287"/>
      <c r="K90" s="1086"/>
      <c r="L90" s="1562"/>
      <c r="M90" s="1562"/>
      <c r="N90" s="1086"/>
      <c r="O90" s="1086"/>
      <c r="P90" s="1086"/>
      <c r="Q90" s="1086"/>
      <c r="R90" s="1562"/>
      <c r="S90" s="1086"/>
      <c r="T90" s="1086"/>
      <c r="U90" s="480"/>
      <c r="V90" s="1086"/>
      <c r="W90" s="1086"/>
      <c r="X90" s="1086"/>
      <c r="Y90" s="1086"/>
      <c r="Z90" s="1086"/>
      <c r="AA90" s="1558"/>
      <c r="AB90" s="502"/>
      <c r="AC90" s="502"/>
      <c r="AD90" s="502"/>
      <c r="AE90" s="502"/>
      <c r="AF90" s="1567">
        <v>11</v>
      </c>
    </row>
    <row r="91" spans="1:32" s="1567" customFormat="1" ht="11.45" customHeight="1">
      <c r="A91" s="916"/>
      <c r="B91" s="1562"/>
      <c r="C91" s="1562"/>
      <c r="D91" s="287"/>
      <c r="K91" s="1086"/>
      <c r="L91" s="1562"/>
      <c r="M91" s="1562"/>
      <c r="N91" s="1086"/>
      <c r="O91" s="1086"/>
      <c r="P91" s="1086"/>
      <c r="Q91" s="1086"/>
      <c r="R91" s="1562"/>
      <c r="S91" s="1086"/>
      <c r="T91" s="1086"/>
      <c r="U91" s="480"/>
      <c r="V91" s="1086"/>
      <c r="W91" s="1086"/>
      <c r="X91" s="1086"/>
      <c r="Y91" s="1086"/>
      <c r="Z91" s="1086"/>
      <c r="AA91" s="1558"/>
      <c r="AB91" s="502"/>
      <c r="AC91" s="502"/>
      <c r="AD91" s="502"/>
      <c r="AE91" s="502"/>
      <c r="AF91" s="1567">
        <v>11</v>
      </c>
    </row>
    <row r="92" spans="1:32" s="1567" customFormat="1" ht="11.45" customHeight="1">
      <c r="A92" s="916"/>
      <c r="B92" s="1562"/>
      <c r="C92" s="1562"/>
      <c r="D92" s="287"/>
      <c r="K92" s="1086"/>
      <c r="L92" s="1562"/>
      <c r="M92" s="1562"/>
      <c r="N92" s="1086"/>
      <c r="O92" s="1086"/>
      <c r="P92" s="1086"/>
      <c r="Q92" s="1086"/>
      <c r="R92" s="1562"/>
      <c r="S92" s="1086"/>
      <c r="T92" s="1086"/>
      <c r="U92" s="480"/>
      <c r="V92" s="1086"/>
      <c r="W92" s="1086"/>
      <c r="X92" s="1086"/>
      <c r="Y92" s="1086"/>
      <c r="Z92" s="1086"/>
      <c r="AA92" s="1558"/>
      <c r="AB92" s="502"/>
      <c r="AC92" s="502"/>
      <c r="AD92" s="502"/>
      <c r="AE92" s="502"/>
      <c r="AF92" s="1567">
        <v>11</v>
      </c>
    </row>
    <row r="93" spans="1:32" s="1567" customFormat="1" ht="11.45" customHeight="1">
      <c r="A93" s="916"/>
      <c r="B93" s="1562"/>
      <c r="C93" s="1562"/>
      <c r="D93" s="287"/>
      <c r="K93" s="1086"/>
      <c r="L93" s="1562"/>
      <c r="M93" s="1562"/>
      <c r="N93" s="1086"/>
      <c r="O93" s="1086"/>
      <c r="P93" s="1086"/>
      <c r="Q93" s="1086"/>
      <c r="R93" s="1562"/>
      <c r="S93" s="1086"/>
      <c r="T93" s="1086"/>
      <c r="U93" s="480"/>
      <c r="V93" s="1086"/>
      <c r="W93" s="1086"/>
      <c r="X93" s="1086"/>
      <c r="Y93" s="1086"/>
      <c r="Z93" s="1086"/>
      <c r="AA93" s="1558"/>
      <c r="AB93" s="502"/>
      <c r="AC93" s="502"/>
      <c r="AD93" s="502"/>
      <c r="AE93" s="502"/>
      <c r="AF93" s="1567">
        <v>11</v>
      </c>
    </row>
    <row r="94" spans="1:32" s="1567" customFormat="1" ht="11.45" customHeight="1">
      <c r="A94" s="916"/>
      <c r="B94" s="1562"/>
      <c r="C94" s="1562"/>
      <c r="D94" s="287"/>
      <c r="K94" s="1086"/>
      <c r="L94" s="1562"/>
      <c r="M94" s="1562"/>
      <c r="N94" s="1086"/>
      <c r="O94" s="1086"/>
      <c r="P94" s="1086"/>
      <c r="Q94" s="1086"/>
      <c r="R94" s="1562"/>
      <c r="S94" s="1086"/>
      <c r="T94" s="1086"/>
      <c r="U94" s="480"/>
      <c r="V94" s="1086"/>
      <c r="W94" s="1086"/>
      <c r="X94" s="1086"/>
      <c r="Y94" s="1086"/>
      <c r="Z94" s="1086"/>
      <c r="AA94" s="1558"/>
      <c r="AB94" s="502"/>
      <c r="AC94" s="502"/>
      <c r="AD94" s="502"/>
      <c r="AE94" s="502"/>
      <c r="AF94" s="1567">
        <v>11</v>
      </c>
    </row>
    <row r="95" spans="1:32" s="1567" customFormat="1" ht="11.45" customHeight="1">
      <c r="A95" s="916"/>
      <c r="B95" s="1562"/>
      <c r="C95" s="1562"/>
      <c r="D95" s="287"/>
      <c r="K95" s="1086"/>
      <c r="L95" s="1562"/>
      <c r="M95" s="1562"/>
      <c r="N95" s="1086"/>
      <c r="O95" s="1086"/>
      <c r="P95" s="1086"/>
      <c r="Q95" s="1086"/>
      <c r="R95" s="1562"/>
      <c r="S95" s="1086"/>
      <c r="T95" s="1086"/>
      <c r="U95" s="480"/>
      <c r="V95" s="1086"/>
      <c r="W95" s="1086"/>
      <c r="X95" s="1086"/>
      <c r="Y95" s="1086"/>
      <c r="Z95" s="1086"/>
      <c r="AA95" s="1558"/>
      <c r="AB95" s="502"/>
      <c r="AC95" s="502"/>
      <c r="AD95" s="502"/>
      <c r="AE95" s="502"/>
      <c r="AF95" s="1567">
        <v>11</v>
      </c>
    </row>
    <row r="96" spans="1:32" s="1567" customFormat="1" ht="11.45" customHeight="1">
      <c r="A96" s="916"/>
      <c r="B96" s="1562"/>
      <c r="C96" s="1562"/>
      <c r="D96" s="287"/>
      <c r="K96" s="1086"/>
      <c r="L96" s="1562"/>
      <c r="M96" s="1562"/>
      <c r="N96" s="1086"/>
      <c r="O96" s="1086"/>
      <c r="P96" s="1086"/>
      <c r="Q96" s="1086"/>
      <c r="R96" s="1562"/>
      <c r="S96" s="1086"/>
      <c r="T96" s="1086"/>
      <c r="U96" s="480"/>
      <c r="V96" s="1086"/>
      <c r="W96" s="1086"/>
      <c r="X96" s="1086"/>
      <c r="Y96" s="1086"/>
      <c r="Z96" s="1086"/>
      <c r="AA96" s="1558"/>
      <c r="AB96" s="502"/>
      <c r="AC96" s="502"/>
      <c r="AD96" s="502"/>
      <c r="AE96" s="502"/>
      <c r="AF96" s="1567">
        <v>11</v>
      </c>
    </row>
    <row r="97" spans="1:32" s="1567" customFormat="1" ht="11.45" customHeight="1">
      <c r="A97" s="916"/>
      <c r="B97" s="1562"/>
      <c r="C97" s="1562"/>
      <c r="D97" s="287"/>
      <c r="K97" s="1086"/>
      <c r="L97" s="1562"/>
      <c r="M97" s="1562"/>
      <c r="N97" s="1086"/>
      <c r="O97" s="1086"/>
      <c r="P97" s="1086"/>
      <c r="Q97" s="1086"/>
      <c r="R97" s="1562"/>
      <c r="S97" s="1086"/>
      <c r="T97" s="1086"/>
      <c r="U97" s="480"/>
      <c r="V97" s="1086"/>
      <c r="W97" s="1086"/>
      <c r="X97" s="1086"/>
      <c r="Y97" s="1086"/>
      <c r="Z97" s="1086"/>
      <c r="AA97" s="1558"/>
      <c r="AB97" s="502"/>
      <c r="AC97" s="502"/>
      <c r="AD97" s="502"/>
      <c r="AE97" s="502"/>
      <c r="AF97" s="1567">
        <v>11</v>
      </c>
    </row>
    <row r="98" spans="1:32" s="1567" customFormat="1" ht="11.45" customHeight="1">
      <c r="A98" s="916"/>
      <c r="B98" s="1562"/>
      <c r="C98" s="1562"/>
      <c r="D98" s="287"/>
      <c r="K98" s="1086"/>
      <c r="L98" s="1562"/>
      <c r="M98" s="1562"/>
      <c r="N98" s="1086"/>
      <c r="O98" s="1086"/>
      <c r="P98" s="1086"/>
      <c r="Q98" s="1086"/>
      <c r="R98" s="1562"/>
      <c r="S98" s="1086"/>
      <c r="T98" s="1086"/>
      <c r="U98" s="480"/>
      <c r="V98" s="1086"/>
      <c r="W98" s="1086"/>
      <c r="X98" s="1086"/>
      <c r="Y98" s="1086"/>
      <c r="Z98" s="1086"/>
      <c r="AA98" s="1558"/>
      <c r="AB98" s="502"/>
      <c r="AC98" s="502"/>
      <c r="AD98" s="502"/>
      <c r="AE98" s="502"/>
      <c r="AF98" s="1567">
        <v>11</v>
      </c>
    </row>
    <row r="99" spans="1:32" s="1567" customFormat="1" ht="11.45" customHeight="1">
      <c r="A99" s="916"/>
      <c r="B99" s="1562"/>
      <c r="C99" s="1562"/>
      <c r="D99" s="287"/>
      <c r="K99" s="1086"/>
      <c r="L99" s="1562"/>
      <c r="M99" s="1562"/>
      <c r="N99" s="1086"/>
      <c r="O99" s="1086"/>
      <c r="P99" s="1086"/>
      <c r="Q99" s="1086"/>
      <c r="R99" s="1562"/>
      <c r="S99" s="1086"/>
      <c r="T99" s="1086"/>
      <c r="U99" s="480"/>
      <c r="V99" s="1086"/>
      <c r="W99" s="1086"/>
      <c r="X99" s="1086"/>
      <c r="Y99" s="1086"/>
      <c r="Z99" s="1086"/>
      <c r="AA99" s="1558"/>
      <c r="AB99" s="502"/>
      <c r="AC99" s="502"/>
      <c r="AD99" s="502"/>
      <c r="AE99" s="502"/>
      <c r="AF99" s="1567">
        <v>11</v>
      </c>
    </row>
    <row r="100" spans="1:32" s="1567" customFormat="1" ht="11.45" customHeight="1">
      <c r="A100" s="916"/>
      <c r="B100" s="1562"/>
      <c r="C100" s="1562"/>
      <c r="D100" s="287"/>
      <c r="K100" s="1086"/>
      <c r="L100" s="1562"/>
      <c r="M100" s="1562"/>
      <c r="N100" s="1086"/>
      <c r="O100" s="1086"/>
      <c r="P100" s="1086"/>
      <c r="Q100" s="1086"/>
      <c r="R100" s="1562"/>
      <c r="S100" s="1086"/>
      <c r="T100" s="1086"/>
      <c r="U100" s="480"/>
      <c r="V100" s="1086"/>
      <c r="W100" s="1086"/>
      <c r="X100" s="1086"/>
      <c r="Y100" s="1086"/>
      <c r="Z100" s="1086"/>
      <c r="AA100" s="1558"/>
      <c r="AB100" s="502"/>
      <c r="AC100" s="502"/>
      <c r="AD100" s="502"/>
      <c r="AE100" s="502"/>
      <c r="AF100" s="1567">
        <v>11</v>
      </c>
    </row>
    <row r="101" spans="1:32" s="1567" customFormat="1" ht="11.45" customHeight="1">
      <c r="A101" s="916"/>
      <c r="B101" s="1562"/>
      <c r="C101" s="1562"/>
      <c r="D101" s="287"/>
      <c r="K101" s="1086"/>
      <c r="L101" s="1562"/>
      <c r="M101" s="1562"/>
      <c r="N101" s="1086"/>
      <c r="O101" s="1086"/>
      <c r="P101" s="1086"/>
      <c r="Q101" s="1086"/>
      <c r="R101" s="1562"/>
      <c r="S101" s="1086"/>
      <c r="T101" s="1086"/>
      <c r="U101" s="480"/>
      <c r="V101" s="1086"/>
      <c r="W101" s="1086"/>
      <c r="X101" s="1086"/>
      <c r="Y101" s="1086"/>
      <c r="Z101" s="1086"/>
      <c r="AA101" s="1558"/>
      <c r="AB101" s="502"/>
      <c r="AC101" s="502"/>
      <c r="AD101" s="502"/>
      <c r="AE101" s="502"/>
      <c r="AF101" s="1567">
        <v>11</v>
      </c>
    </row>
    <row r="102" spans="1:32" s="1567" customFormat="1" ht="11.45" customHeight="1">
      <c r="A102" s="916"/>
      <c r="B102" s="1562"/>
      <c r="C102" s="1562"/>
      <c r="D102" s="287"/>
      <c r="K102" s="1086"/>
      <c r="L102" s="1562"/>
      <c r="M102" s="1562"/>
      <c r="N102" s="1086"/>
      <c r="O102" s="1086"/>
      <c r="P102" s="1086"/>
      <c r="Q102" s="1086"/>
      <c r="R102" s="1562"/>
      <c r="S102" s="1086"/>
      <c r="T102" s="1086"/>
      <c r="U102" s="480"/>
      <c r="V102" s="1086"/>
      <c r="W102" s="1086"/>
      <c r="X102" s="1086"/>
      <c r="Y102" s="1086"/>
      <c r="Z102" s="1086"/>
      <c r="AA102" s="1558"/>
      <c r="AB102" s="502"/>
      <c r="AC102" s="502"/>
      <c r="AD102" s="502"/>
      <c r="AE102" s="502"/>
      <c r="AF102" s="1567">
        <v>11</v>
      </c>
    </row>
    <row r="103" spans="1:32" s="1567" customFormat="1" ht="11.45" customHeight="1">
      <c r="A103" s="916"/>
      <c r="B103" s="1562"/>
      <c r="C103" s="1562"/>
      <c r="D103" s="287"/>
      <c r="K103" s="1086"/>
      <c r="L103" s="1562"/>
      <c r="M103" s="1562"/>
      <c r="N103" s="1086"/>
      <c r="O103" s="1086"/>
      <c r="P103" s="1086"/>
      <c r="Q103" s="1086"/>
      <c r="R103" s="1562"/>
      <c r="S103" s="1086"/>
      <c r="T103" s="1086"/>
      <c r="U103" s="480"/>
      <c r="V103" s="1086"/>
      <c r="W103" s="1086"/>
      <c r="X103" s="1086"/>
      <c r="Y103" s="1086"/>
      <c r="Z103" s="1086"/>
      <c r="AA103" s="1558"/>
      <c r="AB103" s="502"/>
      <c r="AC103" s="502"/>
      <c r="AD103" s="502"/>
      <c r="AE103" s="502"/>
      <c r="AF103" s="1567">
        <v>11</v>
      </c>
    </row>
    <row r="104" spans="1:32" s="1567" customFormat="1" ht="11.45" customHeight="1">
      <c r="A104" s="916"/>
      <c r="B104" s="1562"/>
      <c r="C104" s="1562"/>
      <c r="D104" s="287"/>
      <c r="K104" s="1086"/>
      <c r="L104" s="1562"/>
      <c r="M104" s="1562"/>
      <c r="N104" s="1086"/>
      <c r="O104" s="1086"/>
      <c r="P104" s="1086"/>
      <c r="Q104" s="1086"/>
      <c r="R104" s="1562"/>
      <c r="S104" s="1086"/>
      <c r="T104" s="1086"/>
      <c r="U104" s="480"/>
      <c r="V104" s="1086"/>
      <c r="W104" s="1086"/>
      <c r="X104" s="1086"/>
      <c r="Y104" s="1086"/>
      <c r="Z104" s="1086"/>
      <c r="AA104" s="1558"/>
      <c r="AB104" s="502"/>
      <c r="AC104" s="502"/>
      <c r="AD104" s="502"/>
      <c r="AE104" s="502"/>
      <c r="AF104" s="1567">
        <v>11</v>
      </c>
    </row>
    <row r="105" spans="1:32" s="1567" customFormat="1" ht="11.45" customHeight="1">
      <c r="A105" s="916"/>
      <c r="B105" s="1562"/>
      <c r="C105" s="1562"/>
      <c r="D105" s="287"/>
      <c r="K105" s="1086"/>
      <c r="L105" s="1562"/>
      <c r="M105" s="1562"/>
      <c r="N105" s="1086"/>
      <c r="O105" s="1086"/>
      <c r="P105" s="1086"/>
      <c r="Q105" s="1086"/>
      <c r="R105" s="1562"/>
      <c r="S105" s="1086"/>
      <c r="T105" s="1086"/>
      <c r="U105" s="480"/>
      <c r="V105" s="1086"/>
      <c r="W105" s="1086"/>
      <c r="X105" s="1086"/>
      <c r="Y105" s="1086"/>
      <c r="Z105" s="1086"/>
      <c r="AA105" s="1558"/>
      <c r="AB105" s="502"/>
      <c r="AC105" s="502"/>
      <c r="AD105" s="502"/>
      <c r="AE105" s="502"/>
      <c r="AF105" s="1567">
        <v>11</v>
      </c>
    </row>
    <row r="106" spans="1:32" s="1567" customFormat="1" ht="11.45" customHeight="1">
      <c r="A106" s="916"/>
      <c r="B106" s="1562"/>
      <c r="C106" s="1562"/>
      <c r="D106" s="287"/>
      <c r="K106" s="1086"/>
      <c r="L106" s="1562"/>
      <c r="M106" s="1562"/>
      <c r="N106" s="1086"/>
      <c r="O106" s="1086"/>
      <c r="P106" s="1086"/>
      <c r="Q106" s="1086"/>
      <c r="R106" s="1562"/>
      <c r="S106" s="1086"/>
      <c r="T106" s="1086"/>
      <c r="U106" s="480"/>
      <c r="V106" s="1086"/>
      <c r="W106" s="1086"/>
      <c r="X106" s="1086"/>
      <c r="Y106" s="1086"/>
      <c r="Z106" s="1086"/>
      <c r="AA106" s="1558"/>
      <c r="AB106" s="502"/>
      <c r="AC106" s="502"/>
      <c r="AD106" s="502"/>
      <c r="AE106" s="502"/>
      <c r="AF106" s="1567">
        <v>11</v>
      </c>
    </row>
    <row r="107" spans="1:32" s="1567" customFormat="1" ht="11.45" customHeight="1">
      <c r="A107" s="916"/>
      <c r="B107" s="1562"/>
      <c r="C107" s="1562"/>
      <c r="D107" s="287"/>
      <c r="K107" s="1086"/>
      <c r="L107" s="1562"/>
      <c r="M107" s="1562"/>
      <c r="N107" s="1086"/>
      <c r="O107" s="1086"/>
      <c r="P107" s="1086"/>
      <c r="Q107" s="1086"/>
      <c r="R107" s="1562"/>
      <c r="S107" s="1086"/>
      <c r="T107" s="1086"/>
      <c r="U107" s="480"/>
      <c r="V107" s="1086"/>
      <c r="W107" s="1086"/>
      <c r="X107" s="1086"/>
      <c r="Y107" s="1086"/>
      <c r="Z107" s="1086"/>
      <c r="AA107" s="1558"/>
      <c r="AB107" s="502"/>
      <c r="AC107" s="502"/>
      <c r="AD107" s="502"/>
      <c r="AE107" s="502"/>
      <c r="AF107" s="1567">
        <v>11</v>
      </c>
    </row>
    <row r="108" spans="1:32" s="1567" customFormat="1" ht="11.45" customHeight="1">
      <c r="A108" s="916"/>
      <c r="B108" s="1562"/>
      <c r="C108" s="1562"/>
      <c r="D108" s="287"/>
      <c r="K108" s="1086"/>
      <c r="L108" s="1562"/>
      <c r="M108" s="1562"/>
      <c r="N108" s="1086"/>
      <c r="O108" s="1086"/>
      <c r="P108" s="1086"/>
      <c r="Q108" s="1086"/>
      <c r="R108" s="1562"/>
      <c r="S108" s="1086"/>
      <c r="T108" s="1086"/>
      <c r="U108" s="480"/>
      <c r="V108" s="1086"/>
      <c r="W108" s="1086"/>
      <c r="X108" s="1086"/>
      <c r="Y108" s="1086"/>
      <c r="Z108" s="1086"/>
      <c r="AA108" s="1558"/>
      <c r="AB108" s="502"/>
      <c r="AC108" s="502"/>
      <c r="AD108" s="502"/>
      <c r="AE108" s="502"/>
      <c r="AF108" s="1567">
        <v>11</v>
      </c>
    </row>
    <row r="109" spans="1:32" s="1567" customFormat="1" ht="11.45" customHeight="1">
      <c r="A109" s="916"/>
      <c r="B109" s="1562"/>
      <c r="C109" s="1562"/>
      <c r="D109" s="287"/>
      <c r="K109" s="1086"/>
      <c r="L109" s="1562"/>
      <c r="M109" s="1562"/>
      <c r="N109" s="1086"/>
      <c r="O109" s="1086"/>
      <c r="P109" s="1086"/>
      <c r="Q109" s="1086"/>
      <c r="R109" s="1562"/>
      <c r="S109" s="1086"/>
      <c r="T109" s="1086"/>
      <c r="U109" s="480"/>
      <c r="V109" s="1086"/>
      <c r="W109" s="1086"/>
      <c r="X109" s="1086"/>
      <c r="Y109" s="1086"/>
      <c r="Z109" s="1086"/>
      <c r="AA109" s="1558"/>
      <c r="AB109" s="502"/>
      <c r="AC109" s="502"/>
      <c r="AD109" s="502"/>
      <c r="AE109" s="502"/>
      <c r="AF109" s="1567">
        <v>11</v>
      </c>
    </row>
    <row r="110" spans="1:32" s="1567" customFormat="1" ht="11.45" customHeight="1">
      <c r="A110" s="916"/>
      <c r="B110" s="1562"/>
      <c r="C110" s="1562"/>
      <c r="D110" s="287"/>
      <c r="K110" s="1086"/>
      <c r="L110" s="1562"/>
      <c r="M110" s="1562"/>
      <c r="N110" s="1086"/>
      <c r="O110" s="1086"/>
      <c r="P110" s="1086"/>
      <c r="Q110" s="1086"/>
      <c r="R110" s="1562"/>
      <c r="S110" s="1086"/>
      <c r="T110" s="1086"/>
      <c r="U110" s="480"/>
      <c r="V110" s="1086"/>
      <c r="W110" s="1086"/>
      <c r="X110" s="1086"/>
      <c r="Y110" s="1086"/>
      <c r="Z110" s="1086"/>
      <c r="AA110" s="1558"/>
      <c r="AB110" s="502"/>
      <c r="AC110" s="502"/>
      <c r="AD110" s="502"/>
      <c r="AE110" s="502"/>
      <c r="AF110" s="1567">
        <v>11</v>
      </c>
    </row>
    <row r="111" spans="1:32" s="1567" customFormat="1" ht="11.45" customHeight="1">
      <c r="A111" s="916"/>
      <c r="B111" s="1562"/>
      <c r="C111" s="1562"/>
      <c r="D111" s="287"/>
      <c r="K111" s="1086"/>
      <c r="L111" s="1562"/>
      <c r="M111" s="1562"/>
      <c r="N111" s="1086"/>
      <c r="O111" s="1086"/>
      <c r="P111" s="1086"/>
      <c r="Q111" s="1086"/>
      <c r="R111" s="1562"/>
      <c r="S111" s="1086"/>
      <c r="T111" s="1086"/>
      <c r="U111" s="480"/>
      <c r="V111" s="1086"/>
      <c r="W111" s="1086"/>
      <c r="X111" s="1086"/>
      <c r="Y111" s="1086"/>
      <c r="Z111" s="1086"/>
      <c r="AA111" s="1558"/>
      <c r="AB111" s="502"/>
      <c r="AC111" s="502"/>
      <c r="AD111" s="502"/>
      <c r="AE111" s="502"/>
      <c r="AF111" s="1567">
        <v>11</v>
      </c>
    </row>
    <row r="112" spans="1:32" s="1567" customFormat="1" ht="11.45" customHeight="1">
      <c r="A112" s="916"/>
      <c r="B112" s="1562"/>
      <c r="C112" s="1562"/>
      <c r="D112" s="287"/>
      <c r="K112" s="1086"/>
      <c r="L112" s="1562"/>
      <c r="M112" s="1562"/>
      <c r="N112" s="1086"/>
      <c r="O112" s="1086"/>
      <c r="P112" s="1086"/>
      <c r="Q112" s="1086"/>
      <c r="R112" s="1562"/>
      <c r="S112" s="1086"/>
      <c r="T112" s="1086"/>
      <c r="U112" s="480"/>
      <c r="V112" s="1086"/>
      <c r="W112" s="1086"/>
      <c r="X112" s="1086"/>
      <c r="Y112" s="1086"/>
      <c r="Z112" s="1086"/>
      <c r="AA112" s="1558"/>
      <c r="AB112" s="502"/>
      <c r="AC112" s="502"/>
      <c r="AD112" s="502"/>
      <c r="AE112" s="502"/>
      <c r="AF112" s="1567">
        <v>11</v>
      </c>
    </row>
    <row r="113" spans="1:32" s="1567" customFormat="1" ht="11.45" customHeight="1">
      <c r="A113" s="916"/>
      <c r="B113" s="1562"/>
      <c r="C113" s="1562"/>
      <c r="D113" s="287"/>
      <c r="K113" s="1086"/>
      <c r="L113" s="1562"/>
      <c r="M113" s="1562"/>
      <c r="N113" s="1086"/>
      <c r="O113" s="1086"/>
      <c r="P113" s="1086"/>
      <c r="Q113" s="1086"/>
      <c r="R113" s="1562"/>
      <c r="S113" s="1086"/>
      <c r="T113" s="1086"/>
      <c r="U113" s="480"/>
      <c r="V113" s="1086"/>
      <c r="W113" s="1086"/>
      <c r="X113" s="1086"/>
      <c r="Y113" s="1086"/>
      <c r="Z113" s="1086"/>
      <c r="AA113" s="1558"/>
      <c r="AB113" s="502"/>
      <c r="AC113" s="502"/>
      <c r="AD113" s="502"/>
      <c r="AE113" s="502"/>
      <c r="AF113" s="1567">
        <v>11</v>
      </c>
    </row>
    <row r="114" spans="1:32" s="1567" customFormat="1" ht="11.45" customHeight="1">
      <c r="A114" s="916"/>
      <c r="B114" s="1562"/>
      <c r="C114" s="1562"/>
      <c r="D114" s="287"/>
      <c r="K114" s="1086"/>
      <c r="L114" s="1562"/>
      <c r="M114" s="1562"/>
      <c r="N114" s="1086"/>
      <c r="O114" s="1086"/>
      <c r="P114" s="1086"/>
      <c r="Q114" s="1086"/>
      <c r="R114" s="1562"/>
      <c r="S114" s="1086"/>
      <c r="T114" s="1086"/>
      <c r="U114" s="480"/>
      <c r="V114" s="1086"/>
      <c r="W114" s="1086"/>
      <c r="X114" s="1086"/>
      <c r="Y114" s="1086"/>
      <c r="Z114" s="1086"/>
      <c r="AA114" s="1558"/>
      <c r="AB114" s="502"/>
      <c r="AC114" s="502"/>
      <c r="AD114" s="502"/>
      <c r="AE114" s="502"/>
      <c r="AF114" s="1567">
        <v>11</v>
      </c>
    </row>
    <row r="115" spans="1:32" s="1567" customFormat="1" ht="11.45" customHeight="1">
      <c r="A115" s="916"/>
      <c r="B115" s="1562"/>
      <c r="C115" s="1562"/>
      <c r="D115" s="287"/>
      <c r="K115" s="1086"/>
      <c r="L115" s="1562"/>
      <c r="M115" s="1562"/>
      <c r="N115" s="1086"/>
      <c r="O115" s="1086"/>
      <c r="P115" s="1086"/>
      <c r="Q115" s="1086"/>
      <c r="R115" s="1562"/>
      <c r="S115" s="1086"/>
      <c r="T115" s="1086"/>
      <c r="U115" s="480"/>
      <c r="V115" s="1086"/>
      <c r="W115" s="1086"/>
      <c r="X115" s="1086"/>
      <c r="Y115" s="1086"/>
      <c r="Z115" s="1086"/>
      <c r="AA115" s="1558"/>
      <c r="AB115" s="502"/>
      <c r="AC115" s="502"/>
      <c r="AD115" s="502"/>
      <c r="AE115" s="502"/>
      <c r="AF115" s="1567">
        <v>11</v>
      </c>
    </row>
    <row r="116" spans="1:32" s="1567" customFormat="1" ht="11.45" customHeight="1">
      <c r="A116" s="916"/>
      <c r="B116" s="1562"/>
      <c r="C116" s="1562"/>
      <c r="D116" s="287"/>
      <c r="K116" s="1086"/>
      <c r="L116" s="1562"/>
      <c r="M116" s="1562"/>
      <c r="N116" s="1086"/>
      <c r="O116" s="1086"/>
      <c r="P116" s="1086"/>
      <c r="Q116" s="1086"/>
      <c r="R116" s="1562"/>
      <c r="S116" s="1086"/>
      <c r="T116" s="1086"/>
      <c r="U116" s="480"/>
      <c r="V116" s="1086"/>
      <c r="W116" s="1086"/>
      <c r="X116" s="1086"/>
      <c r="Y116" s="1086"/>
      <c r="Z116" s="1086"/>
      <c r="AA116" s="1558"/>
      <c r="AB116" s="502"/>
      <c r="AC116" s="502"/>
      <c r="AD116" s="502"/>
      <c r="AE116" s="502"/>
      <c r="AF116" s="1567">
        <v>11</v>
      </c>
    </row>
    <row r="117" spans="1:32" s="1567" customFormat="1" ht="11.45" customHeight="1">
      <c r="A117" s="916"/>
      <c r="B117" s="1562"/>
      <c r="C117" s="1562"/>
      <c r="D117" s="287"/>
      <c r="K117" s="1086"/>
      <c r="L117" s="1562"/>
      <c r="M117" s="1562"/>
      <c r="N117" s="1086"/>
      <c r="O117" s="1086"/>
      <c r="P117" s="1086"/>
      <c r="Q117" s="1086"/>
      <c r="R117" s="1562"/>
      <c r="S117" s="1086"/>
      <c r="T117" s="1086"/>
      <c r="U117" s="480"/>
      <c r="V117" s="1086"/>
      <c r="W117" s="1086"/>
      <c r="X117" s="1086"/>
      <c r="Y117" s="1086"/>
      <c r="Z117" s="1086"/>
      <c r="AA117" s="1558"/>
      <c r="AB117" s="502"/>
      <c r="AC117" s="502"/>
      <c r="AD117" s="502"/>
      <c r="AE117" s="502"/>
      <c r="AF117" s="1567">
        <v>11</v>
      </c>
    </row>
    <row r="118" spans="1:32" s="1567" customFormat="1" ht="11.45" customHeight="1">
      <c r="A118" s="916"/>
      <c r="B118" s="1562"/>
      <c r="C118" s="1562"/>
      <c r="D118" s="287"/>
      <c r="K118" s="1086"/>
      <c r="L118" s="1562"/>
      <c r="M118" s="1562"/>
      <c r="N118" s="1086"/>
      <c r="O118" s="1086"/>
      <c r="P118" s="1086"/>
      <c r="Q118" s="1086"/>
      <c r="R118" s="1562"/>
      <c r="S118" s="1086"/>
      <c r="T118" s="1086"/>
      <c r="U118" s="480"/>
      <c r="V118" s="1086"/>
      <c r="W118" s="1086"/>
      <c r="X118" s="1086"/>
      <c r="Y118" s="1086"/>
      <c r="Z118" s="1086"/>
      <c r="AA118" s="1558"/>
      <c r="AB118" s="502"/>
      <c r="AC118" s="502"/>
      <c r="AD118" s="502"/>
      <c r="AE118" s="502"/>
      <c r="AF118" s="1567">
        <v>11</v>
      </c>
    </row>
    <row r="119" spans="1:32" s="1567" customFormat="1" ht="11.45" customHeight="1">
      <c r="A119" s="916"/>
      <c r="B119" s="1562"/>
      <c r="C119" s="1562"/>
      <c r="D119" s="287"/>
      <c r="K119" s="1086"/>
      <c r="L119" s="1562"/>
      <c r="M119" s="1562"/>
      <c r="N119" s="1086"/>
      <c r="O119" s="1086"/>
      <c r="P119" s="1086"/>
      <c r="Q119" s="1086"/>
      <c r="R119" s="1562"/>
      <c r="S119" s="1086"/>
      <c r="T119" s="1086"/>
      <c r="U119" s="480"/>
      <c r="V119" s="1086"/>
      <c r="W119" s="1086"/>
      <c r="X119" s="1086"/>
      <c r="Y119" s="1086"/>
      <c r="Z119" s="1086"/>
      <c r="AA119" s="1558"/>
      <c r="AB119" s="502"/>
      <c r="AC119" s="502"/>
      <c r="AD119" s="502"/>
      <c r="AE119" s="502"/>
      <c r="AF119" s="1567">
        <v>11</v>
      </c>
    </row>
    <row r="120" spans="1:32" s="1567" customFormat="1" ht="11.45" customHeight="1">
      <c r="A120" s="916"/>
      <c r="B120" s="1562"/>
      <c r="C120" s="1562"/>
      <c r="D120" s="287"/>
      <c r="K120" s="1086"/>
      <c r="L120" s="1562"/>
      <c r="M120" s="1562"/>
      <c r="N120" s="1086"/>
      <c r="O120" s="1086"/>
      <c r="P120" s="1086"/>
      <c r="Q120" s="1086"/>
      <c r="R120" s="1562"/>
      <c r="S120" s="1086"/>
      <c r="T120" s="1086"/>
      <c r="U120" s="480"/>
      <c r="V120" s="1086"/>
      <c r="W120" s="1086"/>
      <c r="X120" s="1086"/>
      <c r="Y120" s="1086"/>
      <c r="Z120" s="1086"/>
      <c r="AA120" s="1558"/>
      <c r="AB120" s="502"/>
      <c r="AC120" s="502"/>
      <c r="AD120" s="502"/>
      <c r="AE120" s="502"/>
      <c r="AF120" s="1567">
        <v>11</v>
      </c>
    </row>
    <row r="121" spans="1:32" s="1567" customFormat="1" ht="11.45" customHeight="1">
      <c r="A121" s="916"/>
      <c r="B121" s="1562"/>
      <c r="C121" s="1562"/>
      <c r="D121" s="287"/>
      <c r="K121" s="1086"/>
      <c r="L121" s="1562"/>
      <c r="M121" s="1562"/>
      <c r="N121" s="1086"/>
      <c r="O121" s="1086"/>
      <c r="P121" s="1086"/>
      <c r="Q121" s="1086"/>
      <c r="R121" s="1562"/>
      <c r="S121" s="1086"/>
      <c r="T121" s="1086"/>
      <c r="U121" s="480"/>
      <c r="V121" s="1086"/>
      <c r="W121" s="1086"/>
      <c r="X121" s="1086"/>
      <c r="Y121" s="1086"/>
      <c r="Z121" s="1086"/>
      <c r="AA121" s="1558"/>
      <c r="AB121" s="502"/>
      <c r="AC121" s="502"/>
      <c r="AD121" s="502"/>
      <c r="AE121" s="502"/>
      <c r="AF121" s="1567">
        <v>11</v>
      </c>
    </row>
    <row r="122" spans="1:32" s="1567" customFormat="1" ht="11.45" customHeight="1">
      <c r="A122" s="916"/>
      <c r="B122" s="1562"/>
      <c r="C122" s="1562"/>
      <c r="D122" s="287"/>
      <c r="K122" s="1086"/>
      <c r="L122" s="1562"/>
      <c r="M122" s="1562"/>
      <c r="N122" s="1086"/>
      <c r="O122" s="1086"/>
      <c r="P122" s="1086"/>
      <c r="Q122" s="1086"/>
      <c r="R122" s="1562"/>
      <c r="S122" s="1086"/>
      <c r="T122" s="1086"/>
      <c r="U122" s="480"/>
      <c r="V122" s="1086"/>
      <c r="W122" s="1086"/>
      <c r="X122" s="1086"/>
      <c r="Y122" s="1086"/>
      <c r="Z122" s="1086"/>
      <c r="AA122" s="1558"/>
      <c r="AB122" s="502"/>
      <c r="AC122" s="502"/>
      <c r="AD122" s="502"/>
      <c r="AE122" s="502"/>
      <c r="AF122" s="1567">
        <v>11</v>
      </c>
    </row>
    <row r="123" spans="1:32" s="1567" customFormat="1" ht="11.45" customHeight="1">
      <c r="A123" s="916"/>
      <c r="B123" s="1562"/>
      <c r="C123" s="1562"/>
      <c r="D123" s="287"/>
      <c r="K123" s="1086"/>
      <c r="L123" s="1562"/>
      <c r="M123" s="1562"/>
      <c r="N123" s="1086"/>
      <c r="O123" s="1086"/>
      <c r="P123" s="1086"/>
      <c r="Q123" s="1086"/>
      <c r="R123" s="1562"/>
      <c r="S123" s="1086"/>
      <c r="T123" s="1086"/>
      <c r="U123" s="480"/>
      <c r="V123" s="1086"/>
      <c r="W123" s="1086"/>
      <c r="X123" s="1086"/>
      <c r="Y123" s="1086"/>
      <c r="Z123" s="1086"/>
      <c r="AA123" s="1558"/>
      <c r="AB123" s="502"/>
      <c r="AC123" s="502"/>
      <c r="AD123" s="502"/>
      <c r="AE123" s="502"/>
      <c r="AF123" s="1567">
        <v>11</v>
      </c>
    </row>
    <row r="124" spans="1:32" s="1567" customFormat="1" ht="11.45" customHeight="1">
      <c r="A124" s="916"/>
      <c r="B124" s="1562"/>
      <c r="C124" s="1562"/>
      <c r="D124" s="287"/>
      <c r="K124" s="1086"/>
      <c r="L124" s="1562"/>
      <c r="M124" s="1562"/>
      <c r="N124" s="1086"/>
      <c r="O124" s="1086"/>
      <c r="P124" s="1086"/>
      <c r="Q124" s="1086"/>
      <c r="R124" s="1562"/>
      <c r="S124" s="1086"/>
      <c r="T124" s="1086"/>
      <c r="U124" s="480"/>
      <c r="V124" s="1086"/>
      <c r="W124" s="1086"/>
      <c r="X124" s="1086"/>
      <c r="Y124" s="1086"/>
      <c r="Z124" s="1086"/>
      <c r="AA124" s="1558"/>
      <c r="AB124" s="502"/>
      <c r="AC124" s="502"/>
      <c r="AD124" s="502"/>
      <c r="AE124" s="502"/>
      <c r="AF124" s="1567">
        <v>11</v>
      </c>
    </row>
    <row r="125" spans="1:32" s="1567" customFormat="1" ht="11.45" customHeight="1">
      <c r="A125" s="916"/>
      <c r="B125" s="1562"/>
      <c r="C125" s="1562"/>
      <c r="D125" s="287"/>
      <c r="K125" s="1086"/>
      <c r="L125" s="1562"/>
      <c r="M125" s="1562"/>
      <c r="N125" s="1086"/>
      <c r="O125" s="1086"/>
      <c r="P125" s="1086"/>
      <c r="Q125" s="1086"/>
      <c r="R125" s="1562"/>
      <c r="S125" s="1086"/>
      <c r="T125" s="1086"/>
      <c r="U125" s="480"/>
      <c r="V125" s="1086"/>
      <c r="W125" s="1086"/>
      <c r="X125" s="1086"/>
      <c r="Y125" s="1086"/>
      <c r="Z125" s="1086"/>
      <c r="AA125" s="1558"/>
      <c r="AB125" s="502"/>
      <c r="AC125" s="502"/>
      <c r="AD125" s="502"/>
      <c r="AE125" s="502"/>
      <c r="AF125" s="1567">
        <v>11</v>
      </c>
    </row>
    <row r="126" spans="1:32" s="1567" customFormat="1" ht="11.45" customHeight="1">
      <c r="A126" s="916"/>
      <c r="B126" s="1562"/>
      <c r="C126" s="1562"/>
      <c r="D126" s="287"/>
      <c r="K126" s="1086"/>
      <c r="L126" s="1562"/>
      <c r="M126" s="1562"/>
      <c r="N126" s="1086"/>
      <c r="O126" s="1086"/>
      <c r="P126" s="1086"/>
      <c r="Q126" s="1086"/>
      <c r="R126" s="1562"/>
      <c r="S126" s="1086"/>
      <c r="T126" s="1086"/>
      <c r="U126" s="480"/>
      <c r="V126" s="1086"/>
      <c r="W126" s="1086"/>
      <c r="X126" s="1086"/>
      <c r="Y126" s="1086"/>
      <c r="Z126" s="1086"/>
      <c r="AA126" s="1558"/>
      <c r="AB126" s="502"/>
      <c r="AC126" s="502"/>
      <c r="AD126" s="502"/>
      <c r="AE126" s="502"/>
      <c r="AF126" s="1567">
        <v>11</v>
      </c>
    </row>
    <row r="127" spans="1:32" s="1567" customFormat="1" ht="11.45" customHeight="1">
      <c r="A127" s="916"/>
      <c r="B127" s="1562"/>
      <c r="C127" s="1562"/>
      <c r="D127" s="287"/>
      <c r="K127" s="1086"/>
      <c r="L127" s="1562"/>
      <c r="M127" s="1562"/>
      <c r="N127" s="1086"/>
      <c r="O127" s="1086"/>
      <c r="P127" s="1086"/>
      <c r="Q127" s="1086"/>
      <c r="R127" s="1562"/>
      <c r="S127" s="1086"/>
      <c r="T127" s="1086"/>
      <c r="U127" s="480"/>
      <c r="V127" s="1086"/>
      <c r="W127" s="1086"/>
      <c r="X127" s="1086"/>
      <c r="Y127" s="1086"/>
      <c r="Z127" s="1086"/>
      <c r="AA127" s="1558"/>
      <c r="AB127" s="502"/>
      <c r="AC127" s="502"/>
      <c r="AD127" s="502"/>
      <c r="AE127" s="502"/>
      <c r="AF127" s="1567">
        <v>11</v>
      </c>
    </row>
    <row r="128" spans="1:32" s="1567" customFormat="1" ht="11.45" customHeight="1">
      <c r="A128" s="916"/>
      <c r="B128" s="1562"/>
      <c r="C128" s="1562"/>
      <c r="D128" s="287"/>
      <c r="K128" s="1086"/>
      <c r="L128" s="1562"/>
      <c r="M128" s="1562"/>
      <c r="N128" s="1086"/>
      <c r="O128" s="1086"/>
      <c r="P128" s="1086"/>
      <c r="Q128" s="1086"/>
      <c r="R128" s="1562"/>
      <c r="S128" s="1086"/>
      <c r="T128" s="1086"/>
      <c r="U128" s="480"/>
      <c r="V128" s="1086"/>
      <c r="W128" s="1086"/>
      <c r="X128" s="1086"/>
      <c r="Y128" s="1086"/>
      <c r="Z128" s="1086"/>
      <c r="AA128" s="1558"/>
      <c r="AB128" s="502"/>
      <c r="AC128" s="502"/>
      <c r="AD128" s="502"/>
      <c r="AE128" s="502"/>
      <c r="AF128" s="1567">
        <v>11</v>
      </c>
    </row>
    <row r="129" spans="1:32" s="1567" customFormat="1" ht="11.45" customHeight="1">
      <c r="A129" s="916"/>
      <c r="B129" s="1562"/>
      <c r="C129" s="1562"/>
      <c r="D129" s="287"/>
      <c r="K129" s="1086"/>
      <c r="L129" s="1562"/>
      <c r="M129" s="1562"/>
      <c r="N129" s="1086"/>
      <c r="O129" s="1086"/>
      <c r="P129" s="1086"/>
      <c r="Q129" s="1086"/>
      <c r="R129" s="1562"/>
      <c r="S129" s="1086"/>
      <c r="T129" s="1086"/>
      <c r="U129" s="480"/>
      <c r="V129" s="1086"/>
      <c r="W129" s="1086"/>
      <c r="X129" s="1086"/>
      <c r="Y129" s="1086"/>
      <c r="Z129" s="1086"/>
      <c r="AA129" s="1558"/>
      <c r="AB129" s="502"/>
      <c r="AC129" s="502"/>
      <c r="AD129" s="502"/>
      <c r="AE129" s="502"/>
      <c r="AF129" s="1567">
        <v>11</v>
      </c>
    </row>
    <row r="130" spans="1:32" s="1567" customFormat="1" ht="11.45" customHeight="1">
      <c r="A130" s="916"/>
      <c r="B130" s="1562"/>
      <c r="C130" s="1562"/>
      <c r="D130" s="287"/>
      <c r="K130" s="1086"/>
      <c r="L130" s="1562"/>
      <c r="M130" s="1562"/>
      <c r="N130" s="1086"/>
      <c r="O130" s="1086"/>
      <c r="P130" s="1086"/>
      <c r="Q130" s="1086"/>
      <c r="R130" s="1562"/>
      <c r="S130" s="1086"/>
      <c r="T130" s="1086"/>
      <c r="U130" s="480"/>
      <c r="V130" s="1086"/>
      <c r="W130" s="1086"/>
      <c r="X130" s="1086"/>
      <c r="Y130" s="1086"/>
      <c r="Z130" s="1086"/>
      <c r="AA130" s="1558"/>
      <c r="AB130" s="502"/>
      <c r="AC130" s="502"/>
      <c r="AD130" s="502"/>
      <c r="AE130" s="502"/>
      <c r="AF130" s="1567">
        <v>11</v>
      </c>
    </row>
    <row r="131" spans="1:32" s="1567" customFormat="1" ht="11.45" customHeight="1">
      <c r="A131" s="916"/>
      <c r="B131" s="1562"/>
      <c r="C131" s="1562"/>
      <c r="D131" s="287"/>
      <c r="K131" s="1086"/>
      <c r="L131" s="1562"/>
      <c r="M131" s="1562"/>
      <c r="N131" s="1086"/>
      <c r="O131" s="1086"/>
      <c r="P131" s="1086"/>
      <c r="Q131" s="1086"/>
      <c r="R131" s="1562"/>
      <c r="S131" s="1086"/>
      <c r="T131" s="1086"/>
      <c r="U131" s="480"/>
      <c r="V131" s="1086"/>
      <c r="W131" s="1086"/>
      <c r="X131" s="1086"/>
      <c r="Y131" s="1086"/>
      <c r="Z131" s="1086"/>
      <c r="AA131" s="1558"/>
      <c r="AB131" s="502"/>
      <c r="AC131" s="502"/>
      <c r="AD131" s="502"/>
      <c r="AE131" s="502"/>
      <c r="AF131" s="1567">
        <v>11</v>
      </c>
    </row>
    <row r="132" spans="1:32" s="1567" customFormat="1" ht="11.45" customHeight="1">
      <c r="A132" s="916"/>
      <c r="B132" s="1562"/>
      <c r="C132" s="1562"/>
      <c r="D132" s="287"/>
      <c r="K132" s="1086"/>
      <c r="L132" s="1562"/>
      <c r="M132" s="1562"/>
      <c r="N132" s="1086"/>
      <c r="O132" s="1086"/>
      <c r="P132" s="1086"/>
      <c r="Q132" s="1086"/>
      <c r="R132" s="1562"/>
      <c r="S132" s="1086"/>
      <c r="T132" s="1086"/>
      <c r="U132" s="480"/>
      <c r="V132" s="1086"/>
      <c r="W132" s="1086"/>
      <c r="X132" s="1086"/>
      <c r="Y132" s="1086"/>
      <c r="Z132" s="1086"/>
      <c r="AA132" s="1558"/>
      <c r="AB132" s="502"/>
      <c r="AC132" s="502"/>
      <c r="AD132" s="502"/>
      <c r="AE132" s="502"/>
      <c r="AF132" s="1567">
        <v>11</v>
      </c>
    </row>
    <row r="133" spans="1:32" s="1567" customFormat="1" ht="11.45" customHeight="1">
      <c r="A133" s="916"/>
      <c r="B133" s="1562"/>
      <c r="C133" s="1562"/>
      <c r="D133" s="287"/>
      <c r="K133" s="1086"/>
      <c r="L133" s="1562"/>
      <c r="M133" s="1562"/>
      <c r="N133" s="1086"/>
      <c r="O133" s="1086"/>
      <c r="P133" s="1086"/>
      <c r="Q133" s="1086"/>
      <c r="R133" s="1562"/>
      <c r="S133" s="1086"/>
      <c r="T133" s="1086"/>
      <c r="U133" s="480"/>
      <c r="V133" s="1086"/>
      <c r="W133" s="1086"/>
      <c r="X133" s="1086"/>
      <c r="Y133" s="1086"/>
      <c r="Z133" s="1086"/>
      <c r="AA133" s="1558"/>
      <c r="AB133" s="502"/>
      <c r="AC133" s="502"/>
      <c r="AD133" s="502"/>
      <c r="AE133" s="502"/>
      <c r="AF133" s="1567">
        <v>11</v>
      </c>
    </row>
    <row r="134" spans="1:32" s="1567" customFormat="1" ht="11.45" customHeight="1">
      <c r="A134" s="916"/>
      <c r="B134" s="1562"/>
      <c r="C134" s="1562"/>
      <c r="D134" s="287"/>
      <c r="K134" s="1086"/>
      <c r="L134" s="1562"/>
      <c r="M134" s="1562"/>
      <c r="N134" s="1086"/>
      <c r="O134" s="1086"/>
      <c r="P134" s="1086"/>
      <c r="Q134" s="1086"/>
      <c r="R134" s="1562"/>
      <c r="S134" s="1086"/>
      <c r="T134" s="1086"/>
      <c r="U134" s="480"/>
      <c r="V134" s="1086"/>
      <c r="W134" s="1086"/>
      <c r="X134" s="1086"/>
      <c r="Y134" s="1086"/>
      <c r="Z134" s="1086"/>
      <c r="AA134" s="1558"/>
      <c r="AB134" s="502"/>
      <c r="AC134" s="502"/>
      <c r="AD134" s="502"/>
      <c r="AE134" s="502"/>
      <c r="AF134" s="1567">
        <v>11</v>
      </c>
    </row>
    <row r="135" spans="1:32" s="1567" customFormat="1" ht="11.45" customHeight="1">
      <c r="A135" s="916"/>
      <c r="B135" s="1562"/>
      <c r="C135" s="1562"/>
      <c r="D135" s="287"/>
      <c r="K135" s="1086"/>
      <c r="L135" s="1562"/>
      <c r="M135" s="1562"/>
      <c r="N135" s="1086"/>
      <c r="O135" s="1086"/>
      <c r="P135" s="1086"/>
      <c r="Q135" s="1086"/>
      <c r="R135" s="1562"/>
      <c r="S135" s="1086"/>
      <c r="T135" s="1086"/>
      <c r="U135" s="480"/>
      <c r="V135" s="1086"/>
      <c r="W135" s="1086"/>
      <c r="X135" s="1086"/>
      <c r="Y135" s="1086"/>
      <c r="Z135" s="1086"/>
      <c r="AA135" s="1558"/>
      <c r="AB135" s="502"/>
      <c r="AC135" s="502"/>
      <c r="AD135" s="502"/>
      <c r="AE135" s="502"/>
      <c r="AF135" s="1567">
        <v>11</v>
      </c>
    </row>
    <row r="136" spans="1:32" s="1567" customFormat="1" ht="11.45" customHeight="1">
      <c r="A136" s="916"/>
      <c r="B136" s="1562"/>
      <c r="C136" s="1562"/>
      <c r="D136" s="287"/>
      <c r="K136" s="1086"/>
      <c r="L136" s="1562"/>
      <c r="M136" s="1562"/>
      <c r="N136" s="1086"/>
      <c r="O136" s="1086"/>
      <c r="P136" s="1086"/>
      <c r="Q136" s="1086"/>
      <c r="R136" s="1562"/>
      <c r="S136" s="1086"/>
      <c r="T136" s="1086"/>
      <c r="U136" s="480"/>
      <c r="V136" s="1086"/>
      <c r="W136" s="1086"/>
      <c r="X136" s="1086"/>
      <c r="Y136" s="1086"/>
      <c r="Z136" s="1086"/>
      <c r="AA136" s="1558"/>
      <c r="AB136" s="502"/>
      <c r="AC136" s="502"/>
      <c r="AD136" s="502"/>
      <c r="AE136" s="502"/>
      <c r="AF136" s="1567">
        <v>11</v>
      </c>
    </row>
    <row r="137" spans="1:32" s="1567" customFormat="1" ht="11.45" customHeight="1">
      <c r="A137" s="916"/>
      <c r="B137" s="1562"/>
      <c r="C137" s="1562"/>
      <c r="D137" s="287"/>
      <c r="K137" s="1086"/>
      <c r="L137" s="1562"/>
      <c r="M137" s="1562"/>
      <c r="N137" s="1086"/>
      <c r="O137" s="1086"/>
      <c r="P137" s="1086"/>
      <c r="Q137" s="1086"/>
      <c r="R137" s="1562"/>
      <c r="S137" s="1086"/>
      <c r="T137" s="1086"/>
      <c r="U137" s="480"/>
      <c r="V137" s="1086"/>
      <c r="W137" s="1086"/>
      <c r="X137" s="1086"/>
      <c r="Y137" s="1086"/>
      <c r="Z137" s="1086"/>
      <c r="AA137" s="1558"/>
      <c r="AB137" s="502"/>
      <c r="AC137" s="502"/>
      <c r="AD137" s="502"/>
      <c r="AE137" s="502"/>
      <c r="AF137" s="1567">
        <v>11</v>
      </c>
    </row>
    <row r="138" spans="1:32" s="1567" customFormat="1" ht="11.45" customHeight="1">
      <c r="A138" s="916"/>
      <c r="B138" s="1562"/>
      <c r="C138" s="1562"/>
      <c r="D138" s="287"/>
      <c r="K138" s="1086"/>
      <c r="L138" s="1562"/>
      <c r="M138" s="1562"/>
      <c r="N138" s="1086"/>
      <c r="O138" s="1086"/>
      <c r="P138" s="1086"/>
      <c r="Q138" s="1086"/>
      <c r="R138" s="1562"/>
      <c r="S138" s="1086"/>
      <c r="T138" s="1086"/>
      <c r="U138" s="480"/>
      <c r="V138" s="1086"/>
      <c r="W138" s="1086"/>
      <c r="X138" s="1086"/>
      <c r="Y138" s="1086"/>
      <c r="Z138" s="1086"/>
      <c r="AA138" s="1558"/>
      <c r="AB138" s="502"/>
      <c r="AC138" s="502"/>
      <c r="AD138" s="502"/>
      <c r="AE138" s="502"/>
      <c r="AF138" s="1567">
        <v>11</v>
      </c>
    </row>
    <row r="139" spans="1:32" s="1567" customFormat="1" ht="11.45" customHeight="1">
      <c r="A139" s="916"/>
      <c r="B139" s="1562"/>
      <c r="C139" s="1562"/>
      <c r="D139" s="287"/>
      <c r="K139" s="1086"/>
      <c r="L139" s="1562"/>
      <c r="M139" s="1562"/>
      <c r="N139" s="1086"/>
      <c r="O139" s="1086"/>
      <c r="P139" s="1086"/>
      <c r="Q139" s="1086"/>
      <c r="R139" s="1562"/>
      <c r="S139" s="1086"/>
      <c r="T139" s="1086"/>
      <c r="U139" s="480"/>
      <c r="V139" s="1086"/>
      <c r="W139" s="1086"/>
      <c r="X139" s="1086"/>
      <c r="Y139" s="1086"/>
      <c r="Z139" s="1086"/>
      <c r="AA139" s="1558"/>
      <c r="AB139" s="502"/>
      <c r="AC139" s="502"/>
      <c r="AD139" s="502"/>
      <c r="AE139" s="502"/>
      <c r="AF139" s="1567">
        <v>11</v>
      </c>
    </row>
    <row r="140" spans="1:32" s="1567" customFormat="1" ht="11.45" customHeight="1">
      <c r="A140" s="916"/>
      <c r="B140" s="1562"/>
      <c r="C140" s="1562"/>
      <c r="D140" s="287"/>
      <c r="K140" s="1086"/>
      <c r="L140" s="1562"/>
      <c r="M140" s="1562"/>
      <c r="N140" s="1086"/>
      <c r="O140" s="1086"/>
      <c r="P140" s="1086"/>
      <c r="Q140" s="1086"/>
      <c r="R140" s="1562"/>
      <c r="S140" s="1086"/>
      <c r="T140" s="1086"/>
      <c r="U140" s="480"/>
      <c r="V140" s="1086"/>
      <c r="W140" s="1086"/>
      <c r="X140" s="1086"/>
      <c r="Y140" s="1086"/>
      <c r="Z140" s="1086"/>
      <c r="AA140" s="1558"/>
      <c r="AB140" s="502"/>
      <c r="AC140" s="502"/>
      <c r="AD140" s="502"/>
      <c r="AE140" s="502"/>
      <c r="AF140" s="1567">
        <v>11</v>
      </c>
    </row>
    <row r="141" spans="1:32" s="1567" customFormat="1" ht="11.45" customHeight="1">
      <c r="A141" s="916"/>
      <c r="B141" s="1562"/>
      <c r="C141" s="1562"/>
      <c r="D141" s="287"/>
      <c r="K141" s="1086"/>
      <c r="L141" s="1562"/>
      <c r="M141" s="1562"/>
      <c r="N141" s="1086"/>
      <c r="O141" s="1086"/>
      <c r="P141" s="1086"/>
      <c r="Q141" s="1086"/>
      <c r="R141" s="1562"/>
      <c r="S141" s="1086"/>
      <c r="T141" s="1086"/>
      <c r="U141" s="480"/>
      <c r="V141" s="1086"/>
      <c r="W141" s="1086"/>
      <c r="X141" s="1086"/>
      <c r="Y141" s="1086"/>
      <c r="Z141" s="1086"/>
      <c r="AA141" s="1558"/>
      <c r="AB141" s="502"/>
      <c r="AC141" s="502"/>
      <c r="AD141" s="502"/>
      <c r="AE141" s="502"/>
      <c r="AF141" s="1567">
        <v>11</v>
      </c>
    </row>
    <row r="142" spans="1:32" s="1567" customFormat="1" ht="11.45" customHeight="1">
      <c r="A142" s="916"/>
      <c r="B142" s="1562"/>
      <c r="C142" s="1562"/>
      <c r="D142" s="287"/>
      <c r="K142" s="1086"/>
      <c r="L142" s="1562"/>
      <c r="M142" s="1562"/>
      <c r="N142" s="1086"/>
      <c r="O142" s="1086"/>
      <c r="P142" s="1086"/>
      <c r="Q142" s="1086"/>
      <c r="R142" s="1562"/>
      <c r="S142" s="1086"/>
      <c r="T142" s="1086"/>
      <c r="U142" s="480"/>
      <c r="V142" s="1086"/>
      <c r="W142" s="1086"/>
      <c r="X142" s="1086"/>
      <c r="Y142" s="1086"/>
      <c r="Z142" s="1086"/>
      <c r="AA142" s="1558"/>
      <c r="AB142" s="502"/>
      <c r="AC142" s="502"/>
      <c r="AD142" s="502"/>
      <c r="AE142" s="502"/>
      <c r="AF142" s="1567">
        <v>11</v>
      </c>
    </row>
    <row r="143" spans="1:32" s="1567" customFormat="1" ht="11.45" customHeight="1">
      <c r="A143" s="916"/>
      <c r="B143" s="1562"/>
      <c r="C143" s="1562"/>
      <c r="D143" s="287"/>
      <c r="K143" s="1086"/>
      <c r="L143" s="1562"/>
      <c r="M143" s="1562"/>
      <c r="N143" s="1086"/>
      <c r="O143" s="1086"/>
      <c r="P143" s="1086"/>
      <c r="Q143" s="1086"/>
      <c r="R143" s="1562"/>
      <c r="S143" s="1086"/>
      <c r="T143" s="1086"/>
      <c r="U143" s="480"/>
      <c r="V143" s="1086"/>
      <c r="W143" s="1086"/>
      <c r="X143" s="1086"/>
      <c r="Y143" s="1086"/>
      <c r="Z143" s="1086"/>
      <c r="AA143" s="1558"/>
      <c r="AB143" s="502"/>
      <c r="AC143" s="502"/>
      <c r="AD143" s="502"/>
      <c r="AE143" s="502"/>
      <c r="AF143" s="1567">
        <v>11</v>
      </c>
    </row>
    <row r="144" spans="1:32" s="1567" customFormat="1" ht="11.45" customHeight="1">
      <c r="A144" s="916"/>
      <c r="B144" s="1562"/>
      <c r="C144" s="1562"/>
      <c r="D144" s="287"/>
      <c r="K144" s="1086"/>
      <c r="L144" s="1562"/>
      <c r="M144" s="1562"/>
      <c r="N144" s="1086"/>
      <c r="O144" s="1086"/>
      <c r="P144" s="1086"/>
      <c r="Q144" s="1086"/>
      <c r="R144" s="1562"/>
      <c r="S144" s="1086"/>
      <c r="T144" s="1086"/>
      <c r="U144" s="480"/>
      <c r="V144" s="1086"/>
      <c r="W144" s="1086"/>
      <c r="X144" s="1086"/>
      <c r="Y144" s="1086"/>
      <c r="Z144" s="1086"/>
      <c r="AA144" s="1558"/>
      <c r="AB144" s="502"/>
      <c r="AC144" s="502"/>
      <c r="AD144" s="502"/>
      <c r="AE144" s="502"/>
      <c r="AF144" s="1567">
        <v>11</v>
      </c>
    </row>
    <row r="145" spans="1:32" s="1567" customFormat="1" ht="11.45" customHeight="1">
      <c r="A145" s="916"/>
      <c r="B145" s="1562"/>
      <c r="C145" s="1562"/>
      <c r="D145" s="287"/>
      <c r="K145" s="1086"/>
      <c r="L145" s="1562"/>
      <c r="M145" s="1562"/>
      <c r="N145" s="1086"/>
      <c r="O145" s="1086"/>
      <c r="P145" s="1086"/>
      <c r="Q145" s="1086"/>
      <c r="R145" s="1562"/>
      <c r="S145" s="1086"/>
      <c r="T145" s="1086"/>
      <c r="U145" s="480"/>
      <c r="V145" s="1086"/>
      <c r="W145" s="1086"/>
      <c r="X145" s="1086"/>
      <c r="Y145" s="1086"/>
      <c r="Z145" s="1086"/>
      <c r="AA145" s="1558"/>
      <c r="AB145" s="502"/>
      <c r="AC145" s="502"/>
      <c r="AD145" s="502"/>
      <c r="AE145" s="502"/>
      <c r="AF145" s="1567">
        <v>11</v>
      </c>
    </row>
    <row r="146" spans="1:32" s="1567" customFormat="1" ht="11.45" customHeight="1">
      <c r="A146" s="916"/>
      <c r="B146" s="1562"/>
      <c r="C146" s="1562"/>
      <c r="D146" s="287"/>
      <c r="K146" s="1086"/>
      <c r="L146" s="1562"/>
      <c r="M146" s="1562"/>
      <c r="N146" s="1086"/>
      <c r="O146" s="1086"/>
      <c r="P146" s="1086"/>
      <c r="Q146" s="1086"/>
      <c r="R146" s="1562"/>
      <c r="S146" s="1086"/>
      <c r="T146" s="1086"/>
      <c r="U146" s="480"/>
      <c r="V146" s="1086"/>
      <c r="W146" s="1086"/>
      <c r="X146" s="1086"/>
      <c r="Y146" s="1086"/>
      <c r="Z146" s="1086"/>
      <c r="AA146" s="1558"/>
      <c r="AB146" s="502"/>
      <c r="AC146" s="502"/>
      <c r="AD146" s="502"/>
      <c r="AE146" s="502"/>
      <c r="AF146" s="1567">
        <v>11</v>
      </c>
    </row>
    <row r="147" spans="1:32" s="1567" customFormat="1" ht="11.45" customHeight="1">
      <c r="A147" s="916"/>
      <c r="B147" s="1562"/>
      <c r="C147" s="1562"/>
      <c r="D147" s="287"/>
      <c r="K147" s="1086"/>
      <c r="L147" s="1562"/>
      <c r="M147" s="1562"/>
      <c r="N147" s="1086"/>
      <c r="O147" s="1086"/>
      <c r="P147" s="1086"/>
      <c r="Q147" s="1086"/>
      <c r="R147" s="1562"/>
      <c r="S147" s="1086"/>
      <c r="T147" s="1086"/>
      <c r="U147" s="480"/>
      <c r="V147" s="1086"/>
      <c r="W147" s="1086"/>
      <c r="X147" s="1086"/>
      <c r="Y147" s="1086"/>
      <c r="Z147" s="1086"/>
      <c r="AA147" s="1558"/>
      <c r="AB147" s="502"/>
      <c r="AC147" s="502"/>
      <c r="AD147" s="502"/>
      <c r="AE147" s="502"/>
      <c r="AF147" s="1567">
        <v>11</v>
      </c>
    </row>
    <row r="148" spans="1:32" s="1567" customFormat="1" ht="11.45" customHeight="1">
      <c r="A148" s="916"/>
      <c r="B148" s="1562"/>
      <c r="C148" s="1562"/>
      <c r="D148" s="287"/>
      <c r="K148" s="1086"/>
      <c r="L148" s="1562"/>
      <c r="M148" s="1562"/>
      <c r="N148" s="1086"/>
      <c r="O148" s="1086"/>
      <c r="P148" s="1086"/>
      <c r="Q148" s="1086"/>
      <c r="R148" s="1562"/>
      <c r="S148" s="1086"/>
      <c r="T148" s="1086"/>
      <c r="U148" s="480"/>
      <c r="V148" s="1086"/>
      <c r="W148" s="1086"/>
      <c r="X148" s="1086"/>
      <c r="Y148" s="1086"/>
      <c r="Z148" s="1086"/>
      <c r="AA148" s="1558"/>
      <c r="AB148" s="502"/>
      <c r="AC148" s="502"/>
      <c r="AD148" s="502"/>
      <c r="AE148" s="502"/>
      <c r="AF148" s="1567">
        <v>11</v>
      </c>
    </row>
    <row r="149" spans="1:32" s="1567" customFormat="1" ht="11.45" customHeight="1">
      <c r="A149" s="916"/>
      <c r="B149" s="1562"/>
      <c r="C149" s="1562"/>
      <c r="D149" s="287"/>
      <c r="K149" s="1086"/>
      <c r="L149" s="1562"/>
      <c r="M149" s="1562"/>
      <c r="N149" s="1086"/>
      <c r="O149" s="1086"/>
      <c r="P149" s="1086"/>
      <c r="Q149" s="1086"/>
      <c r="R149" s="1562"/>
      <c r="S149" s="1086"/>
      <c r="T149" s="1086"/>
      <c r="U149" s="480"/>
      <c r="V149" s="1086"/>
      <c r="W149" s="1086"/>
      <c r="X149" s="1086"/>
      <c r="Y149" s="1086"/>
      <c r="Z149" s="1086"/>
      <c r="AA149" s="1558"/>
      <c r="AB149" s="502"/>
      <c r="AC149" s="502"/>
      <c r="AD149" s="502"/>
      <c r="AE149" s="502"/>
      <c r="AF149" s="1567">
        <v>11</v>
      </c>
    </row>
    <row r="150" spans="1:32" s="1567" customFormat="1" ht="11.45" customHeight="1">
      <c r="A150" s="916"/>
      <c r="B150" s="1562"/>
      <c r="C150" s="1562"/>
      <c r="D150" s="287"/>
      <c r="K150" s="1086"/>
      <c r="L150" s="1562"/>
      <c r="M150" s="1562"/>
      <c r="N150" s="1086"/>
      <c r="O150" s="1086"/>
      <c r="P150" s="1086"/>
      <c r="Q150" s="1086"/>
      <c r="R150" s="1562"/>
      <c r="S150" s="1086"/>
      <c r="T150" s="1086"/>
      <c r="U150" s="480"/>
      <c r="V150" s="1086"/>
      <c r="W150" s="1086"/>
      <c r="X150" s="1086"/>
      <c r="Y150" s="1086"/>
      <c r="Z150" s="1086"/>
      <c r="AA150" s="1558"/>
      <c r="AB150" s="502"/>
      <c r="AC150" s="502"/>
      <c r="AD150" s="502"/>
      <c r="AE150" s="502"/>
      <c r="AF150" s="1567">
        <v>11</v>
      </c>
    </row>
    <row r="151" spans="1:32" s="1567" customFormat="1" ht="11.45" customHeight="1">
      <c r="A151" s="916"/>
      <c r="B151" s="1562"/>
      <c r="C151" s="1562"/>
      <c r="D151" s="287"/>
      <c r="K151" s="1086"/>
      <c r="L151" s="1562"/>
      <c r="M151" s="1562"/>
      <c r="N151" s="1086"/>
      <c r="O151" s="1086"/>
      <c r="P151" s="1086"/>
      <c r="Q151" s="1086"/>
      <c r="R151" s="1562"/>
      <c r="S151" s="1086"/>
      <c r="T151" s="1086"/>
      <c r="U151" s="480"/>
      <c r="V151" s="1086"/>
      <c r="W151" s="1086"/>
      <c r="X151" s="1086"/>
      <c r="Y151" s="1086"/>
      <c r="Z151" s="1086"/>
      <c r="AA151" s="1558"/>
      <c r="AB151" s="502"/>
      <c r="AC151" s="502"/>
      <c r="AD151" s="502"/>
      <c r="AE151" s="502"/>
      <c r="AF151" s="1567">
        <v>11</v>
      </c>
    </row>
    <row r="152" spans="1:32" s="1567" customFormat="1" ht="11.45" customHeight="1">
      <c r="A152" s="916"/>
      <c r="B152" s="1562"/>
      <c r="C152" s="1562"/>
      <c r="D152" s="287"/>
      <c r="K152" s="1086"/>
      <c r="L152" s="1562"/>
      <c r="M152" s="1562"/>
      <c r="N152" s="1086"/>
      <c r="O152" s="1086"/>
      <c r="P152" s="1086"/>
      <c r="Q152" s="1086"/>
      <c r="R152" s="1562"/>
      <c r="S152" s="1086"/>
      <c r="T152" s="1086"/>
      <c r="U152" s="480"/>
      <c r="V152" s="1086"/>
      <c r="W152" s="1086"/>
      <c r="X152" s="1086"/>
      <c r="Y152" s="1086"/>
      <c r="Z152" s="1086"/>
      <c r="AA152" s="1558"/>
      <c r="AB152" s="502"/>
      <c r="AC152" s="502"/>
      <c r="AD152" s="502"/>
      <c r="AE152" s="502"/>
      <c r="AF152" s="1567">
        <v>11</v>
      </c>
    </row>
    <row r="153" spans="1:32" s="1567" customFormat="1" ht="11.45" customHeight="1">
      <c r="A153" s="916"/>
      <c r="B153" s="1562"/>
      <c r="C153" s="1562"/>
      <c r="D153" s="287"/>
      <c r="K153" s="1086"/>
      <c r="L153" s="1562"/>
      <c r="M153" s="1562"/>
      <c r="N153" s="1086"/>
      <c r="O153" s="1086"/>
      <c r="P153" s="1086"/>
      <c r="Q153" s="1086"/>
      <c r="R153" s="1562"/>
      <c r="S153" s="1086"/>
      <c r="T153" s="1086"/>
      <c r="U153" s="480"/>
      <c r="V153" s="1086"/>
      <c r="W153" s="1086"/>
      <c r="X153" s="1086"/>
      <c r="Y153" s="1086"/>
      <c r="Z153" s="1086"/>
      <c r="AA153" s="1558"/>
      <c r="AB153" s="502"/>
      <c r="AC153" s="502"/>
      <c r="AD153" s="502"/>
      <c r="AE153" s="502"/>
      <c r="AF153" s="1567">
        <v>11</v>
      </c>
    </row>
    <row r="154" spans="1:32" s="1567" customFormat="1" ht="11.45" customHeight="1">
      <c r="A154" s="916"/>
      <c r="B154" s="1562"/>
      <c r="C154" s="1562"/>
      <c r="D154" s="287"/>
      <c r="K154" s="1086"/>
      <c r="L154" s="1562"/>
      <c r="M154" s="1562"/>
      <c r="N154" s="1086"/>
      <c r="O154" s="1086"/>
      <c r="P154" s="1086"/>
      <c r="Q154" s="1086"/>
      <c r="R154" s="1562"/>
      <c r="S154" s="1086"/>
      <c r="T154" s="1086"/>
      <c r="U154" s="480"/>
      <c r="V154" s="1086"/>
      <c r="W154" s="1086"/>
      <c r="X154" s="1086"/>
      <c r="Y154" s="1086"/>
      <c r="Z154" s="1086"/>
      <c r="AA154" s="1558"/>
      <c r="AB154" s="502"/>
      <c r="AC154" s="502"/>
      <c r="AD154" s="502"/>
      <c r="AE154" s="502"/>
      <c r="AF154" s="1567">
        <v>11</v>
      </c>
    </row>
    <row r="155" spans="1:32" s="1567" customFormat="1" ht="11.45" customHeight="1">
      <c r="A155" s="916"/>
      <c r="B155" s="1562"/>
      <c r="C155" s="1562"/>
      <c r="D155" s="287"/>
      <c r="K155" s="1086"/>
      <c r="L155" s="1562"/>
      <c r="M155" s="1562"/>
      <c r="N155" s="1086"/>
      <c r="O155" s="1086"/>
      <c r="P155" s="1086"/>
      <c r="Q155" s="1086"/>
      <c r="R155" s="1562"/>
      <c r="S155" s="1086"/>
      <c r="T155" s="1086"/>
      <c r="U155" s="480"/>
      <c r="V155" s="1086"/>
      <c r="W155" s="1086"/>
      <c r="X155" s="1086"/>
      <c r="Y155" s="1086"/>
      <c r="Z155" s="1086"/>
      <c r="AA155" s="1558"/>
      <c r="AB155" s="502"/>
      <c r="AC155" s="502"/>
      <c r="AD155" s="502"/>
      <c r="AE155" s="502"/>
      <c r="AF155" s="1567">
        <v>11</v>
      </c>
    </row>
    <row r="156" spans="1:32" s="1567" customFormat="1" ht="11.45" customHeight="1">
      <c r="A156" s="916"/>
      <c r="B156" s="1562"/>
      <c r="C156" s="1562"/>
      <c r="D156" s="287"/>
      <c r="K156" s="1086"/>
      <c r="L156" s="1562"/>
      <c r="M156" s="1562"/>
      <c r="N156" s="1086"/>
      <c r="O156" s="1086"/>
      <c r="P156" s="1086"/>
      <c r="Q156" s="1086"/>
      <c r="R156" s="1562"/>
      <c r="S156" s="1086"/>
      <c r="T156" s="1086"/>
      <c r="U156" s="480"/>
      <c r="V156" s="1086"/>
      <c r="W156" s="1086"/>
      <c r="X156" s="1086"/>
      <c r="Y156" s="1086"/>
      <c r="Z156" s="1086"/>
      <c r="AA156" s="1558"/>
      <c r="AB156" s="502"/>
      <c r="AC156" s="502"/>
      <c r="AD156" s="502"/>
      <c r="AE156" s="502"/>
      <c r="AF156" s="1567">
        <v>11</v>
      </c>
    </row>
    <row r="157" spans="1:32" s="1567" customFormat="1" ht="11.45" customHeight="1">
      <c r="A157" s="916"/>
      <c r="B157" s="1562"/>
      <c r="C157" s="1562"/>
      <c r="D157" s="287"/>
      <c r="K157" s="1086"/>
      <c r="L157" s="1562"/>
      <c r="M157" s="1562"/>
      <c r="N157" s="1086"/>
      <c r="O157" s="1086"/>
      <c r="P157" s="1086"/>
      <c r="Q157" s="1086"/>
      <c r="R157" s="1562"/>
      <c r="S157" s="1086"/>
      <c r="T157" s="1086"/>
      <c r="U157" s="480"/>
      <c r="V157" s="1086"/>
      <c r="W157" s="1086"/>
      <c r="X157" s="1086"/>
      <c r="Y157" s="1086"/>
      <c r="Z157" s="1086"/>
      <c r="AA157" s="1558"/>
      <c r="AB157" s="502"/>
      <c r="AC157" s="502"/>
      <c r="AD157" s="502"/>
      <c r="AE157" s="502"/>
      <c r="AF157" s="1567">
        <v>11</v>
      </c>
    </row>
    <row r="158" spans="1:32" s="1567" customFormat="1" ht="11.45" customHeight="1">
      <c r="A158" s="916"/>
      <c r="B158" s="1562"/>
      <c r="C158" s="1562"/>
      <c r="D158" s="287"/>
      <c r="K158" s="1086"/>
      <c r="L158" s="1562"/>
      <c r="M158" s="1562"/>
      <c r="N158" s="1086"/>
      <c r="O158" s="1086"/>
      <c r="P158" s="1086"/>
      <c r="Q158" s="1086"/>
      <c r="R158" s="1562"/>
      <c r="S158" s="1086"/>
      <c r="T158" s="1086"/>
      <c r="U158" s="480"/>
      <c r="V158" s="1086"/>
      <c r="W158" s="1086"/>
      <c r="X158" s="1086"/>
      <c r="Y158" s="1086"/>
      <c r="Z158" s="1086"/>
      <c r="AA158" s="1558"/>
      <c r="AB158" s="502"/>
      <c r="AC158" s="502"/>
      <c r="AD158" s="502"/>
      <c r="AE158" s="502"/>
      <c r="AF158" s="1567">
        <v>11</v>
      </c>
    </row>
    <row r="159" spans="1:32" s="1567" customFormat="1" ht="11.45" customHeight="1">
      <c r="A159" s="916"/>
      <c r="B159" s="1562"/>
      <c r="C159" s="1562"/>
      <c r="D159" s="287"/>
      <c r="K159" s="1086"/>
      <c r="L159" s="1562"/>
      <c r="M159" s="1562"/>
      <c r="N159" s="1086"/>
      <c r="O159" s="1086"/>
      <c r="P159" s="1086"/>
      <c r="Q159" s="1086"/>
      <c r="R159" s="1562"/>
      <c r="S159" s="1086"/>
      <c r="T159" s="1086"/>
      <c r="U159" s="480"/>
      <c r="V159" s="1086"/>
      <c r="W159" s="1086"/>
      <c r="X159" s="1086"/>
      <c r="Y159" s="1086"/>
      <c r="Z159" s="1086"/>
      <c r="AA159" s="1558"/>
      <c r="AB159" s="502"/>
      <c r="AC159" s="502"/>
      <c r="AD159" s="502"/>
      <c r="AE159" s="502"/>
      <c r="AF159" s="1567">
        <v>11</v>
      </c>
    </row>
    <row r="160" spans="1:32" s="1567" customFormat="1" ht="11.45" customHeight="1">
      <c r="A160" s="916"/>
      <c r="B160" s="1562"/>
      <c r="C160" s="1562"/>
      <c r="D160" s="287"/>
      <c r="K160" s="1086"/>
      <c r="L160" s="1562"/>
      <c r="M160" s="1562"/>
      <c r="N160" s="1086"/>
      <c r="O160" s="1086"/>
      <c r="P160" s="1086"/>
      <c r="Q160" s="1086"/>
      <c r="R160" s="1562"/>
      <c r="S160" s="1086"/>
      <c r="T160" s="1086"/>
      <c r="U160" s="480"/>
      <c r="V160" s="1086"/>
      <c r="W160" s="1086"/>
      <c r="X160" s="1086"/>
      <c r="Y160" s="1086"/>
      <c r="Z160" s="1086"/>
      <c r="AA160" s="1558"/>
      <c r="AB160" s="502"/>
      <c r="AC160" s="502"/>
      <c r="AD160" s="502"/>
      <c r="AE160" s="502"/>
      <c r="AF160" s="1567">
        <v>11</v>
      </c>
    </row>
    <row r="161" spans="1:32" s="1567" customFormat="1" ht="11.45" customHeight="1">
      <c r="A161" s="916"/>
      <c r="B161" s="1562"/>
      <c r="C161" s="1562"/>
      <c r="D161" s="287"/>
      <c r="K161" s="1086"/>
      <c r="L161" s="1562"/>
      <c r="M161" s="1562"/>
      <c r="N161" s="1086"/>
      <c r="O161" s="1086"/>
      <c r="P161" s="1086"/>
      <c r="Q161" s="1086"/>
      <c r="R161" s="1562"/>
      <c r="S161" s="1086"/>
      <c r="T161" s="1086"/>
      <c r="U161" s="480"/>
      <c r="V161" s="1086"/>
      <c r="W161" s="1086"/>
      <c r="X161" s="1086"/>
      <c r="Y161" s="1086"/>
      <c r="Z161" s="1086"/>
      <c r="AA161" s="1558"/>
      <c r="AB161" s="502"/>
      <c r="AC161" s="502"/>
      <c r="AD161" s="502"/>
      <c r="AE161" s="502"/>
      <c r="AF161" s="1567">
        <v>11</v>
      </c>
    </row>
    <row r="162" spans="1:32" s="1567" customFormat="1" ht="11.45" customHeight="1">
      <c r="A162" s="916"/>
      <c r="B162" s="1562"/>
      <c r="C162" s="1562"/>
      <c r="D162" s="287"/>
      <c r="K162" s="1086"/>
      <c r="L162" s="1562"/>
      <c r="M162" s="1562"/>
      <c r="N162" s="1086"/>
      <c r="O162" s="1086"/>
      <c r="P162" s="1086"/>
      <c r="Q162" s="1086"/>
      <c r="R162" s="1562"/>
      <c r="S162" s="1086"/>
      <c r="T162" s="1086"/>
      <c r="U162" s="480"/>
      <c r="V162" s="1086"/>
      <c r="W162" s="1086"/>
      <c r="X162" s="1086"/>
      <c r="Y162" s="1086"/>
      <c r="Z162" s="1086"/>
      <c r="AA162" s="1558"/>
      <c r="AB162" s="502"/>
      <c r="AC162" s="502"/>
      <c r="AD162" s="502"/>
      <c r="AE162" s="502"/>
      <c r="AF162" s="1567">
        <v>11</v>
      </c>
    </row>
    <row r="163" spans="1:32" s="1567" customFormat="1" ht="11.45" customHeight="1">
      <c r="A163" s="916"/>
      <c r="B163" s="1562"/>
      <c r="C163" s="1562"/>
      <c r="D163" s="287"/>
      <c r="K163" s="1086"/>
      <c r="L163" s="1562"/>
      <c r="M163" s="1562"/>
      <c r="N163" s="1086"/>
      <c r="O163" s="1086"/>
      <c r="P163" s="1086"/>
      <c r="Q163" s="1086"/>
      <c r="R163" s="1562"/>
      <c r="S163" s="1086"/>
      <c r="T163" s="1086"/>
      <c r="U163" s="480"/>
      <c r="V163" s="1086"/>
      <c r="W163" s="1086"/>
      <c r="X163" s="1086"/>
      <c r="Y163" s="1086"/>
      <c r="Z163" s="1086"/>
      <c r="AA163" s="1558"/>
      <c r="AB163" s="502"/>
      <c r="AC163" s="502"/>
      <c r="AD163" s="502"/>
      <c r="AE163" s="502"/>
      <c r="AF163" s="1567">
        <v>11</v>
      </c>
    </row>
    <row r="164" spans="1:32" s="1567" customFormat="1" ht="11.45" customHeight="1">
      <c r="A164" s="916"/>
      <c r="B164" s="1562"/>
      <c r="C164" s="1562"/>
      <c r="D164" s="287"/>
      <c r="K164" s="1086"/>
      <c r="L164" s="1562"/>
      <c r="M164" s="1562"/>
      <c r="N164" s="1086"/>
      <c r="O164" s="1086"/>
      <c r="P164" s="1086"/>
      <c r="Q164" s="1086"/>
      <c r="R164" s="1562"/>
      <c r="S164" s="1086"/>
      <c r="T164" s="1086"/>
      <c r="U164" s="480"/>
      <c r="V164" s="1086"/>
      <c r="W164" s="1086"/>
      <c r="X164" s="1086"/>
      <c r="Y164" s="1086"/>
      <c r="Z164" s="1086"/>
      <c r="AA164" s="1558"/>
      <c r="AB164" s="502"/>
      <c r="AC164" s="502"/>
      <c r="AD164" s="502"/>
      <c r="AE164" s="502"/>
      <c r="AF164" s="1567">
        <v>11</v>
      </c>
    </row>
    <row r="165" spans="1:32" s="1567" customFormat="1" ht="11.45" customHeight="1">
      <c r="A165" s="916"/>
      <c r="B165" s="1562"/>
      <c r="C165" s="1562"/>
      <c r="D165" s="287"/>
      <c r="K165" s="1086"/>
      <c r="L165" s="1562"/>
      <c r="M165" s="1562"/>
      <c r="N165" s="1086"/>
      <c r="O165" s="1086"/>
      <c r="P165" s="1086"/>
      <c r="Q165" s="1086"/>
      <c r="R165" s="1562"/>
      <c r="S165" s="1086"/>
      <c r="T165" s="1086"/>
      <c r="U165" s="480"/>
      <c r="V165" s="1086"/>
      <c r="W165" s="1086"/>
      <c r="X165" s="1086"/>
      <c r="Y165" s="1086"/>
      <c r="Z165" s="1086"/>
      <c r="AA165" s="1558"/>
      <c r="AB165" s="502"/>
      <c r="AC165" s="502"/>
      <c r="AD165" s="502"/>
      <c r="AE165" s="502"/>
      <c r="AF165" s="1567">
        <v>11</v>
      </c>
    </row>
    <row r="166" spans="1:32" s="1567" customFormat="1" ht="11.45" customHeight="1">
      <c r="A166" s="916"/>
      <c r="B166" s="1562"/>
      <c r="C166" s="1562"/>
      <c r="D166" s="287"/>
      <c r="K166" s="1086"/>
      <c r="L166" s="1562"/>
      <c r="M166" s="1562"/>
      <c r="N166" s="1086"/>
      <c r="O166" s="1086"/>
      <c r="P166" s="1086"/>
      <c r="Q166" s="1086"/>
      <c r="R166" s="1562"/>
      <c r="S166" s="1086"/>
      <c r="T166" s="1086"/>
      <c r="U166" s="480"/>
      <c r="V166" s="1086"/>
      <c r="W166" s="1086"/>
      <c r="X166" s="1086"/>
      <c r="Y166" s="1086"/>
      <c r="Z166" s="1086"/>
      <c r="AA166" s="1558"/>
      <c r="AB166" s="502"/>
      <c r="AC166" s="502"/>
      <c r="AD166" s="502"/>
      <c r="AE166" s="502"/>
      <c r="AF166" s="1567">
        <v>11</v>
      </c>
    </row>
    <row r="167" spans="1:32" s="1567" customFormat="1" ht="11.45" customHeight="1">
      <c r="A167" s="916"/>
      <c r="B167" s="1562"/>
      <c r="C167" s="1562"/>
      <c r="D167" s="287"/>
      <c r="K167" s="1086"/>
      <c r="L167" s="1562"/>
      <c r="M167" s="1562"/>
      <c r="N167" s="1086"/>
      <c r="O167" s="1086"/>
      <c r="P167" s="1086"/>
      <c r="Q167" s="1086"/>
      <c r="R167" s="1562"/>
      <c r="S167" s="1086"/>
      <c r="T167" s="1086"/>
      <c r="U167" s="480"/>
      <c r="V167" s="1086"/>
      <c r="W167" s="1086"/>
      <c r="X167" s="1086"/>
      <c r="Y167" s="1086"/>
      <c r="Z167" s="1086"/>
      <c r="AA167" s="1558"/>
      <c r="AB167" s="502"/>
      <c r="AC167" s="502"/>
      <c r="AD167" s="502"/>
      <c r="AE167" s="502"/>
      <c r="AF167" s="1567">
        <v>11</v>
      </c>
    </row>
    <row r="168" spans="1:32" s="1567" customFormat="1" ht="11.45" customHeight="1">
      <c r="A168" s="916"/>
      <c r="B168" s="1562"/>
      <c r="C168" s="1562"/>
      <c r="D168" s="287"/>
      <c r="K168" s="1086"/>
      <c r="L168" s="1562"/>
      <c r="M168" s="1562"/>
      <c r="N168" s="1086"/>
      <c r="O168" s="1086"/>
      <c r="P168" s="1086"/>
      <c r="Q168" s="1086"/>
      <c r="R168" s="1562"/>
      <c r="S168" s="1086"/>
      <c r="T168" s="1086"/>
      <c r="U168" s="480"/>
      <c r="V168" s="1086"/>
      <c r="W168" s="1086"/>
      <c r="X168" s="1086"/>
      <c r="Y168" s="1086"/>
      <c r="Z168" s="1086"/>
      <c r="AA168" s="1558"/>
      <c r="AB168" s="502"/>
      <c r="AC168" s="502"/>
      <c r="AD168" s="502"/>
      <c r="AE168" s="502"/>
      <c r="AF168" s="1567">
        <v>11</v>
      </c>
    </row>
    <row r="169" spans="1:32" s="1567" customFormat="1" ht="11.45" customHeight="1">
      <c r="A169" s="916"/>
      <c r="B169" s="1562"/>
      <c r="C169" s="1562"/>
      <c r="D169" s="287"/>
      <c r="K169" s="1086"/>
      <c r="L169" s="1562"/>
      <c r="M169" s="1562"/>
      <c r="N169" s="1086"/>
      <c r="O169" s="1086"/>
      <c r="P169" s="1086"/>
      <c r="Q169" s="1086"/>
      <c r="R169" s="1562"/>
      <c r="S169" s="1086"/>
      <c r="T169" s="1086"/>
      <c r="U169" s="480"/>
      <c r="V169" s="1086"/>
      <c r="W169" s="1086"/>
      <c r="X169" s="1086"/>
      <c r="Y169" s="1086"/>
      <c r="Z169" s="1086"/>
      <c r="AA169" s="1558"/>
      <c r="AB169" s="502"/>
      <c r="AC169" s="502"/>
      <c r="AD169" s="502"/>
      <c r="AE169" s="502"/>
      <c r="AF169" s="1567">
        <v>11</v>
      </c>
    </row>
    <row r="170" spans="1:32" s="1567" customFormat="1" ht="11.45" customHeight="1">
      <c r="A170" s="916"/>
      <c r="B170" s="1562"/>
      <c r="C170" s="1562"/>
      <c r="D170" s="287"/>
      <c r="K170" s="1086"/>
      <c r="L170" s="1562"/>
      <c r="M170" s="1562"/>
      <c r="N170" s="1086"/>
      <c r="O170" s="1086"/>
      <c r="P170" s="1086"/>
      <c r="Q170" s="1086"/>
      <c r="R170" s="1562"/>
      <c r="S170" s="1086"/>
      <c r="T170" s="1086"/>
      <c r="U170" s="480"/>
      <c r="V170" s="1086"/>
      <c r="W170" s="1086"/>
      <c r="X170" s="1086"/>
      <c r="Y170" s="1086"/>
      <c r="Z170" s="1086"/>
      <c r="AA170" s="1558"/>
      <c r="AB170" s="502"/>
      <c r="AC170" s="502"/>
      <c r="AD170" s="502"/>
      <c r="AE170" s="502"/>
      <c r="AF170" s="1567">
        <v>11</v>
      </c>
    </row>
    <row r="171" spans="1:32" s="1567" customFormat="1" ht="11.45" customHeight="1">
      <c r="A171" s="916"/>
      <c r="B171" s="1562"/>
      <c r="C171" s="1562"/>
      <c r="D171" s="287"/>
      <c r="K171" s="1086"/>
      <c r="L171" s="1562"/>
      <c r="M171" s="1562"/>
      <c r="N171" s="1086"/>
      <c r="O171" s="1086"/>
      <c r="P171" s="1086"/>
      <c r="Q171" s="1086"/>
      <c r="R171" s="1562"/>
      <c r="S171" s="1086"/>
      <c r="T171" s="1086"/>
      <c r="U171" s="480"/>
      <c r="V171" s="1086"/>
      <c r="W171" s="1086"/>
      <c r="X171" s="1086"/>
      <c r="Y171" s="1086"/>
      <c r="Z171" s="1086"/>
      <c r="AA171" s="1558"/>
      <c r="AB171" s="502"/>
      <c r="AC171" s="502"/>
      <c r="AD171" s="502"/>
      <c r="AE171" s="502"/>
      <c r="AF171" s="1567">
        <v>11</v>
      </c>
    </row>
    <row r="172" spans="1:32" s="1567" customFormat="1" ht="11.45" customHeight="1">
      <c r="A172" s="916"/>
      <c r="B172" s="1562"/>
      <c r="C172" s="1562"/>
      <c r="D172" s="287"/>
      <c r="K172" s="1086"/>
      <c r="L172" s="1562"/>
      <c r="M172" s="1562"/>
      <c r="N172" s="1086"/>
      <c r="O172" s="1086"/>
      <c r="P172" s="1086"/>
      <c r="Q172" s="1086"/>
      <c r="R172" s="1562"/>
      <c r="S172" s="1086"/>
      <c r="T172" s="1086"/>
      <c r="U172" s="480"/>
      <c r="V172" s="1086"/>
      <c r="W172" s="1086"/>
      <c r="X172" s="1086"/>
      <c r="Y172" s="1086"/>
      <c r="Z172" s="1086"/>
      <c r="AA172" s="1558"/>
      <c r="AB172" s="502"/>
      <c r="AC172" s="502"/>
      <c r="AD172" s="502"/>
      <c r="AE172" s="502"/>
      <c r="AF172" s="1567">
        <v>11</v>
      </c>
    </row>
    <row r="173" spans="1:32" s="1567" customFormat="1" ht="11.45" customHeight="1">
      <c r="A173" s="916"/>
      <c r="B173" s="1562"/>
      <c r="C173" s="1562"/>
      <c r="D173" s="287"/>
      <c r="K173" s="1086"/>
      <c r="L173" s="1562"/>
      <c r="M173" s="1562"/>
      <c r="N173" s="1086"/>
      <c r="O173" s="1086"/>
      <c r="P173" s="1086"/>
      <c r="Q173" s="1086"/>
      <c r="R173" s="1562"/>
      <c r="S173" s="1086"/>
      <c r="T173" s="1086"/>
      <c r="U173" s="480"/>
      <c r="V173" s="1086"/>
      <c r="W173" s="1086"/>
      <c r="X173" s="1086"/>
      <c r="Y173" s="1086"/>
      <c r="Z173" s="1086"/>
      <c r="AA173" s="1558"/>
      <c r="AB173" s="502"/>
      <c r="AC173" s="502"/>
      <c r="AD173" s="502"/>
      <c r="AE173" s="502"/>
      <c r="AF173" s="1567">
        <v>11</v>
      </c>
    </row>
    <row r="174" spans="1:32" s="1567" customFormat="1" ht="11.45" customHeight="1">
      <c r="A174" s="916"/>
      <c r="B174" s="1562"/>
      <c r="C174" s="1562"/>
      <c r="D174" s="287"/>
      <c r="K174" s="1086"/>
      <c r="L174" s="1562"/>
      <c r="M174" s="1562"/>
      <c r="N174" s="1086"/>
      <c r="O174" s="1086"/>
      <c r="P174" s="1086"/>
      <c r="Q174" s="1086"/>
      <c r="R174" s="1562"/>
      <c r="S174" s="1086"/>
      <c r="T174" s="1086"/>
      <c r="U174" s="480"/>
      <c r="V174" s="1086"/>
      <c r="W174" s="1086"/>
      <c r="X174" s="1086"/>
      <c r="Y174" s="1086"/>
      <c r="Z174" s="1086"/>
      <c r="AA174" s="1558"/>
      <c r="AB174" s="502"/>
      <c r="AC174" s="502"/>
      <c r="AD174" s="502"/>
      <c r="AE174" s="502"/>
      <c r="AF174" s="1567">
        <v>11</v>
      </c>
    </row>
    <row r="175" spans="1:32" s="1567" customFormat="1" ht="11.45" customHeight="1">
      <c r="A175" s="916"/>
      <c r="B175" s="1562"/>
      <c r="C175" s="1562"/>
      <c r="D175" s="287"/>
      <c r="K175" s="1086"/>
      <c r="L175" s="1562"/>
      <c r="M175" s="1562"/>
      <c r="N175" s="1086"/>
      <c r="O175" s="1086"/>
      <c r="P175" s="1086"/>
      <c r="Q175" s="1086"/>
      <c r="R175" s="1562"/>
      <c r="S175" s="1086"/>
      <c r="T175" s="1086"/>
      <c r="U175" s="480"/>
      <c r="V175" s="1086"/>
      <c r="W175" s="1086"/>
      <c r="X175" s="1086"/>
      <c r="Y175" s="1086"/>
      <c r="Z175" s="1086"/>
      <c r="AA175" s="1558"/>
      <c r="AB175" s="502"/>
      <c r="AC175" s="502"/>
      <c r="AD175" s="502"/>
      <c r="AE175" s="502"/>
      <c r="AF175" s="1567">
        <v>11</v>
      </c>
    </row>
    <row r="176" spans="1:32" s="1567" customFormat="1" ht="11.45" customHeight="1">
      <c r="A176" s="916"/>
      <c r="B176" s="1562"/>
      <c r="C176" s="1562"/>
      <c r="D176" s="287"/>
      <c r="K176" s="1086"/>
      <c r="L176" s="1562"/>
      <c r="M176" s="1562"/>
      <c r="N176" s="1086"/>
      <c r="O176" s="1086"/>
      <c r="P176" s="1086"/>
      <c r="Q176" s="1086"/>
      <c r="R176" s="1562"/>
      <c r="S176" s="1086"/>
      <c r="T176" s="1086"/>
      <c r="U176" s="480"/>
      <c r="V176" s="1086"/>
      <c r="W176" s="1086"/>
      <c r="X176" s="1086"/>
      <c r="Y176" s="1086"/>
      <c r="Z176" s="1086"/>
      <c r="AA176" s="1558"/>
      <c r="AB176" s="502"/>
      <c r="AC176" s="502"/>
      <c r="AD176" s="502"/>
      <c r="AE176" s="502"/>
      <c r="AF176" s="1567">
        <v>11</v>
      </c>
    </row>
    <row r="177" spans="1:32" s="1567" customFormat="1" ht="11.45" customHeight="1">
      <c r="A177" s="916"/>
      <c r="B177" s="1562"/>
      <c r="C177" s="1562"/>
      <c r="D177" s="287"/>
      <c r="K177" s="1086"/>
      <c r="L177" s="1562"/>
      <c r="M177" s="1562"/>
      <c r="N177" s="1086"/>
      <c r="O177" s="1086"/>
      <c r="P177" s="1086"/>
      <c r="Q177" s="1086"/>
      <c r="R177" s="1562"/>
      <c r="S177" s="1086"/>
      <c r="T177" s="1086"/>
      <c r="U177" s="480"/>
      <c r="V177" s="1086"/>
      <c r="W177" s="1086"/>
      <c r="X177" s="1086"/>
      <c r="Y177" s="1086"/>
      <c r="Z177" s="1086"/>
      <c r="AA177" s="1558"/>
      <c r="AB177" s="502"/>
      <c r="AC177" s="502"/>
      <c r="AD177" s="502"/>
      <c r="AE177" s="502"/>
      <c r="AF177" s="1567">
        <v>11</v>
      </c>
    </row>
    <row r="178" spans="1:32" s="1567" customFormat="1" ht="11.45" customHeight="1">
      <c r="A178" s="916"/>
      <c r="B178" s="1562"/>
      <c r="C178" s="1562"/>
      <c r="D178" s="287"/>
      <c r="K178" s="1086"/>
      <c r="L178" s="1562"/>
      <c r="M178" s="1562"/>
      <c r="N178" s="1086"/>
      <c r="O178" s="1086"/>
      <c r="P178" s="1086"/>
      <c r="Q178" s="1086"/>
      <c r="R178" s="1562"/>
      <c r="S178" s="1086"/>
      <c r="T178" s="1086"/>
      <c r="U178" s="480"/>
      <c r="V178" s="1086"/>
      <c r="W178" s="1086"/>
      <c r="X178" s="1086"/>
      <c r="Y178" s="1086"/>
      <c r="Z178" s="1086"/>
      <c r="AA178" s="1558"/>
      <c r="AB178" s="502"/>
      <c r="AC178" s="502"/>
      <c r="AD178" s="502"/>
      <c r="AE178" s="502"/>
      <c r="AF178" s="1567">
        <v>11</v>
      </c>
    </row>
    <row r="179" spans="1:32" s="1567" customFormat="1" ht="11.45" customHeight="1">
      <c r="A179" s="916"/>
      <c r="B179" s="1562"/>
      <c r="C179" s="1562"/>
      <c r="D179" s="287"/>
      <c r="K179" s="1086"/>
      <c r="L179" s="1562"/>
      <c r="M179" s="1562"/>
      <c r="N179" s="1086"/>
      <c r="O179" s="1086"/>
      <c r="P179" s="1086"/>
      <c r="Q179" s="1086"/>
      <c r="R179" s="1562"/>
      <c r="S179" s="1086"/>
      <c r="T179" s="1086"/>
      <c r="U179" s="480"/>
      <c r="V179" s="1086"/>
      <c r="W179" s="1086"/>
      <c r="X179" s="1086"/>
      <c r="Y179" s="1086"/>
      <c r="Z179" s="1086"/>
      <c r="AA179" s="1558"/>
      <c r="AB179" s="502"/>
      <c r="AC179" s="502"/>
      <c r="AD179" s="502"/>
      <c r="AE179" s="502"/>
      <c r="AF179" s="1567">
        <v>11</v>
      </c>
    </row>
    <row r="180" spans="1:32" s="1567" customFormat="1" ht="11.45" customHeight="1">
      <c r="A180" s="916"/>
      <c r="B180" s="1562"/>
      <c r="C180" s="1562"/>
      <c r="D180" s="287"/>
      <c r="K180" s="1086"/>
      <c r="L180" s="1562"/>
      <c r="M180" s="1562"/>
      <c r="N180" s="1086"/>
      <c r="O180" s="1086"/>
      <c r="P180" s="1086"/>
      <c r="Q180" s="1086"/>
      <c r="R180" s="1562"/>
      <c r="S180" s="1086"/>
      <c r="T180" s="1086"/>
      <c r="U180" s="480"/>
      <c r="V180" s="1086"/>
      <c r="W180" s="1086"/>
      <c r="X180" s="1086"/>
      <c r="Y180" s="1086"/>
      <c r="Z180" s="1086"/>
      <c r="AA180" s="1558"/>
      <c r="AB180" s="502"/>
      <c r="AC180" s="502"/>
      <c r="AD180" s="502"/>
      <c r="AE180" s="502"/>
      <c r="AF180" s="1567">
        <v>11</v>
      </c>
    </row>
    <row r="181" spans="1:32" s="1567" customFormat="1" ht="11.45" customHeight="1">
      <c r="A181" s="916"/>
      <c r="B181" s="1562"/>
      <c r="C181" s="1562"/>
      <c r="D181" s="287"/>
      <c r="K181" s="1086"/>
      <c r="L181" s="1562"/>
      <c r="M181" s="1562"/>
      <c r="N181" s="1086"/>
      <c r="O181" s="1086"/>
      <c r="P181" s="1086"/>
      <c r="Q181" s="1086"/>
      <c r="R181" s="1562"/>
      <c r="S181" s="1086"/>
      <c r="T181" s="1086"/>
      <c r="U181" s="480"/>
      <c r="V181" s="1086"/>
      <c r="W181" s="1086"/>
      <c r="X181" s="1086"/>
      <c r="Y181" s="1086"/>
      <c r="Z181" s="1086"/>
      <c r="AA181" s="1558"/>
      <c r="AB181" s="502"/>
      <c r="AC181" s="502"/>
      <c r="AD181" s="502"/>
      <c r="AE181" s="502"/>
      <c r="AF181" s="1567">
        <v>11</v>
      </c>
    </row>
    <row r="182" spans="1:32" s="1567" customFormat="1" ht="11.45" customHeight="1">
      <c r="A182" s="916"/>
      <c r="B182" s="1562"/>
      <c r="C182" s="1562"/>
      <c r="D182" s="287"/>
      <c r="K182" s="1086"/>
      <c r="L182" s="1562"/>
      <c r="M182" s="1562"/>
      <c r="N182" s="1086"/>
      <c r="O182" s="1086"/>
      <c r="P182" s="1086"/>
      <c r="Q182" s="1086"/>
      <c r="R182" s="1562"/>
      <c r="S182" s="1086"/>
      <c r="T182" s="1086"/>
      <c r="U182" s="480"/>
      <c r="V182" s="1086"/>
      <c r="W182" s="1086"/>
      <c r="X182" s="1086"/>
      <c r="Y182" s="1086"/>
      <c r="Z182" s="1086"/>
      <c r="AA182" s="1558"/>
      <c r="AB182" s="502"/>
      <c r="AC182" s="502"/>
      <c r="AD182" s="502"/>
      <c r="AE182" s="502"/>
      <c r="AF182" s="1567">
        <v>11</v>
      </c>
    </row>
    <row r="183" spans="1:32" s="1567" customFormat="1" ht="11.45" customHeight="1">
      <c r="A183" s="916"/>
      <c r="B183" s="1562"/>
      <c r="C183" s="1562"/>
      <c r="D183" s="287"/>
      <c r="K183" s="1086"/>
      <c r="L183" s="1562"/>
      <c r="M183" s="1562"/>
      <c r="N183" s="1086"/>
      <c r="O183" s="1086"/>
      <c r="P183" s="1086"/>
      <c r="Q183" s="1086"/>
      <c r="R183" s="1562"/>
      <c r="S183" s="1086"/>
      <c r="T183" s="1086"/>
      <c r="U183" s="480"/>
      <c r="V183" s="1086"/>
      <c r="W183" s="1086"/>
      <c r="X183" s="1086"/>
      <c r="Y183" s="1086"/>
      <c r="Z183" s="1086"/>
      <c r="AA183" s="1558"/>
      <c r="AB183" s="502"/>
      <c r="AC183" s="502"/>
      <c r="AD183" s="502"/>
      <c r="AE183" s="502"/>
      <c r="AF183" s="1567">
        <v>11</v>
      </c>
    </row>
    <row r="184" spans="1:32" s="1567" customFormat="1" ht="11.45" customHeight="1">
      <c r="A184" s="916"/>
      <c r="B184" s="1562"/>
      <c r="C184" s="1562"/>
      <c r="D184" s="287"/>
      <c r="K184" s="1086"/>
      <c r="L184" s="1562"/>
      <c r="M184" s="1562"/>
      <c r="N184" s="1086"/>
      <c r="O184" s="1086"/>
      <c r="P184" s="1086"/>
      <c r="Q184" s="1086"/>
      <c r="R184" s="1562"/>
      <c r="S184" s="1086"/>
      <c r="T184" s="1086"/>
      <c r="U184" s="480"/>
      <c r="V184" s="1086"/>
      <c r="W184" s="1086"/>
      <c r="X184" s="1086"/>
      <c r="Y184" s="1086"/>
      <c r="Z184" s="1086"/>
      <c r="AA184" s="1558"/>
      <c r="AB184" s="502"/>
      <c r="AC184" s="502"/>
      <c r="AD184" s="502"/>
      <c r="AE184" s="502"/>
      <c r="AF184" s="1567">
        <v>11</v>
      </c>
    </row>
    <row r="185" spans="1:32" s="1567" customFormat="1" ht="11.45" customHeight="1">
      <c r="A185" s="916"/>
      <c r="B185" s="1562"/>
      <c r="C185" s="1562"/>
      <c r="D185" s="287"/>
      <c r="K185" s="1086"/>
      <c r="L185" s="1562"/>
      <c r="M185" s="1562"/>
      <c r="N185" s="1086"/>
      <c r="O185" s="1086"/>
      <c r="P185" s="1086"/>
      <c r="Q185" s="1086"/>
      <c r="R185" s="1562"/>
      <c r="S185" s="1086"/>
      <c r="T185" s="1086"/>
      <c r="U185" s="480"/>
      <c r="V185" s="1086"/>
      <c r="W185" s="1086"/>
      <c r="X185" s="1086"/>
      <c r="Y185" s="1086"/>
      <c r="Z185" s="1086"/>
      <c r="AA185" s="1558"/>
      <c r="AB185" s="502"/>
      <c r="AC185" s="502"/>
      <c r="AD185" s="502"/>
      <c r="AE185" s="502"/>
      <c r="AF185" s="1567">
        <v>11</v>
      </c>
    </row>
    <row r="186" spans="1:32" s="1567" customFormat="1" ht="11.45" customHeight="1">
      <c r="A186" s="916"/>
      <c r="B186" s="1562"/>
      <c r="C186" s="1562"/>
      <c r="D186" s="287"/>
      <c r="K186" s="1086"/>
      <c r="L186" s="1562"/>
      <c r="M186" s="1562"/>
      <c r="N186" s="1086"/>
      <c r="O186" s="1086"/>
      <c r="P186" s="1086"/>
      <c r="Q186" s="1086"/>
      <c r="R186" s="1562"/>
      <c r="S186" s="1086"/>
      <c r="T186" s="1086"/>
      <c r="U186" s="480"/>
      <c r="V186" s="1086"/>
      <c r="W186" s="1086"/>
      <c r="X186" s="1086"/>
      <c r="Y186" s="1086"/>
      <c r="Z186" s="1086"/>
      <c r="AA186" s="1558"/>
      <c r="AB186" s="502"/>
      <c r="AC186" s="502"/>
      <c r="AD186" s="502"/>
      <c r="AE186" s="502"/>
      <c r="AF186" s="1567">
        <v>11</v>
      </c>
    </row>
    <row r="187" spans="1:32" s="1567" customFormat="1" ht="11.45" customHeight="1">
      <c r="A187" s="916"/>
      <c r="B187" s="1562"/>
      <c r="C187" s="1562"/>
      <c r="D187" s="287"/>
      <c r="K187" s="1086"/>
      <c r="L187" s="1562"/>
      <c r="M187" s="1562"/>
      <c r="N187" s="1086"/>
      <c r="O187" s="1086"/>
      <c r="P187" s="1086"/>
      <c r="Q187" s="1086"/>
      <c r="R187" s="1562"/>
      <c r="S187" s="1086"/>
      <c r="T187" s="1086"/>
      <c r="U187" s="480"/>
      <c r="V187" s="1086"/>
      <c r="W187" s="1086"/>
      <c r="X187" s="1086"/>
      <c r="Y187" s="1086"/>
      <c r="Z187" s="1086"/>
      <c r="AA187" s="1558"/>
      <c r="AB187" s="502"/>
      <c r="AC187" s="502"/>
      <c r="AD187" s="502"/>
      <c r="AE187" s="502"/>
      <c r="AF187" s="1567">
        <v>11</v>
      </c>
    </row>
    <row r="188" spans="1:32" s="1567" customFormat="1" ht="11.45" customHeight="1">
      <c r="A188" s="916"/>
      <c r="B188" s="1562"/>
      <c r="C188" s="1562"/>
      <c r="D188" s="287"/>
      <c r="K188" s="1086"/>
      <c r="L188" s="1562"/>
      <c r="M188" s="1562"/>
      <c r="N188" s="1086"/>
      <c r="O188" s="1086"/>
      <c r="P188" s="1086"/>
      <c r="Q188" s="1086"/>
      <c r="R188" s="1562"/>
      <c r="S188" s="1086"/>
      <c r="T188" s="1086"/>
      <c r="U188" s="480"/>
      <c r="V188" s="1086"/>
      <c r="W188" s="1086"/>
      <c r="X188" s="1086"/>
      <c r="Y188" s="1086"/>
      <c r="Z188" s="1086"/>
      <c r="AA188" s="1558"/>
      <c r="AB188" s="502"/>
      <c r="AC188" s="502"/>
      <c r="AD188" s="502"/>
      <c r="AE188" s="502"/>
      <c r="AF188" s="1567">
        <v>11</v>
      </c>
    </row>
    <row r="189" spans="1:32" s="1567" customFormat="1" ht="11.45" customHeight="1">
      <c r="A189" s="916"/>
      <c r="B189" s="1562"/>
      <c r="C189" s="1562"/>
      <c r="D189" s="287"/>
      <c r="K189" s="1086"/>
      <c r="L189" s="1562"/>
      <c r="M189" s="1562"/>
      <c r="N189" s="1086"/>
      <c r="O189" s="1086"/>
      <c r="P189" s="1086"/>
      <c r="Q189" s="1086"/>
      <c r="R189" s="1562"/>
      <c r="S189" s="1086"/>
      <c r="T189" s="1086"/>
      <c r="U189" s="480"/>
      <c r="V189" s="1086"/>
      <c r="W189" s="1086"/>
      <c r="X189" s="1086"/>
      <c r="Y189" s="1086"/>
      <c r="Z189" s="1086"/>
      <c r="AA189" s="1558"/>
      <c r="AB189" s="502"/>
      <c r="AC189" s="502"/>
      <c r="AD189" s="502"/>
      <c r="AE189" s="502"/>
      <c r="AF189" s="1567">
        <v>11</v>
      </c>
    </row>
    <row r="190" spans="1:32" s="1567" customFormat="1" ht="11.45" customHeight="1">
      <c r="A190" s="916"/>
      <c r="B190" s="1562"/>
      <c r="C190" s="1562"/>
      <c r="D190" s="287"/>
      <c r="K190" s="1086"/>
      <c r="L190" s="1562"/>
      <c r="M190" s="1562"/>
      <c r="N190" s="1086"/>
      <c r="O190" s="1086"/>
      <c r="P190" s="1086"/>
      <c r="Q190" s="1086"/>
      <c r="R190" s="1562"/>
      <c r="S190" s="1086"/>
      <c r="T190" s="1086"/>
      <c r="U190" s="480"/>
      <c r="V190" s="1086"/>
      <c r="W190" s="1086"/>
      <c r="X190" s="1086"/>
      <c r="Y190" s="1086"/>
      <c r="Z190" s="1086"/>
      <c r="AA190" s="1558"/>
      <c r="AB190" s="502"/>
      <c r="AC190" s="502"/>
      <c r="AD190" s="502"/>
      <c r="AE190" s="502"/>
      <c r="AF190" s="1567">
        <v>11</v>
      </c>
    </row>
    <row r="191" spans="1:32" s="1567" customFormat="1" ht="11.45" customHeight="1">
      <c r="A191" s="916"/>
      <c r="B191" s="1562"/>
      <c r="C191" s="1562"/>
      <c r="D191" s="287"/>
      <c r="K191" s="1086"/>
      <c r="L191" s="1562"/>
      <c r="M191" s="1562"/>
      <c r="N191" s="1086"/>
      <c r="O191" s="1086"/>
      <c r="P191" s="1086"/>
      <c r="Q191" s="1086"/>
      <c r="R191" s="1562"/>
      <c r="S191" s="1086"/>
      <c r="T191" s="1086"/>
      <c r="U191" s="480"/>
      <c r="V191" s="1086"/>
      <c r="W191" s="1086"/>
      <c r="X191" s="1086"/>
      <c r="Y191" s="1086"/>
      <c r="Z191" s="1086"/>
      <c r="AA191" s="1558"/>
      <c r="AB191" s="502"/>
      <c r="AC191" s="502"/>
      <c r="AD191" s="502"/>
      <c r="AE191" s="502"/>
      <c r="AF191" s="1567">
        <v>11</v>
      </c>
    </row>
    <row r="192" spans="1:32" s="1567" customFormat="1" ht="11.45" customHeight="1">
      <c r="A192" s="916"/>
      <c r="B192" s="1562"/>
      <c r="C192" s="1562"/>
      <c r="D192" s="287"/>
      <c r="K192" s="1086"/>
      <c r="L192" s="1562"/>
      <c r="M192" s="1562"/>
      <c r="N192" s="1086"/>
      <c r="O192" s="1086"/>
      <c r="P192" s="1086"/>
      <c r="Q192" s="1086"/>
      <c r="R192" s="1562"/>
      <c r="S192" s="1086"/>
      <c r="T192" s="1086"/>
      <c r="U192" s="480"/>
      <c r="V192" s="1086"/>
      <c r="W192" s="1086"/>
      <c r="X192" s="1086"/>
      <c r="Y192" s="1086"/>
      <c r="Z192" s="1086"/>
      <c r="AA192" s="1558"/>
      <c r="AB192" s="502"/>
      <c r="AC192" s="502"/>
      <c r="AD192" s="502"/>
      <c r="AE192" s="502"/>
      <c r="AF192" s="1567">
        <v>11</v>
      </c>
    </row>
    <row r="193" spans="1:32" s="1567" customFormat="1" ht="11.45" customHeight="1">
      <c r="A193" s="916"/>
      <c r="B193" s="1562"/>
      <c r="C193" s="1562"/>
      <c r="D193" s="287"/>
      <c r="K193" s="1086"/>
      <c r="L193" s="1562"/>
      <c r="M193" s="1562"/>
      <c r="N193" s="1086"/>
      <c r="O193" s="1086"/>
      <c r="P193" s="1086"/>
      <c r="Q193" s="1086"/>
      <c r="R193" s="1562"/>
      <c r="S193" s="1086"/>
      <c r="T193" s="1086"/>
      <c r="U193" s="480"/>
      <c r="V193" s="1086"/>
      <c r="W193" s="1086"/>
      <c r="X193" s="1086"/>
      <c r="Y193" s="1086"/>
      <c r="Z193" s="1086"/>
      <c r="AA193" s="1558"/>
      <c r="AB193" s="502"/>
      <c r="AC193" s="502"/>
      <c r="AD193" s="502"/>
      <c r="AE193" s="502"/>
      <c r="AF193" s="1567">
        <v>11</v>
      </c>
    </row>
    <row r="194" spans="1:32" s="1567" customFormat="1" ht="11.45" customHeight="1">
      <c r="A194" s="916"/>
      <c r="B194" s="1562"/>
      <c r="C194" s="1562"/>
      <c r="D194" s="287"/>
      <c r="K194" s="1086"/>
      <c r="L194" s="1562"/>
      <c r="M194" s="1562"/>
      <c r="N194" s="1086"/>
      <c r="O194" s="1086"/>
      <c r="P194" s="1086"/>
      <c r="Q194" s="1086"/>
      <c r="R194" s="1562"/>
      <c r="S194" s="1086"/>
      <c r="T194" s="1086"/>
      <c r="U194" s="480"/>
      <c r="V194" s="1086"/>
      <c r="W194" s="1086"/>
      <c r="X194" s="1086"/>
      <c r="Y194" s="1086"/>
      <c r="Z194" s="1086"/>
      <c r="AA194" s="1558"/>
      <c r="AB194" s="502"/>
      <c r="AC194" s="502"/>
      <c r="AD194" s="502"/>
      <c r="AE194" s="502"/>
      <c r="AF194" s="1567">
        <v>11</v>
      </c>
    </row>
    <row r="195" spans="1:32" s="1567" customFormat="1" ht="11.45" customHeight="1">
      <c r="A195" s="916"/>
      <c r="B195" s="1562"/>
      <c r="C195" s="1562"/>
      <c r="D195" s="287"/>
      <c r="K195" s="1086"/>
      <c r="L195" s="1562"/>
      <c r="M195" s="1562"/>
      <c r="N195" s="1086"/>
      <c r="O195" s="1086"/>
      <c r="P195" s="1086"/>
      <c r="Q195" s="1086"/>
      <c r="R195" s="1562"/>
      <c r="S195" s="1086"/>
      <c r="T195" s="1086"/>
      <c r="U195" s="480"/>
      <c r="V195" s="1086"/>
      <c r="W195" s="1086"/>
      <c r="X195" s="1086"/>
      <c r="Y195" s="1086"/>
      <c r="Z195" s="1086"/>
      <c r="AA195" s="1558"/>
      <c r="AB195" s="502"/>
      <c r="AC195" s="502"/>
      <c r="AD195" s="502"/>
      <c r="AE195" s="502"/>
      <c r="AF195" s="1567">
        <v>11</v>
      </c>
    </row>
    <row r="196" spans="1:32" ht="11.45" customHeight="1">
      <c r="AF196" s="1557">
        <v>11</v>
      </c>
    </row>
    <row r="197" spans="1:32" ht="11.45" customHeight="1">
      <c r="AF197" s="1557">
        <v>11</v>
      </c>
    </row>
    <row r="198" spans="1:32" ht="11.45" customHeight="1">
      <c r="AF198" s="1557">
        <v>11</v>
      </c>
    </row>
    <row r="199" spans="1:32" ht="11.45" customHeight="1">
      <c r="A199" s="919"/>
      <c r="B199" s="1557"/>
      <c r="D199" s="1557"/>
      <c r="K199" s="1557"/>
      <c r="N199" s="1557"/>
      <c r="O199" s="1557"/>
      <c r="P199" s="1557"/>
      <c r="Q199" s="1557"/>
      <c r="S199" s="1557"/>
      <c r="T199" s="1557"/>
      <c r="U199" s="1557"/>
      <c r="V199" s="1557"/>
      <c r="W199" s="1557"/>
      <c r="X199" s="1557"/>
      <c r="Y199" s="1557"/>
      <c r="Z199" s="1557"/>
      <c r="AA199" s="1557"/>
      <c r="AB199" s="1557"/>
      <c r="AC199" s="1557"/>
      <c r="AD199" s="1557"/>
      <c r="AE199" s="1557"/>
      <c r="AF199" s="1557">
        <v>11</v>
      </c>
    </row>
    <row r="200" spans="1:32" ht="11.45" customHeight="1">
      <c r="A200" s="919"/>
      <c r="B200" s="1557"/>
      <c r="D200" s="1557"/>
      <c r="K200" s="1557"/>
      <c r="N200" s="1557"/>
      <c r="O200" s="1557"/>
      <c r="P200" s="1557"/>
      <c r="Q200" s="1557"/>
      <c r="S200" s="1557"/>
      <c r="T200" s="1557"/>
      <c r="U200" s="1557"/>
      <c r="V200" s="1557"/>
      <c r="W200" s="1557"/>
      <c r="X200" s="1557"/>
      <c r="Y200" s="1557"/>
      <c r="Z200" s="1557"/>
      <c r="AA200" s="1557"/>
      <c r="AB200" s="1557"/>
      <c r="AC200" s="1557"/>
      <c r="AD200" s="1557"/>
      <c r="AE200" s="1557"/>
      <c r="AF200" s="1557">
        <v>11</v>
      </c>
    </row>
    <row r="201" spans="1:32" ht="11.45" customHeight="1">
      <c r="A201" s="919"/>
      <c r="B201" s="1557"/>
      <c r="D201" s="1557"/>
      <c r="K201" s="1557"/>
      <c r="N201" s="1557"/>
      <c r="O201" s="1557"/>
      <c r="P201" s="1557"/>
      <c r="Q201" s="1557"/>
      <c r="S201" s="1557"/>
      <c r="T201" s="1557"/>
      <c r="U201" s="1557"/>
      <c r="V201" s="1557"/>
      <c r="W201" s="1557"/>
      <c r="X201" s="1557"/>
      <c r="Y201" s="1557"/>
      <c r="Z201" s="1557"/>
      <c r="AA201" s="1557"/>
      <c r="AB201" s="1557"/>
      <c r="AC201" s="1557"/>
      <c r="AD201" s="1557"/>
      <c r="AE201" s="1557"/>
      <c r="AF201" s="1557">
        <v>11</v>
      </c>
    </row>
    <row r="202" spans="1:32" ht="11.45" customHeight="1">
      <c r="A202" s="919"/>
      <c r="B202" s="1557"/>
      <c r="D202" s="1557"/>
      <c r="K202" s="1557"/>
      <c r="N202" s="1557"/>
      <c r="O202" s="1557"/>
      <c r="P202" s="1557"/>
      <c r="Q202" s="1557"/>
      <c r="S202" s="1557"/>
      <c r="T202" s="1557"/>
      <c r="U202" s="1557"/>
      <c r="V202" s="1557"/>
      <c r="W202" s="1557"/>
      <c r="X202" s="1557"/>
      <c r="Y202" s="1557"/>
      <c r="Z202" s="1557"/>
      <c r="AA202" s="1557"/>
      <c r="AB202" s="1557"/>
      <c r="AC202" s="1557"/>
      <c r="AD202" s="1557"/>
      <c r="AE202" s="1557"/>
      <c r="AF202" s="1557">
        <v>11</v>
      </c>
    </row>
    <row r="203" spans="1:32" ht="11.45" customHeight="1">
      <c r="A203" s="919"/>
      <c r="B203" s="1557"/>
      <c r="D203" s="1557"/>
      <c r="K203" s="1557"/>
      <c r="N203" s="1557"/>
      <c r="O203" s="1557"/>
      <c r="P203" s="1557"/>
      <c r="Q203" s="1557"/>
      <c r="S203" s="1557"/>
      <c r="T203" s="1557"/>
      <c r="U203" s="1557"/>
      <c r="V203" s="1557"/>
      <c r="W203" s="1557"/>
      <c r="X203" s="1557"/>
      <c r="Y203" s="1557"/>
      <c r="Z203" s="1557"/>
      <c r="AA203" s="1557"/>
      <c r="AB203" s="1557"/>
      <c r="AC203" s="1557"/>
      <c r="AD203" s="1557"/>
      <c r="AE203" s="1557"/>
      <c r="AF203" s="1557">
        <v>11</v>
      </c>
    </row>
    <row r="204" spans="1:32" ht="11.45" customHeight="1">
      <c r="A204" s="919"/>
      <c r="B204" s="1557"/>
      <c r="D204" s="1557"/>
      <c r="K204" s="1557"/>
      <c r="N204" s="1557"/>
      <c r="O204" s="1557"/>
      <c r="P204" s="1557"/>
      <c r="Q204" s="1557"/>
      <c r="S204" s="1557"/>
      <c r="T204" s="1557"/>
      <c r="U204" s="1557"/>
      <c r="V204" s="1557"/>
      <c r="W204" s="1557"/>
      <c r="X204" s="1557"/>
      <c r="Y204" s="1557"/>
      <c r="Z204" s="1557"/>
      <c r="AA204" s="1557"/>
      <c r="AB204" s="1557"/>
      <c r="AC204" s="1557"/>
      <c r="AD204" s="1557"/>
      <c r="AE204" s="1557"/>
      <c r="AF204" s="1557">
        <v>11</v>
      </c>
    </row>
    <row r="205" spans="1:32" ht="11.45" customHeight="1">
      <c r="A205" s="919"/>
      <c r="B205" s="1557"/>
      <c r="D205" s="1557"/>
      <c r="K205" s="1557"/>
      <c r="N205" s="1557"/>
      <c r="O205" s="1557"/>
      <c r="P205" s="1557"/>
      <c r="Q205" s="1557"/>
      <c r="S205" s="1557"/>
      <c r="T205" s="1557"/>
      <c r="U205" s="1557"/>
      <c r="V205" s="1557"/>
      <c r="W205" s="1557"/>
      <c r="X205" s="1557"/>
      <c r="Y205" s="1557"/>
      <c r="Z205" s="1557"/>
      <c r="AA205" s="1557"/>
      <c r="AB205" s="1557"/>
      <c r="AC205" s="1557"/>
      <c r="AD205" s="1557"/>
      <c r="AE205" s="1557"/>
      <c r="AF205" s="1557">
        <v>11</v>
      </c>
    </row>
    <row r="206" spans="1:32" ht="11.45" customHeight="1">
      <c r="A206" s="919"/>
      <c r="B206" s="1557"/>
      <c r="D206" s="1557"/>
      <c r="K206" s="1557"/>
      <c r="N206" s="1557"/>
      <c r="O206" s="1557"/>
      <c r="P206" s="1557"/>
      <c r="Q206" s="1557"/>
      <c r="S206" s="1557"/>
      <c r="T206" s="1557"/>
      <c r="U206" s="1557"/>
      <c r="V206" s="1557"/>
      <c r="W206" s="1557"/>
      <c r="X206" s="1557"/>
      <c r="Y206" s="1557"/>
      <c r="Z206" s="1557"/>
      <c r="AA206" s="1557"/>
      <c r="AB206" s="1557"/>
      <c r="AC206" s="1557"/>
      <c r="AD206" s="1557"/>
      <c r="AE206" s="1557"/>
      <c r="AF206" s="1557">
        <v>11</v>
      </c>
    </row>
    <row r="207" spans="1:32" ht="11.45" customHeight="1">
      <c r="A207" s="919"/>
      <c r="B207" s="1557"/>
      <c r="D207" s="1557"/>
      <c r="K207" s="1557"/>
      <c r="N207" s="1557"/>
      <c r="O207" s="1557"/>
      <c r="P207" s="1557"/>
      <c r="Q207" s="1557"/>
      <c r="S207" s="1557"/>
      <c r="T207" s="1557"/>
      <c r="U207" s="1557"/>
      <c r="V207" s="1557"/>
      <c r="W207" s="1557"/>
      <c r="X207" s="1557"/>
      <c r="Y207" s="1557"/>
      <c r="Z207" s="1557"/>
      <c r="AA207" s="1557"/>
      <c r="AB207" s="1557"/>
      <c r="AC207" s="1557"/>
      <c r="AD207" s="1557"/>
      <c r="AE207" s="1557"/>
      <c r="AF207" s="1557">
        <v>11</v>
      </c>
    </row>
    <row r="208" spans="1:32" ht="11.45" customHeight="1">
      <c r="A208" s="919"/>
      <c r="B208" s="1557"/>
      <c r="D208" s="1557"/>
      <c r="K208" s="1557"/>
      <c r="N208" s="1557"/>
      <c r="O208" s="1557"/>
      <c r="P208" s="1557"/>
      <c r="Q208" s="1557"/>
      <c r="S208" s="1557"/>
      <c r="T208" s="1557"/>
      <c r="U208" s="1557"/>
      <c r="V208" s="1557"/>
      <c r="W208" s="1557"/>
      <c r="X208" s="1557"/>
      <c r="Y208" s="1557"/>
      <c r="Z208" s="1557"/>
      <c r="AA208" s="1557"/>
      <c r="AB208" s="1557"/>
      <c r="AC208" s="1557"/>
      <c r="AD208" s="1557"/>
      <c r="AE208" s="1557"/>
      <c r="AF208" s="1557">
        <v>11</v>
      </c>
    </row>
    <row r="209" spans="1:32" ht="11.45" customHeight="1">
      <c r="A209" s="919"/>
      <c r="B209" s="1557"/>
      <c r="D209" s="1557"/>
      <c r="K209" s="1557"/>
      <c r="N209" s="1557"/>
      <c r="O209" s="1557"/>
      <c r="P209" s="1557"/>
      <c r="Q209" s="1557"/>
      <c r="S209" s="1557"/>
      <c r="T209" s="1557"/>
      <c r="U209" s="1557"/>
      <c r="V209" s="1557"/>
      <c r="W209" s="1557"/>
      <c r="X209" s="1557"/>
      <c r="Y209" s="1557"/>
      <c r="Z209" s="1557"/>
      <c r="AA209" s="1557"/>
      <c r="AB209" s="1557"/>
      <c r="AC209" s="1557"/>
      <c r="AD209" s="1557"/>
      <c r="AE209" s="1557"/>
      <c r="AF209" s="1557">
        <v>11</v>
      </c>
    </row>
    <row r="210" spans="1:32" ht="11.25" hidden="1" customHeight="1">
      <c r="A210" s="916" t="s">
        <v>73</v>
      </c>
      <c r="B210" s="1086">
        <v>0</v>
      </c>
      <c r="C210" s="1562">
        <v>0</v>
      </c>
      <c r="D210" s="1561">
        <v>3</v>
      </c>
      <c r="E210" s="1557">
        <v>7</v>
      </c>
      <c r="F210" s="1557">
        <v>54</v>
      </c>
      <c r="G210" s="1557">
        <v>10</v>
      </c>
      <c r="H210" s="1557">
        <v>0</v>
      </c>
      <c r="I210" s="1557">
        <v>40</v>
      </c>
      <c r="J210" s="1557">
        <v>102</v>
      </c>
      <c r="K210" s="1086">
        <v>9</v>
      </c>
      <c r="L210" s="1562">
        <v>5</v>
      </c>
      <c r="M210" s="1562">
        <v>3</v>
      </c>
      <c r="N210" s="1086">
        <v>3</v>
      </c>
      <c r="O210" s="1086">
        <v>3</v>
      </c>
      <c r="P210" s="1086">
        <v>3</v>
      </c>
      <c r="Q210" s="1086">
        <v>3</v>
      </c>
      <c r="R210" s="1562">
        <v>10</v>
      </c>
      <c r="S210" s="1086">
        <v>34</v>
      </c>
      <c r="T210" s="1086">
        <v>9</v>
      </c>
      <c r="U210" s="480">
        <v>8</v>
      </c>
      <c r="V210" s="1086">
        <v>8</v>
      </c>
      <c r="W210" s="1086">
        <v>8</v>
      </c>
      <c r="X210" s="1086">
        <v>8</v>
      </c>
      <c r="Y210" s="1086">
        <v>8</v>
      </c>
      <c r="Z210" s="1086">
        <v>8</v>
      </c>
      <c r="AA210" s="1558">
        <v>8</v>
      </c>
      <c r="AB210" s="1558">
        <v>8</v>
      </c>
      <c r="AC210" s="1558">
        <v>8</v>
      </c>
      <c r="AD210" s="1558">
        <v>8</v>
      </c>
      <c r="AE210" s="1558">
        <v>8</v>
      </c>
      <c r="AF210" s="1557">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1" width="73" style="1561" customWidth="1"/>
    <col min="12" max="12" width="3" style="1561" customWidth="1"/>
    <col min="13" max="23" width="10" style="1561" customWidth="1"/>
    <col min="24" max="24" width="10.5703125" style="1561" hidden="1"/>
  </cols>
  <sheetData>
    <row r="1" spans="1:24" s="1292" customFormat="1" ht="22.5" hidden="1" customHeight="1">
      <c r="A1" s="472"/>
      <c r="B1" s="447"/>
      <c r="G1" s="353">
        <v>4</v>
      </c>
      <c r="I1" s="353">
        <v>4</v>
      </c>
      <c r="K1" s="353">
        <v>5</v>
      </c>
      <c r="X1" s="353" t="s">
        <v>1</v>
      </c>
    </row>
    <row r="2" spans="1:24" ht="3" customHeight="1">
      <c r="X2" s="441">
        <v>3</v>
      </c>
    </row>
    <row r="3" spans="1:24" ht="78.75" customHeight="1">
      <c r="D3" s="239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941"/>
      <c r="F3" s="23942"/>
      <c r="X3" s="441">
        <v>75</v>
      </c>
    </row>
    <row r="4" spans="1:24" s="1561" customFormat="1" ht="21" customHeight="1">
      <c r="A4" s="880"/>
      <c r="B4" s="447"/>
      <c r="D4" s="24064" t="str">
        <f>IF(org=0,"Не определено",org)</f>
        <v>ООО "Смоленскрегионтеплоэнерго"</v>
      </c>
      <c r="E4" s="24065"/>
      <c r="F4" s="24066"/>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51"/>
      <c r="H6" s="951"/>
      <c r="I6" s="951" t="s">
        <v>223</v>
      </c>
      <c r="J6" s="951"/>
      <c r="X6" s="441">
        <v>1</v>
      </c>
    </row>
    <row r="7" spans="1:24" ht="11.45" customHeight="1">
      <c r="D7" s="647"/>
      <c r="E7" s="24213" t="s">
        <v>214</v>
      </c>
      <c r="F7" s="24214"/>
      <c r="G7" s="24233" t="str">
        <f>IF(G6="","",INDEX(DIFFERENTIATION_UNMERGE_VD,MATCH(G6,DIFFERENTIATION_ID_DIFF,0)))</f>
        <v/>
      </c>
      <c r="H7" s="24234"/>
      <c r="I7" s="24233">
        <f>IF(I6="","",INDEX(DIFFERENTIATION_UNMERGE_VD,MATCH(I6,DIFFERENTIATION_ID_DIFF,0)))</f>
        <v>0</v>
      </c>
      <c r="J7" s="24234"/>
      <c r="K7" s="24022"/>
      <c r="L7" s="445"/>
      <c r="X7" s="441">
        <v>11</v>
      </c>
    </row>
    <row r="8" spans="1:24" ht="11.45" customHeight="1">
      <c r="A8" s="640"/>
      <c r="D8" s="647"/>
      <c r="E8" s="24213" t="s">
        <v>814</v>
      </c>
      <c r="F8" s="24214"/>
      <c r="G8" s="24233" t="str">
        <f>IF(G6="","",INDEX(DIFFERENTIATION_UNMERGE_AREA,MATCH(G6,DIFFERENTIATION_ID_DIFF,0)))</f>
        <v/>
      </c>
      <c r="H8" s="24234"/>
      <c r="I8" s="24233" t="str">
        <f>IF(I6="","",INDEX(DIFFERENTIATION_UNMERGE_AREA,MATCH(I6,DIFFERENTIATION_ID_DIFF,0)))</f>
        <v/>
      </c>
      <c r="J8" s="24234"/>
      <c r="K8" s="24027"/>
      <c r="L8" s="445"/>
      <c r="X8" s="441">
        <v>11</v>
      </c>
    </row>
    <row r="9" spans="1:24" ht="11.45" customHeight="1">
      <c r="A9" s="640"/>
      <c r="D9" s="647"/>
      <c r="E9" s="24213" t="s">
        <v>815</v>
      </c>
      <c r="F9" s="24214"/>
      <c r="G9" s="24233" t="str">
        <f>IF(G6="","",INDEX(DIFFERENTIATION_UNMERGE_SYSTEM,MATCH(G6,DIFFERENTIATION_ID_DIFF,0)))</f>
        <v/>
      </c>
      <c r="H9" s="24234"/>
      <c r="I9" s="24233" t="str">
        <f>IF(I6="","",INDEX(DIFFERENTIATION_UNMERGE_SYSTEM,MATCH(I6,DIFFERENTIATION_ID_DIFF,0)))</f>
        <v>без дифференциации</v>
      </c>
      <c r="J9" s="24234"/>
      <c r="K9" s="24027"/>
      <c r="L9" s="445"/>
      <c r="X9" s="441">
        <v>11</v>
      </c>
    </row>
    <row r="10" spans="1:24" s="1561" customFormat="1" ht="11.45" customHeight="1">
      <c r="A10" s="950"/>
      <c r="B10" s="447"/>
      <c r="D10" s="23928" t="s">
        <v>529</v>
      </c>
      <c r="E10" s="23933"/>
      <c r="F10" s="23933"/>
      <c r="G10" s="23933"/>
      <c r="H10" s="23933"/>
      <c r="I10" s="23933"/>
      <c r="J10" s="23927"/>
      <c r="K10" s="24027"/>
      <c r="L10" s="445"/>
      <c r="X10" s="692">
        <v>11</v>
      </c>
    </row>
    <row r="11" spans="1:24" s="1561" customFormat="1" ht="24" customHeight="1">
      <c r="A11" s="24087"/>
      <c r="B11" s="24087"/>
      <c r="C11" s="593"/>
      <c r="D11" s="639" t="s">
        <v>79</v>
      </c>
      <c r="E11" s="641" t="s">
        <v>1056</v>
      </c>
      <c r="F11" s="641" t="s">
        <v>816</v>
      </c>
      <c r="G11" s="401" t="s">
        <v>532</v>
      </c>
      <c r="H11" s="401" t="s">
        <v>619</v>
      </c>
      <c r="I11" s="737" t="s">
        <v>532</v>
      </c>
      <c r="J11" s="738" t="s">
        <v>619</v>
      </c>
      <c r="K11" s="24074"/>
      <c r="L11" s="594"/>
      <c r="X11" s="445">
        <v>23</v>
      </c>
    </row>
    <row r="12" spans="1:24" s="1568" customFormat="1" ht="10.5" customHeight="1">
      <c r="A12" s="881"/>
      <c r="D12" s="954" t="s">
        <v>218</v>
      </c>
      <c r="E12" s="954" t="s">
        <v>95</v>
      </c>
      <c r="F12" s="954" t="s">
        <v>81</v>
      </c>
      <c r="G12" s="955" t="str">
        <f>G1&amp;".1"</f>
        <v>4.1</v>
      </c>
      <c r="H12" s="955" t="str">
        <f>G1&amp;".2"</f>
        <v>4.2</v>
      </c>
      <c r="I12" s="955" t="str">
        <f>I1&amp;".1"</f>
        <v>4.1</v>
      </c>
      <c r="J12" s="955" t="str">
        <f>I1&amp;".2"</f>
        <v>4.2</v>
      </c>
      <c r="K12" s="955"/>
      <c r="X12" s="447">
        <v>10</v>
      </c>
    </row>
    <row r="13" spans="1:24" ht="22.5" hidden="1" customHeight="1">
      <c r="A13" s="24235" t="s">
        <v>1057</v>
      </c>
      <c r="D13" s="882" t="s">
        <v>218</v>
      </c>
      <c r="E13" s="215" t="s">
        <v>1058</v>
      </c>
      <c r="F13" s="596" t="s">
        <v>1059</v>
      </c>
      <c r="G13" s="493"/>
      <c r="H13" s="597"/>
      <c r="I13" s="493"/>
      <c r="J13" s="597"/>
      <c r="K13" s="225" t="s">
        <v>1060</v>
      </c>
      <c r="L13" s="656"/>
      <c r="X13" s="441">
        <v>0</v>
      </c>
    </row>
    <row r="14" spans="1:24" ht="22.5" hidden="1" customHeight="1">
      <c r="A14" s="24235"/>
      <c r="D14" s="475" t="s">
        <v>95</v>
      </c>
      <c r="E14" s="215" t="s">
        <v>1061</v>
      </c>
      <c r="F14" s="596" t="s">
        <v>1062</v>
      </c>
      <c r="G14" s="493"/>
      <c r="H14" s="598"/>
      <c r="I14" s="493"/>
      <c r="J14" s="598"/>
      <c r="K14" s="225" t="s">
        <v>1063</v>
      </c>
      <c r="L14" s="656"/>
      <c r="X14" s="441">
        <v>0</v>
      </c>
    </row>
    <row r="15" spans="1:24" s="1561" customFormat="1" ht="78.75" hidden="1" customHeight="1">
      <c r="A15" s="24235"/>
      <c r="B15" s="447"/>
      <c r="D15" s="882" t="s">
        <v>81</v>
      </c>
      <c r="E15" s="643" t="s">
        <v>1064</v>
      </c>
      <c r="F15" s="879" t="s">
        <v>535</v>
      </c>
      <c r="G15" s="879" t="s">
        <v>535</v>
      </c>
      <c r="H15" s="45"/>
      <c r="I15" s="879" t="s">
        <v>535</v>
      </c>
      <c r="J15" s="45"/>
      <c r="K15" s="225" t="s">
        <v>1065</v>
      </c>
      <c r="L15" s="656"/>
      <c r="X15" s="692">
        <v>0</v>
      </c>
    </row>
    <row r="16" spans="1:24" s="1561" customFormat="1" ht="22.5" hidden="1" customHeight="1">
      <c r="A16" s="24235"/>
      <c r="B16" s="447"/>
      <c r="D16" s="882" t="s">
        <v>553</v>
      </c>
      <c r="E16" s="883" t="s">
        <v>1066</v>
      </c>
      <c r="F16" s="879" t="s">
        <v>1067</v>
      </c>
      <c r="G16" s="747"/>
      <c r="H16" s="45"/>
      <c r="I16" s="747"/>
      <c r="J16" s="45"/>
      <c r="K16" s="225"/>
      <c r="L16" s="656"/>
      <c r="X16" s="692">
        <v>0</v>
      </c>
    </row>
    <row r="17" spans="1:24" s="1561" customFormat="1" ht="22.5" hidden="1" customHeight="1">
      <c r="A17" s="24235"/>
      <c r="B17" s="447"/>
      <c r="D17" s="882" t="s">
        <v>561</v>
      </c>
      <c r="E17" s="883" t="s">
        <v>1068</v>
      </c>
      <c r="F17" s="879" t="s">
        <v>1069</v>
      </c>
      <c r="G17" s="747"/>
      <c r="H17" s="45"/>
      <c r="I17" s="747"/>
      <c r="J17" s="45"/>
      <c r="K17" s="225"/>
      <c r="L17" s="656"/>
      <c r="X17" s="692">
        <v>0</v>
      </c>
    </row>
    <row r="18" spans="1:24" s="1561" customFormat="1" ht="33.75" hidden="1" customHeight="1">
      <c r="A18" s="24235"/>
      <c r="B18" s="447"/>
      <c r="D18" s="882" t="s">
        <v>563</v>
      </c>
      <c r="E18" s="883" t="s">
        <v>1070</v>
      </c>
      <c r="F18" s="879" t="s">
        <v>821</v>
      </c>
      <c r="G18" s="616"/>
      <c r="H18" s="45"/>
      <c r="I18" s="616"/>
      <c r="J18" s="45"/>
      <c r="K18" s="225"/>
      <c r="L18" s="656"/>
      <c r="X18" s="692">
        <v>0</v>
      </c>
    </row>
    <row r="19" spans="1:24" ht="101.25" hidden="1" customHeight="1">
      <c r="A19" s="24235"/>
      <c r="D19" s="882" t="s">
        <v>82</v>
      </c>
      <c r="E19" s="215" t="s">
        <v>1071</v>
      </c>
      <c r="F19" s="596" t="s">
        <v>796</v>
      </c>
      <c r="G19" s="599"/>
      <c r="H19" s="598"/>
      <c r="I19" s="884"/>
      <c r="J19" s="598"/>
      <c r="K19" s="225" t="s">
        <v>1072</v>
      </c>
      <c r="L19" s="656"/>
      <c r="X19" s="441">
        <v>0</v>
      </c>
    </row>
    <row r="20" spans="1:24" s="1561" customFormat="1" ht="18.75" hidden="1" customHeight="1">
      <c r="A20" s="24235"/>
      <c r="C20" s="885"/>
      <c r="D20" s="882" t="s">
        <v>1003</v>
      </c>
      <c r="E20" s="883" t="s">
        <v>1073</v>
      </c>
      <c r="F20" s="879" t="s">
        <v>535</v>
      </c>
      <c r="G20" s="879" t="s">
        <v>535</v>
      </c>
      <c r="H20" s="878" t="s">
        <v>535</v>
      </c>
      <c r="I20" s="879" t="s">
        <v>535</v>
      </c>
      <c r="J20" s="878" t="s">
        <v>535</v>
      </c>
      <c r="K20" s="877"/>
      <c r="L20" s="656"/>
      <c r="W20" s="611"/>
      <c r="X20" s="692">
        <v>0</v>
      </c>
    </row>
    <row r="21" spans="1:24" s="1561" customFormat="1" ht="33.75" hidden="1" customHeight="1">
      <c r="A21" s="24235"/>
      <c r="C21" s="885"/>
      <c r="D21" s="882" t="s">
        <v>1006</v>
      </c>
      <c r="E21" s="512" t="s">
        <v>1074</v>
      </c>
      <c r="F21" s="879" t="s">
        <v>1075</v>
      </c>
      <c r="G21" s="616"/>
      <c r="H21" s="45"/>
      <c r="I21" s="616"/>
      <c r="J21" s="45"/>
      <c r="K21" s="877"/>
      <c r="L21" s="656"/>
      <c r="W21" s="611"/>
      <c r="X21" s="692">
        <v>0</v>
      </c>
    </row>
    <row r="22" spans="1:24" s="1561" customFormat="1" ht="33.75" hidden="1" customHeight="1">
      <c r="A22" s="24235"/>
      <c r="C22" s="885"/>
      <c r="D22" s="882" t="s">
        <v>1009</v>
      </c>
      <c r="E22" s="512" t="s">
        <v>1076</v>
      </c>
      <c r="F22" s="879" t="s">
        <v>1077</v>
      </c>
      <c r="G22" s="616"/>
      <c r="H22" s="45"/>
      <c r="I22" s="616"/>
      <c r="J22" s="45"/>
      <c r="K22" s="877"/>
      <c r="L22" s="656"/>
      <c r="W22" s="611"/>
      <c r="X22" s="692">
        <v>0</v>
      </c>
    </row>
    <row r="23" spans="1:24" s="1561" customFormat="1" ht="22.5" hidden="1" customHeight="1">
      <c r="A23" s="24235"/>
      <c r="C23" s="885"/>
      <c r="D23" s="882" t="s">
        <v>1045</v>
      </c>
      <c r="E23" s="883" t="s">
        <v>1078</v>
      </c>
      <c r="F23" s="879" t="s">
        <v>535</v>
      </c>
      <c r="G23" s="879" t="s">
        <v>535</v>
      </c>
      <c r="H23" s="878" t="s">
        <v>535</v>
      </c>
      <c r="I23" s="879" t="s">
        <v>535</v>
      </c>
      <c r="J23" s="878" t="s">
        <v>535</v>
      </c>
      <c r="K23" s="877"/>
      <c r="L23" s="656"/>
      <c r="W23" s="611"/>
      <c r="X23" s="692">
        <v>0</v>
      </c>
    </row>
    <row r="24" spans="1:24" s="1561" customFormat="1" ht="22.5" hidden="1" customHeight="1">
      <c r="A24" s="24235"/>
      <c r="C24" s="885"/>
      <c r="D24" s="882" t="s">
        <v>1079</v>
      </c>
      <c r="E24" s="512" t="s">
        <v>1080</v>
      </c>
      <c r="F24" s="879" t="s">
        <v>1081</v>
      </c>
      <c r="G24" s="616"/>
      <c r="H24" s="622"/>
      <c r="I24" s="616"/>
      <c r="J24" s="622"/>
      <c r="K24" s="877"/>
      <c r="L24" s="656"/>
      <c r="W24" s="611"/>
      <c r="X24" s="692">
        <v>0</v>
      </c>
    </row>
    <row r="25" spans="1:24" s="1561" customFormat="1" ht="22.5" hidden="1" customHeight="1">
      <c r="A25" s="24235"/>
      <c r="C25" s="885"/>
      <c r="D25" s="882" t="s">
        <v>1082</v>
      </c>
      <c r="E25" s="512" t="s">
        <v>1083</v>
      </c>
      <c r="F25" s="879" t="s">
        <v>535</v>
      </c>
      <c r="G25" s="879" t="s">
        <v>535</v>
      </c>
      <c r="H25" s="878" t="s">
        <v>535</v>
      </c>
      <c r="I25" s="879" t="s">
        <v>535</v>
      </c>
      <c r="J25" s="878" t="s">
        <v>535</v>
      </c>
      <c r="K25" s="877"/>
      <c r="L25" s="656"/>
      <c r="W25" s="611"/>
      <c r="X25" s="692">
        <v>0</v>
      </c>
    </row>
    <row r="26" spans="1:24" s="1561" customFormat="1" ht="18.75" hidden="1" customHeight="1">
      <c r="A26" s="24235"/>
      <c r="C26" s="885"/>
      <c r="D26" s="882" t="s">
        <v>1084</v>
      </c>
      <c r="E26" s="489" t="s">
        <v>1085</v>
      </c>
      <c r="F26" s="879" t="s">
        <v>1086</v>
      </c>
      <c r="G26" s="616"/>
      <c r="H26" s="622"/>
      <c r="I26" s="616"/>
      <c r="J26" s="622"/>
      <c r="K26" s="877"/>
      <c r="L26" s="656"/>
      <c r="W26" s="611"/>
      <c r="X26" s="692">
        <v>0</v>
      </c>
    </row>
    <row r="27" spans="1:24" s="1561" customFormat="1" ht="18.75" hidden="1" customHeight="1">
      <c r="A27" s="24235"/>
      <c r="C27" s="885"/>
      <c r="D27" s="882" t="s">
        <v>1087</v>
      </c>
      <c r="E27" s="489" t="s">
        <v>1088</v>
      </c>
      <c r="F27" s="879" t="s">
        <v>1089</v>
      </c>
      <c r="G27" s="616"/>
      <c r="H27" s="622"/>
      <c r="I27" s="616"/>
      <c r="J27" s="622"/>
      <c r="K27" s="877"/>
      <c r="L27" s="656"/>
      <c r="W27" s="611"/>
      <c r="X27" s="692">
        <v>0</v>
      </c>
    </row>
    <row r="28" spans="1:24" s="1561" customFormat="1" ht="18.75" hidden="1" customHeight="1">
      <c r="A28" s="24235"/>
      <c r="C28" s="885"/>
      <c r="D28" s="882" t="s">
        <v>1090</v>
      </c>
      <c r="E28" s="512" t="s">
        <v>1091</v>
      </c>
      <c r="F28" s="879" t="s">
        <v>535</v>
      </c>
      <c r="G28" s="879" t="s">
        <v>535</v>
      </c>
      <c r="H28" s="878" t="s">
        <v>535</v>
      </c>
      <c r="I28" s="879" t="s">
        <v>535</v>
      </c>
      <c r="J28" s="878" t="s">
        <v>535</v>
      </c>
      <c r="K28" s="877"/>
      <c r="L28" s="656"/>
      <c r="W28" s="611"/>
      <c r="X28" s="692">
        <v>0</v>
      </c>
    </row>
    <row r="29" spans="1:24" s="1561" customFormat="1" ht="18.75" hidden="1" customHeight="1">
      <c r="A29" s="24235"/>
      <c r="C29" s="885"/>
      <c r="D29" s="882" t="s">
        <v>1092</v>
      </c>
      <c r="E29" s="489" t="s">
        <v>1085</v>
      </c>
      <c r="F29" s="879" t="s">
        <v>1093</v>
      </c>
      <c r="G29" s="616"/>
      <c r="H29" s="622"/>
      <c r="I29" s="616"/>
      <c r="J29" s="622"/>
      <c r="K29" s="877"/>
      <c r="L29" s="656"/>
      <c r="W29" s="611"/>
      <c r="X29" s="692">
        <v>0</v>
      </c>
    </row>
    <row r="30" spans="1:24" s="1561" customFormat="1" ht="18.75" hidden="1" customHeight="1">
      <c r="A30" s="24235"/>
      <c r="C30" s="885"/>
      <c r="D30" s="882" t="s">
        <v>1094</v>
      </c>
      <c r="E30" s="489" t="s">
        <v>1095</v>
      </c>
      <c r="F30" s="879" t="s">
        <v>1096</v>
      </c>
      <c r="G30" s="616"/>
      <c r="H30" s="622"/>
      <c r="I30" s="616"/>
      <c r="J30" s="622"/>
      <c r="K30" s="877"/>
      <c r="L30" s="656"/>
      <c r="W30" s="611"/>
      <c r="X30" s="692">
        <v>0</v>
      </c>
    </row>
    <row r="31" spans="1:24" ht="126.75" hidden="1" customHeight="1">
      <c r="A31" s="24235"/>
      <c r="D31" s="882" t="s">
        <v>109</v>
      </c>
      <c r="E31" s="215" t="s">
        <v>1097</v>
      </c>
      <c r="F31" s="596" t="s">
        <v>808</v>
      </c>
      <c r="G31" s="493"/>
      <c r="H31" s="598"/>
      <c r="I31" s="493"/>
      <c r="J31" s="598"/>
      <c r="K31" s="225" t="s">
        <v>1098</v>
      </c>
      <c r="L31" s="656"/>
      <c r="X31" s="441">
        <v>0</v>
      </c>
    </row>
    <row r="32" spans="1:24" ht="56.25" hidden="1" customHeight="1">
      <c r="A32" s="24235"/>
      <c r="D32" s="882" t="s">
        <v>83</v>
      </c>
      <c r="E32" s="215" t="s">
        <v>1099</v>
      </c>
      <c r="F32" s="475" t="s">
        <v>1069</v>
      </c>
      <c r="G32" s="493"/>
      <c r="H32" s="598"/>
      <c r="I32" s="493"/>
      <c r="J32" s="598"/>
      <c r="K32" s="225" t="s">
        <v>1100</v>
      </c>
      <c r="L32" s="656"/>
      <c r="X32" s="441">
        <v>0</v>
      </c>
    </row>
    <row r="33" spans="1:24" ht="11.25" hidden="1" customHeight="1">
      <c r="A33" s="24235"/>
      <c r="E33" s="600"/>
      <c r="F33" s="118"/>
      <c r="G33" s="118"/>
      <c r="H33" s="118"/>
      <c r="I33" s="118"/>
      <c r="J33" s="118"/>
      <c r="K33" s="118"/>
      <c r="X33" s="441">
        <v>0</v>
      </c>
    </row>
    <row r="34" spans="1:24" ht="12.75" hidden="1" customHeight="1">
      <c r="A34" s="24235"/>
      <c r="D34" s="4">
        <v>1</v>
      </c>
      <c r="E34" s="271" t="s">
        <v>1101</v>
      </c>
      <c r="X34" s="441">
        <v>0</v>
      </c>
    </row>
    <row r="35" spans="1:24" ht="11.25" hidden="1" customHeight="1">
      <c r="A35" s="24235"/>
      <c r="D35" s="305"/>
      <c r="E35" s="271" t="s">
        <v>1102</v>
      </c>
      <c r="X35" s="441">
        <v>0</v>
      </c>
    </row>
    <row r="36" spans="1:24" s="1561" customFormat="1" ht="11.45" customHeight="1">
      <c r="A36" s="962"/>
      <c r="B36" s="454"/>
      <c r="D36" s="963"/>
      <c r="E36" s="964"/>
      <c r="X36" s="445">
        <v>11</v>
      </c>
    </row>
    <row r="37" spans="1:24" s="1561" customFormat="1" ht="22.5" hidden="1" customHeight="1">
      <c r="A37" s="24235" t="s">
        <v>1103</v>
      </c>
      <c r="B37" s="447"/>
      <c r="D37" s="882">
        <v>1</v>
      </c>
      <c r="E37" s="643" t="s">
        <v>1104</v>
      </c>
      <c r="F37" s="596" t="s">
        <v>1059</v>
      </c>
      <c r="G37" s="493"/>
      <c r="H37" s="455"/>
      <c r="I37" s="493"/>
      <c r="J37" s="455"/>
      <c r="K37" s="225" t="s">
        <v>1105</v>
      </c>
      <c r="X37" s="692">
        <v>0</v>
      </c>
    </row>
    <row r="38" spans="1:24" s="1561" customFormat="1" ht="22.5" hidden="1" customHeight="1">
      <c r="A38" s="24235"/>
      <c r="B38" s="447"/>
      <c r="D38" s="605" t="s">
        <v>95</v>
      </c>
      <c r="E38" s="961" t="s">
        <v>1106</v>
      </c>
      <c r="F38" s="965" t="s">
        <v>796</v>
      </c>
      <c r="G38" s="965" t="s">
        <v>796</v>
      </c>
      <c r="H38" s="959"/>
      <c r="I38" s="965" t="s">
        <v>796</v>
      </c>
      <c r="J38" s="959"/>
      <c r="K38" s="960"/>
      <c r="X38" s="692">
        <v>0</v>
      </c>
    </row>
    <row r="39" spans="1:24" s="1561" customFormat="1" ht="33.75" hidden="1" customHeight="1">
      <c r="A39" s="24235"/>
      <c r="B39" s="447"/>
      <c r="D39" s="601" t="s">
        <v>961</v>
      </c>
      <c r="E39" s="659" t="s">
        <v>1107</v>
      </c>
      <c r="F39" s="596" t="s">
        <v>1108</v>
      </c>
      <c r="G39" s="604"/>
      <c r="H39" s="952"/>
      <c r="I39" s="604"/>
      <c r="J39" s="952"/>
      <c r="K39" s="225" t="s">
        <v>1109</v>
      </c>
      <c r="X39" s="692">
        <v>0</v>
      </c>
    </row>
    <row r="40" spans="1:24" s="1561" customFormat="1" ht="33.75" hidden="1" customHeight="1">
      <c r="A40" s="24235"/>
      <c r="B40" s="447"/>
      <c r="D40" s="601" t="s">
        <v>964</v>
      </c>
      <c r="E40" s="659" t="s">
        <v>1110</v>
      </c>
      <c r="F40" s="956" t="s">
        <v>1111</v>
      </c>
      <c r="G40" s="677"/>
      <c r="H40" s="952"/>
      <c r="I40" s="677"/>
      <c r="J40" s="952"/>
      <c r="K40" s="225" t="s">
        <v>1112</v>
      </c>
      <c r="X40" s="692">
        <v>0</v>
      </c>
    </row>
    <row r="41" spans="1:24" s="1561" customFormat="1" ht="22.5" hidden="1" customHeight="1">
      <c r="A41" s="24235"/>
      <c r="B41" s="447"/>
      <c r="D41" s="601" t="s">
        <v>81</v>
      </c>
      <c r="E41" s="658" t="s">
        <v>1113</v>
      </c>
      <c r="F41" s="596" t="s">
        <v>796</v>
      </c>
      <c r="G41" s="596" t="s">
        <v>796</v>
      </c>
      <c r="H41" s="953"/>
      <c r="I41" s="596" t="s">
        <v>796</v>
      </c>
      <c r="J41" s="953"/>
      <c r="K41" s="238"/>
      <c r="X41" s="692">
        <v>0</v>
      </c>
    </row>
    <row r="42" spans="1:24" s="1561" customFormat="1" ht="45" hidden="1" customHeight="1">
      <c r="A42" s="24235"/>
      <c r="B42" s="447"/>
      <c r="D42" s="601" t="s">
        <v>553</v>
      </c>
      <c r="E42" s="659" t="s">
        <v>1114</v>
      </c>
      <c r="F42" s="596" t="s">
        <v>808</v>
      </c>
      <c r="G42" s="493"/>
      <c r="H42" s="953"/>
      <c r="I42" s="493"/>
      <c r="J42" s="953"/>
      <c r="K42" s="238" t="s">
        <v>1115</v>
      </c>
      <c r="X42" s="692">
        <v>0</v>
      </c>
    </row>
    <row r="43" spans="1:24" s="1561" customFormat="1" ht="45" hidden="1" customHeight="1">
      <c r="A43" s="24235"/>
      <c r="B43" s="447"/>
      <c r="D43" s="601" t="s">
        <v>561</v>
      </c>
      <c r="E43" s="603" t="s">
        <v>1116</v>
      </c>
      <c r="F43" s="957" t="s">
        <v>808</v>
      </c>
      <c r="G43" s="678"/>
      <c r="H43" s="952"/>
      <c r="I43" s="678"/>
      <c r="J43" s="952"/>
      <c r="K43" s="238" t="s">
        <v>1117</v>
      </c>
      <c r="X43" s="692">
        <v>0</v>
      </c>
    </row>
    <row r="44" spans="1:24" s="1561" customFormat="1" ht="11.25" hidden="1" customHeight="1">
      <c r="A44" s="24235"/>
      <c r="B44" s="447"/>
      <c r="D44" s="601" t="s">
        <v>82</v>
      </c>
      <c r="E44" s="602" t="s">
        <v>1118</v>
      </c>
      <c r="F44" s="596" t="s">
        <v>1108</v>
      </c>
      <c r="G44" s="604"/>
      <c r="H44" s="952"/>
      <c r="I44" s="604"/>
      <c r="J44" s="952"/>
      <c r="K44" s="225"/>
      <c r="X44" s="692">
        <v>0</v>
      </c>
    </row>
    <row r="45" spans="1:24" s="1561" customFormat="1" ht="11.25" hidden="1" customHeight="1">
      <c r="A45" s="24235"/>
      <c r="B45" s="447"/>
      <c r="D45" s="601" t="s">
        <v>1003</v>
      </c>
      <c r="E45" s="603" t="s">
        <v>1119</v>
      </c>
      <c r="F45" s="596" t="s">
        <v>1108</v>
      </c>
      <c r="G45" s="604"/>
      <c r="H45" s="952"/>
      <c r="I45" s="604"/>
      <c r="J45" s="952"/>
      <c r="K45" s="225"/>
      <c r="X45" s="692">
        <v>0</v>
      </c>
    </row>
    <row r="46" spans="1:24" s="1561" customFormat="1" ht="11.25" hidden="1" customHeight="1">
      <c r="A46" s="24235"/>
      <c r="B46" s="447"/>
      <c r="D46" s="601" t="s">
        <v>1045</v>
      </c>
      <c r="E46" s="603" t="s">
        <v>1120</v>
      </c>
      <c r="F46" s="596" t="s">
        <v>1108</v>
      </c>
      <c r="G46" s="604"/>
      <c r="H46" s="952"/>
      <c r="I46" s="604"/>
      <c r="J46" s="952"/>
      <c r="K46" s="225"/>
      <c r="X46" s="692">
        <v>0</v>
      </c>
    </row>
    <row r="47" spans="1:24" s="1561" customFormat="1" ht="11.25" hidden="1" customHeight="1">
      <c r="A47" s="24235"/>
      <c r="B47" s="447"/>
      <c r="D47" s="601" t="s">
        <v>1048</v>
      </c>
      <c r="E47" s="603" t="s">
        <v>1121</v>
      </c>
      <c r="F47" s="596" t="s">
        <v>1108</v>
      </c>
      <c r="G47" s="604"/>
      <c r="H47" s="952"/>
      <c r="I47" s="604"/>
      <c r="J47" s="952"/>
      <c r="K47" s="225"/>
      <c r="X47" s="692">
        <v>0</v>
      </c>
    </row>
    <row r="48" spans="1:24" s="1561" customFormat="1" ht="11.25" hidden="1" customHeight="1">
      <c r="A48" s="24235"/>
      <c r="B48" s="447"/>
      <c r="D48" s="601" t="s">
        <v>1122</v>
      </c>
      <c r="E48" s="607" t="s">
        <v>1123</v>
      </c>
      <c r="F48" s="596" t="s">
        <v>1108</v>
      </c>
      <c r="G48" s="604"/>
      <c r="H48" s="952"/>
      <c r="I48" s="604"/>
      <c r="J48" s="952"/>
      <c r="K48" s="225"/>
      <c r="X48" s="692">
        <v>0</v>
      </c>
    </row>
    <row r="49" spans="1:24" s="1561" customFormat="1" ht="11.25" hidden="1" customHeight="1">
      <c r="A49" s="24235"/>
      <c r="B49" s="447"/>
      <c r="D49" s="601" t="s">
        <v>1124</v>
      </c>
      <c r="E49" s="607" t="s">
        <v>1125</v>
      </c>
      <c r="F49" s="596" t="s">
        <v>1108</v>
      </c>
      <c r="G49" s="604"/>
      <c r="H49" s="952"/>
      <c r="I49" s="604"/>
      <c r="J49" s="952"/>
      <c r="K49" s="225"/>
      <c r="X49" s="692">
        <v>0</v>
      </c>
    </row>
    <row r="50" spans="1:24" s="1561" customFormat="1" ht="11.25" hidden="1" customHeight="1">
      <c r="A50" s="24235"/>
      <c r="B50" s="447"/>
      <c r="D50" s="601" t="s">
        <v>1126</v>
      </c>
      <c r="E50" s="603" t="s">
        <v>1127</v>
      </c>
      <c r="F50" s="596" t="s">
        <v>1108</v>
      </c>
      <c r="G50" s="604"/>
      <c r="H50" s="952"/>
      <c r="I50" s="604"/>
      <c r="J50" s="952"/>
      <c r="K50" s="225"/>
      <c r="X50" s="692">
        <v>0</v>
      </c>
    </row>
    <row r="51" spans="1:24" s="1561" customFormat="1" ht="11.25" hidden="1" customHeight="1">
      <c r="A51" s="24235"/>
      <c r="B51" s="447"/>
      <c r="D51" s="601" t="s">
        <v>1128</v>
      </c>
      <c r="E51" s="603" t="s">
        <v>1129</v>
      </c>
      <c r="F51" s="596" t="s">
        <v>1108</v>
      </c>
      <c r="G51" s="604"/>
      <c r="H51" s="952"/>
      <c r="I51" s="604"/>
      <c r="J51" s="952"/>
      <c r="K51" s="225"/>
      <c r="X51" s="692">
        <v>0</v>
      </c>
    </row>
    <row r="52" spans="1:24" s="1561" customFormat="1" ht="45" hidden="1" customHeight="1">
      <c r="A52" s="24235"/>
      <c r="B52" s="447"/>
      <c r="D52" s="601" t="s">
        <v>109</v>
      </c>
      <c r="E52" s="602" t="s">
        <v>1130</v>
      </c>
      <c r="F52" s="596" t="s">
        <v>1108</v>
      </c>
      <c r="G52" s="604"/>
      <c r="H52" s="952"/>
      <c r="I52" s="604"/>
      <c r="J52" s="952"/>
      <c r="K52" s="225"/>
      <c r="X52" s="692">
        <v>0</v>
      </c>
    </row>
    <row r="53" spans="1:24" s="1561" customFormat="1" ht="11.25" hidden="1" customHeight="1">
      <c r="A53" s="24235"/>
      <c r="B53" s="447"/>
      <c r="D53" s="601" t="s">
        <v>542</v>
      </c>
      <c r="E53" s="603" t="s">
        <v>1119</v>
      </c>
      <c r="F53" s="596" t="s">
        <v>1108</v>
      </c>
      <c r="G53" s="604"/>
      <c r="H53" s="952"/>
      <c r="I53" s="604"/>
      <c r="J53" s="952"/>
      <c r="K53" s="225"/>
      <c r="X53" s="692">
        <v>0</v>
      </c>
    </row>
    <row r="54" spans="1:24" s="1561" customFormat="1" ht="11.25" hidden="1" customHeight="1">
      <c r="A54" s="24235"/>
      <c r="B54" s="447"/>
      <c r="D54" s="601" t="s">
        <v>1131</v>
      </c>
      <c r="E54" s="603" t="s">
        <v>1120</v>
      </c>
      <c r="F54" s="596" t="s">
        <v>1108</v>
      </c>
      <c r="G54" s="604"/>
      <c r="H54" s="952"/>
      <c r="I54" s="604"/>
      <c r="J54" s="952"/>
      <c r="K54" s="225"/>
      <c r="X54" s="692">
        <v>0</v>
      </c>
    </row>
    <row r="55" spans="1:24" s="1561" customFormat="1" ht="11.25" hidden="1" customHeight="1">
      <c r="A55" s="24235"/>
      <c r="B55" s="447"/>
      <c r="D55" s="601" t="s">
        <v>1132</v>
      </c>
      <c r="E55" s="603" t="s">
        <v>1121</v>
      </c>
      <c r="F55" s="596" t="s">
        <v>1108</v>
      </c>
      <c r="G55" s="604"/>
      <c r="H55" s="952"/>
      <c r="I55" s="604"/>
      <c r="J55" s="952"/>
      <c r="K55" s="225"/>
      <c r="X55" s="692">
        <v>0</v>
      </c>
    </row>
    <row r="56" spans="1:24" s="1561" customFormat="1" ht="11.25" hidden="1" customHeight="1">
      <c r="A56" s="24235"/>
      <c r="B56" s="447"/>
      <c r="D56" s="601" t="s">
        <v>1133</v>
      </c>
      <c r="E56" s="607" t="s">
        <v>1123</v>
      </c>
      <c r="F56" s="596" t="s">
        <v>1108</v>
      </c>
      <c r="G56" s="604"/>
      <c r="H56" s="952"/>
      <c r="I56" s="604"/>
      <c r="J56" s="952"/>
      <c r="K56" s="225"/>
      <c r="X56" s="692">
        <v>0</v>
      </c>
    </row>
    <row r="57" spans="1:24" s="1561" customFormat="1" ht="11.25" hidden="1" customHeight="1">
      <c r="A57" s="24235"/>
      <c r="B57" s="447"/>
      <c r="D57" s="601" t="s">
        <v>1134</v>
      </c>
      <c r="E57" s="607" t="s">
        <v>1125</v>
      </c>
      <c r="F57" s="596" t="s">
        <v>1108</v>
      </c>
      <c r="G57" s="604"/>
      <c r="H57" s="952"/>
      <c r="I57" s="604"/>
      <c r="J57" s="952"/>
      <c r="K57" s="225"/>
      <c r="X57" s="692">
        <v>0</v>
      </c>
    </row>
    <row r="58" spans="1:24" s="1561" customFormat="1" ht="11.25" hidden="1" customHeight="1">
      <c r="A58" s="24235"/>
      <c r="B58" s="447"/>
      <c r="D58" s="601" t="s">
        <v>1135</v>
      </c>
      <c r="E58" s="603" t="s">
        <v>1127</v>
      </c>
      <c r="F58" s="596" t="s">
        <v>1108</v>
      </c>
      <c r="G58" s="604"/>
      <c r="H58" s="952"/>
      <c r="I58" s="604"/>
      <c r="J58" s="952"/>
      <c r="K58" s="225"/>
      <c r="X58" s="692">
        <v>0</v>
      </c>
    </row>
    <row r="59" spans="1:24" s="1561" customFormat="1" ht="11.25" hidden="1" customHeight="1">
      <c r="A59" s="24235"/>
      <c r="B59" s="447"/>
      <c r="D59" s="601" t="s">
        <v>1136</v>
      </c>
      <c r="E59" s="603" t="s">
        <v>1129</v>
      </c>
      <c r="F59" s="596" t="s">
        <v>1108</v>
      </c>
      <c r="G59" s="604"/>
      <c r="H59" s="952"/>
      <c r="I59" s="604"/>
      <c r="J59" s="952"/>
      <c r="K59" s="225"/>
      <c r="X59" s="692">
        <v>0</v>
      </c>
    </row>
    <row r="60" spans="1:24" s="1561" customFormat="1" ht="33.75" hidden="1" customHeight="1">
      <c r="A60" s="24235"/>
      <c r="B60" s="447"/>
      <c r="D60" s="601" t="s">
        <v>83</v>
      </c>
      <c r="E60" s="602" t="s">
        <v>1137</v>
      </c>
      <c r="F60" s="657" t="s">
        <v>808</v>
      </c>
      <c r="G60" s="678"/>
      <c r="H60" s="952"/>
      <c r="I60" s="678"/>
      <c r="J60" s="952"/>
      <c r="K60" s="238" t="s">
        <v>1138</v>
      </c>
      <c r="X60" s="692">
        <v>0</v>
      </c>
    </row>
    <row r="61" spans="1:24" s="1561" customFormat="1" ht="33.75" hidden="1" customHeight="1">
      <c r="A61" s="24235"/>
      <c r="B61" s="447"/>
      <c r="D61" s="601" t="s">
        <v>84</v>
      </c>
      <c r="E61" s="602" t="s">
        <v>1139</v>
      </c>
      <c r="F61" s="662" t="s">
        <v>1069</v>
      </c>
      <c r="G61" s="604"/>
      <c r="H61" s="952"/>
      <c r="I61" s="604"/>
      <c r="J61" s="952"/>
      <c r="K61" s="225"/>
      <c r="X61" s="692">
        <v>0</v>
      </c>
    </row>
    <row r="62" spans="1:24" s="1561" customFormat="1" ht="22.5" hidden="1" customHeight="1">
      <c r="A62" s="24235"/>
      <c r="B62" s="447" t="s">
        <v>838</v>
      </c>
      <c r="D62" s="601" t="s">
        <v>90</v>
      </c>
      <c r="E62" s="602" t="s">
        <v>1140</v>
      </c>
      <c r="F62" s="662" t="s">
        <v>535</v>
      </c>
      <c r="G62" s="318"/>
      <c r="H62" s="952"/>
      <c r="I62" s="318"/>
      <c r="J62" s="952"/>
      <c r="K62" s="225" t="s">
        <v>881</v>
      </c>
      <c r="X62" s="692">
        <v>0</v>
      </c>
    </row>
    <row r="63" spans="1:24" s="1561" customFormat="1" ht="45" hidden="1" customHeight="1">
      <c r="A63" s="24235"/>
      <c r="B63" s="447" t="s">
        <v>838</v>
      </c>
      <c r="D63" s="601" t="s">
        <v>1141</v>
      </c>
      <c r="E63" s="603" t="s">
        <v>1142</v>
      </c>
      <c r="F63" s="657" t="s">
        <v>535</v>
      </c>
      <c r="G63" s="318"/>
      <c r="H63" s="952"/>
      <c r="I63" s="318"/>
      <c r="J63" s="952"/>
      <c r="K63" s="225" t="s">
        <v>881</v>
      </c>
      <c r="X63" s="692">
        <v>0</v>
      </c>
    </row>
    <row r="64" spans="1:24" s="1561" customFormat="1" ht="11.45" customHeight="1">
      <c r="A64" s="962"/>
      <c r="B64" s="454"/>
      <c r="D64" s="963"/>
      <c r="E64" s="964"/>
      <c r="X64" s="445">
        <v>11</v>
      </c>
    </row>
    <row r="65" spans="1:24" s="1561" customFormat="1" ht="22.5" customHeight="1">
      <c r="A65" s="24235" t="s">
        <v>1143</v>
      </c>
      <c r="B65" s="447"/>
      <c r="D65" s="601">
        <v>1</v>
      </c>
      <c r="E65" s="680" t="s">
        <v>1144</v>
      </c>
      <c r="F65" s="676" t="s">
        <v>1059</v>
      </c>
      <c r="G65" s="677"/>
      <c r="H65" s="958"/>
      <c r="I65" s="677"/>
      <c r="J65" s="958"/>
      <c r="K65" s="237" t="s">
        <v>1145</v>
      </c>
      <c r="X65" s="692">
        <v>0</v>
      </c>
    </row>
    <row r="66" spans="1:24" s="1561" customFormat="1" ht="56.25" customHeight="1">
      <c r="A66" s="24235"/>
      <c r="B66" s="447"/>
      <c r="D66" s="679" t="s">
        <v>95</v>
      </c>
      <c r="E66" s="643" t="s">
        <v>1146</v>
      </c>
      <c r="F66" s="596" t="s">
        <v>796</v>
      </c>
      <c r="G66" s="596" t="s">
        <v>796</v>
      </c>
      <c r="H66" s="455"/>
      <c r="I66" s="596" t="s">
        <v>796</v>
      </c>
      <c r="J66" s="455"/>
      <c r="K66" s="225"/>
      <c r="X66" s="692">
        <v>0</v>
      </c>
    </row>
    <row r="67" spans="1:24" s="1561" customFormat="1" ht="33.75" customHeight="1">
      <c r="A67" s="24235"/>
      <c r="B67" s="447"/>
      <c r="D67" s="679" t="s">
        <v>958</v>
      </c>
      <c r="E67" s="883" t="s">
        <v>1147</v>
      </c>
      <c r="F67" s="596" t="s">
        <v>1111</v>
      </c>
      <c r="G67" s="663"/>
      <c r="H67" s="455"/>
      <c r="I67" s="663"/>
      <c r="J67" s="455"/>
      <c r="K67" s="225"/>
      <c r="X67" s="692">
        <v>0</v>
      </c>
    </row>
    <row r="68" spans="1:24" s="1561" customFormat="1" ht="22.5" customHeight="1">
      <c r="A68" s="24235"/>
      <c r="B68" s="447"/>
      <c r="D68" s="679" t="s">
        <v>536</v>
      </c>
      <c r="E68" s="883" t="s">
        <v>1148</v>
      </c>
      <c r="F68" s="596" t="s">
        <v>1111</v>
      </c>
      <c r="G68" s="663"/>
      <c r="H68" s="455"/>
      <c r="I68" s="663"/>
      <c r="J68" s="455"/>
      <c r="K68" s="225"/>
      <c r="X68" s="692">
        <v>0</v>
      </c>
    </row>
    <row r="69" spans="1:24" s="1561" customFormat="1" ht="22.5" customHeight="1">
      <c r="A69" s="24235"/>
      <c r="B69" s="447"/>
      <c r="D69" s="679" t="s">
        <v>539</v>
      </c>
      <c r="E69" s="883" t="s">
        <v>1149</v>
      </c>
      <c r="F69" s="657" t="s">
        <v>808</v>
      </c>
      <c r="G69" s="678"/>
      <c r="H69" s="455"/>
      <c r="I69" s="678"/>
      <c r="J69" s="455"/>
      <c r="K69" s="225"/>
      <c r="X69" s="692">
        <v>0</v>
      </c>
    </row>
    <row r="70" spans="1:24" s="1561" customFormat="1" ht="22.5" customHeight="1">
      <c r="A70" s="24235"/>
      <c r="B70" s="447"/>
      <c r="D70" s="679" t="s">
        <v>978</v>
      </c>
      <c r="E70" s="883" t="s">
        <v>1150</v>
      </c>
      <c r="F70" s="657" t="s">
        <v>808</v>
      </c>
      <c r="G70" s="678"/>
      <c r="H70" s="455"/>
      <c r="I70" s="678"/>
      <c r="J70" s="455"/>
      <c r="K70" s="225"/>
      <c r="X70" s="692">
        <v>0</v>
      </c>
    </row>
    <row r="71" spans="1:24" s="1561" customFormat="1" ht="22.5" customHeight="1">
      <c r="A71" s="24235"/>
      <c r="B71" s="447"/>
      <c r="D71" s="601" t="s">
        <v>81</v>
      </c>
      <c r="E71" s="602" t="s">
        <v>1151</v>
      </c>
      <c r="F71" s="596" t="s">
        <v>1111</v>
      </c>
      <c r="G71" s="493"/>
      <c r="H71" s="959"/>
      <c r="I71" s="493"/>
      <c r="J71" s="959"/>
      <c r="K71" s="238"/>
      <c r="X71" s="692">
        <v>0</v>
      </c>
    </row>
    <row r="72" spans="1:24" s="1561" customFormat="1" ht="56.25" customHeight="1">
      <c r="A72" s="24235"/>
      <c r="B72" s="447"/>
      <c r="D72" s="601" t="s">
        <v>82</v>
      </c>
      <c r="E72" s="602" t="s">
        <v>1152</v>
      </c>
      <c r="F72" s="657" t="s">
        <v>808</v>
      </c>
      <c r="G72" s="678"/>
      <c r="H72" s="952"/>
      <c r="I72" s="678"/>
      <c r="J72" s="952"/>
      <c r="K72" s="238"/>
      <c r="X72" s="692">
        <v>0</v>
      </c>
    </row>
    <row r="73" spans="1:24" s="1561" customFormat="1" ht="33.75" customHeight="1">
      <c r="A73" s="24235"/>
      <c r="B73" s="447"/>
      <c r="D73" s="601" t="s">
        <v>109</v>
      </c>
      <c r="E73" s="602" t="s">
        <v>1153</v>
      </c>
      <c r="F73" s="662" t="s">
        <v>1069</v>
      </c>
      <c r="G73" s="604"/>
      <c r="H73" s="952"/>
      <c r="I73" s="604"/>
      <c r="J73" s="952"/>
      <c r="K73" s="225"/>
      <c r="X73" s="692">
        <v>0</v>
      </c>
    </row>
    <row r="74" spans="1:24" s="1561" customFormat="1" ht="22.5" customHeight="1">
      <c r="A74" s="24235"/>
      <c r="B74" s="447" t="s">
        <v>838</v>
      </c>
      <c r="D74" s="601" t="s">
        <v>83</v>
      </c>
      <c r="E74" s="602" t="s">
        <v>1154</v>
      </c>
      <c r="F74" s="662" t="s">
        <v>535</v>
      </c>
      <c r="G74" s="318"/>
      <c r="H74" s="952"/>
      <c r="I74" s="318"/>
      <c r="J74" s="952"/>
      <c r="K74" s="225" t="s">
        <v>881</v>
      </c>
      <c r="X74" s="692">
        <v>0</v>
      </c>
    </row>
    <row r="75" spans="1:24" s="1561" customFormat="1" ht="45" customHeight="1">
      <c r="A75" s="24235"/>
      <c r="B75" s="447" t="s">
        <v>838</v>
      </c>
      <c r="D75" s="601" t="s">
        <v>902</v>
      </c>
      <c r="E75" s="603" t="s">
        <v>1155</v>
      </c>
      <c r="F75" s="657" t="s">
        <v>535</v>
      </c>
      <c r="G75" s="318"/>
      <c r="H75" s="952"/>
      <c r="I75" s="318"/>
      <c r="J75" s="952"/>
      <c r="K75" s="225" t="s">
        <v>881</v>
      </c>
      <c r="X75" s="692">
        <v>0</v>
      </c>
    </row>
    <row r="76" spans="1:24" s="1561" customFormat="1" ht="11.45" customHeight="1">
      <c r="A76" s="962"/>
      <c r="B76" s="454"/>
      <c r="D76" s="963"/>
      <c r="E76" s="964"/>
      <c r="X76" s="445">
        <v>11</v>
      </c>
    </row>
    <row r="77" spans="1:24" s="1561" customFormat="1" ht="11.25" hidden="1" customHeight="1">
      <c r="A77" s="24235" t="s">
        <v>1156</v>
      </c>
      <c r="B77" s="447"/>
      <c r="D77" s="601">
        <v>1</v>
      </c>
      <c r="E77" s="602" t="s">
        <v>1157</v>
      </c>
      <c r="F77" s="657" t="s">
        <v>1059</v>
      </c>
      <c r="G77" s="660"/>
      <c r="H77" s="952"/>
      <c r="I77" s="660"/>
      <c r="J77" s="952"/>
      <c r="K77" s="225" t="s">
        <v>1158</v>
      </c>
      <c r="X77" s="692">
        <v>0</v>
      </c>
    </row>
    <row r="78" spans="1:24" s="1561" customFormat="1" ht="11.25" hidden="1" customHeight="1">
      <c r="A78" s="24235"/>
      <c r="B78" s="447"/>
      <c r="D78" s="601" t="s">
        <v>95</v>
      </c>
      <c r="E78" s="602" t="s">
        <v>1159</v>
      </c>
      <c r="F78" s="657" t="s">
        <v>1059</v>
      </c>
      <c r="G78" s="660"/>
      <c r="H78" s="952"/>
      <c r="I78" s="660"/>
      <c r="J78" s="952"/>
      <c r="K78" s="225" t="s">
        <v>1160</v>
      </c>
      <c r="X78" s="692">
        <v>0</v>
      </c>
    </row>
    <row r="79" spans="1:24" s="1561" customFormat="1" ht="22.5" hidden="1" customHeight="1">
      <c r="A79" s="24235"/>
      <c r="B79" s="447"/>
      <c r="D79" s="601" t="s">
        <v>81</v>
      </c>
      <c r="E79" s="658" t="s">
        <v>1161</v>
      </c>
      <c r="F79" s="596" t="s">
        <v>1108</v>
      </c>
      <c r="G79" s="660"/>
      <c r="H79" s="952"/>
      <c r="I79" s="660"/>
      <c r="J79" s="952"/>
      <c r="K79" s="225" t="s">
        <v>1162</v>
      </c>
      <c r="X79" s="692">
        <v>0</v>
      </c>
    </row>
    <row r="80" spans="1:24" s="1561" customFormat="1" ht="11.25" hidden="1" customHeight="1">
      <c r="A80" s="24235"/>
      <c r="B80" s="447"/>
      <c r="D80" s="601" t="s">
        <v>553</v>
      </c>
      <c r="E80" s="659" t="s">
        <v>1163</v>
      </c>
      <c r="F80" s="596" t="s">
        <v>1108</v>
      </c>
      <c r="G80" s="660"/>
      <c r="H80" s="952"/>
      <c r="I80" s="660"/>
      <c r="J80" s="952"/>
      <c r="K80" s="225"/>
      <c r="X80" s="692">
        <v>0</v>
      </c>
    </row>
    <row r="81" spans="1:24" s="1561" customFormat="1" ht="11.25" hidden="1" customHeight="1">
      <c r="A81" s="24235"/>
      <c r="B81" s="447"/>
      <c r="D81" s="601" t="s">
        <v>561</v>
      </c>
      <c r="E81" s="659" t="s">
        <v>1164</v>
      </c>
      <c r="F81" s="596" t="s">
        <v>1108</v>
      </c>
      <c r="G81" s="660"/>
      <c r="H81" s="952"/>
      <c r="I81" s="660"/>
      <c r="J81" s="952"/>
      <c r="K81" s="225"/>
      <c r="X81" s="692">
        <v>0</v>
      </c>
    </row>
    <row r="82" spans="1:24" s="1561" customFormat="1" ht="11.25" hidden="1" customHeight="1">
      <c r="A82" s="24235"/>
      <c r="B82" s="447"/>
      <c r="D82" s="601" t="s">
        <v>563</v>
      </c>
      <c r="E82" s="659" t="s">
        <v>1165</v>
      </c>
      <c r="F82" s="596" t="s">
        <v>1108</v>
      </c>
      <c r="G82" s="660"/>
      <c r="H82" s="952"/>
      <c r="I82" s="660"/>
      <c r="J82" s="952"/>
      <c r="K82" s="225"/>
      <c r="X82" s="692">
        <v>0</v>
      </c>
    </row>
    <row r="83" spans="1:24" s="1561" customFormat="1" ht="11.25" hidden="1" customHeight="1">
      <c r="A83" s="24235"/>
      <c r="B83" s="447"/>
      <c r="D83" s="601" t="s">
        <v>565</v>
      </c>
      <c r="E83" s="659" t="s">
        <v>1166</v>
      </c>
      <c r="F83" s="596" t="s">
        <v>1108</v>
      </c>
      <c r="G83" s="660"/>
      <c r="H83" s="952"/>
      <c r="I83" s="660"/>
      <c r="J83" s="952"/>
      <c r="K83" s="225"/>
      <c r="X83" s="692">
        <v>0</v>
      </c>
    </row>
    <row r="84" spans="1:24" s="1561" customFormat="1" ht="11.25" hidden="1" customHeight="1">
      <c r="A84" s="24235"/>
      <c r="B84" s="447"/>
      <c r="D84" s="601" t="s">
        <v>1167</v>
      </c>
      <c r="E84" s="659" t="s">
        <v>1168</v>
      </c>
      <c r="F84" s="596" t="s">
        <v>1108</v>
      </c>
      <c r="G84" s="660"/>
      <c r="H84" s="952"/>
      <c r="I84" s="660"/>
      <c r="J84" s="952"/>
      <c r="K84" s="225"/>
      <c r="X84" s="692">
        <v>0</v>
      </c>
    </row>
    <row r="85" spans="1:24" s="1561" customFormat="1" ht="11.25" hidden="1" customHeight="1">
      <c r="A85" s="24235"/>
      <c r="B85" s="447"/>
      <c r="D85" s="601" t="s">
        <v>1169</v>
      </c>
      <c r="E85" s="659" t="s">
        <v>1170</v>
      </c>
      <c r="F85" s="596" t="s">
        <v>1108</v>
      </c>
      <c r="G85" s="660"/>
      <c r="H85" s="952"/>
      <c r="I85" s="660"/>
      <c r="J85" s="952"/>
      <c r="K85" s="225"/>
      <c r="X85" s="692">
        <v>0</v>
      </c>
    </row>
    <row r="86" spans="1:24" s="1561" customFormat="1" ht="11.25" hidden="1" customHeight="1">
      <c r="A86" s="24235"/>
      <c r="B86" s="447"/>
      <c r="D86" s="601" t="s">
        <v>1171</v>
      </c>
      <c r="E86" s="659" t="s">
        <v>1172</v>
      </c>
      <c r="F86" s="596" t="s">
        <v>1108</v>
      </c>
      <c r="G86" s="660"/>
      <c r="H86" s="952"/>
      <c r="I86" s="660"/>
      <c r="J86" s="952"/>
      <c r="K86" s="225"/>
      <c r="X86" s="692">
        <v>0</v>
      </c>
    </row>
    <row r="87" spans="1:24" s="1561" customFormat="1" ht="45" hidden="1" customHeight="1">
      <c r="A87" s="24235"/>
      <c r="B87" s="447"/>
      <c r="D87" s="601" t="s">
        <v>82</v>
      </c>
      <c r="E87" s="602" t="s">
        <v>1173</v>
      </c>
      <c r="F87" s="596" t="s">
        <v>1108</v>
      </c>
      <c r="G87" s="660"/>
      <c r="H87" s="952"/>
      <c r="I87" s="660"/>
      <c r="J87" s="952"/>
      <c r="K87" s="225" t="s">
        <v>1174</v>
      </c>
      <c r="X87" s="692">
        <v>0</v>
      </c>
    </row>
    <row r="88" spans="1:24" s="1561" customFormat="1" ht="11.25" hidden="1" customHeight="1">
      <c r="A88" s="24235"/>
      <c r="B88" s="447"/>
      <c r="D88" s="601" t="s">
        <v>1003</v>
      </c>
      <c r="E88" s="659" t="s">
        <v>1163</v>
      </c>
      <c r="F88" s="596" t="s">
        <v>1108</v>
      </c>
      <c r="G88" s="660"/>
      <c r="H88" s="952"/>
      <c r="I88" s="660"/>
      <c r="J88" s="952"/>
      <c r="K88" s="225"/>
      <c r="X88" s="692">
        <v>0</v>
      </c>
    </row>
    <row r="89" spans="1:24" s="1561" customFormat="1" ht="11.25" hidden="1" customHeight="1">
      <c r="A89" s="24235"/>
      <c r="B89" s="447"/>
      <c r="D89" s="601" t="s">
        <v>1045</v>
      </c>
      <c r="E89" s="659" t="s">
        <v>1164</v>
      </c>
      <c r="F89" s="596" t="s">
        <v>1108</v>
      </c>
      <c r="G89" s="660"/>
      <c r="H89" s="952"/>
      <c r="I89" s="660"/>
      <c r="J89" s="952"/>
      <c r="K89" s="225"/>
      <c r="X89" s="692">
        <v>0</v>
      </c>
    </row>
    <row r="90" spans="1:24" s="1561" customFormat="1" ht="11.25" hidden="1" customHeight="1">
      <c r="A90" s="24235"/>
      <c r="B90" s="447"/>
      <c r="D90" s="601" t="s">
        <v>1048</v>
      </c>
      <c r="E90" s="659" t="s">
        <v>1165</v>
      </c>
      <c r="F90" s="596" t="s">
        <v>1108</v>
      </c>
      <c r="G90" s="660"/>
      <c r="H90" s="952"/>
      <c r="I90" s="660"/>
      <c r="J90" s="952"/>
      <c r="K90" s="225"/>
      <c r="X90" s="692">
        <v>0</v>
      </c>
    </row>
    <row r="91" spans="1:24" s="1561" customFormat="1" ht="11.25" hidden="1" customHeight="1">
      <c r="A91" s="24235"/>
      <c r="B91" s="447"/>
      <c r="D91" s="601" t="s">
        <v>1126</v>
      </c>
      <c r="E91" s="659" t="s">
        <v>1166</v>
      </c>
      <c r="F91" s="596" t="s">
        <v>1108</v>
      </c>
      <c r="G91" s="660"/>
      <c r="H91" s="952"/>
      <c r="I91" s="660"/>
      <c r="J91" s="952"/>
      <c r="K91" s="225"/>
      <c r="X91" s="692">
        <v>0</v>
      </c>
    </row>
    <row r="92" spans="1:24" s="1561" customFormat="1" ht="11.25" hidden="1" customHeight="1">
      <c r="A92" s="24235"/>
      <c r="B92" s="447"/>
      <c r="D92" s="601" t="s">
        <v>1128</v>
      </c>
      <c r="E92" s="659" t="s">
        <v>1168</v>
      </c>
      <c r="F92" s="596" t="s">
        <v>1108</v>
      </c>
      <c r="G92" s="660"/>
      <c r="H92" s="952"/>
      <c r="I92" s="660"/>
      <c r="J92" s="952"/>
      <c r="K92" s="225"/>
      <c r="X92" s="692">
        <v>0</v>
      </c>
    </row>
    <row r="93" spans="1:24" s="1561" customFormat="1" ht="11.25" hidden="1" customHeight="1">
      <c r="A93" s="24235"/>
      <c r="B93" s="447"/>
      <c r="D93" s="601" t="s">
        <v>1175</v>
      </c>
      <c r="E93" s="659" t="s">
        <v>1170</v>
      </c>
      <c r="F93" s="596" t="s">
        <v>1108</v>
      </c>
      <c r="G93" s="660"/>
      <c r="H93" s="952"/>
      <c r="I93" s="660"/>
      <c r="J93" s="952"/>
      <c r="K93" s="225"/>
      <c r="X93" s="692">
        <v>0</v>
      </c>
    </row>
    <row r="94" spans="1:24" s="1561" customFormat="1" ht="11.25" hidden="1" customHeight="1">
      <c r="A94" s="24235"/>
      <c r="B94" s="447"/>
      <c r="D94" s="601" t="s">
        <v>1176</v>
      </c>
      <c r="E94" s="659" t="s">
        <v>1172</v>
      </c>
      <c r="F94" s="596" t="s">
        <v>1108</v>
      </c>
      <c r="G94" s="660"/>
      <c r="H94" s="952"/>
      <c r="I94" s="660"/>
      <c r="J94" s="952"/>
      <c r="K94" s="225"/>
      <c r="X94" s="692">
        <v>0</v>
      </c>
    </row>
    <row r="95" spans="1:24" s="1561" customFormat="1" ht="24.75" hidden="1" customHeight="1">
      <c r="A95" s="24235"/>
      <c r="B95" s="447"/>
      <c r="D95" s="601" t="s">
        <v>109</v>
      </c>
      <c r="E95" s="602" t="s">
        <v>1177</v>
      </c>
      <c r="F95" s="661" t="s">
        <v>808</v>
      </c>
      <c r="G95" s="663"/>
      <c r="H95" s="952"/>
      <c r="I95" s="663"/>
      <c r="J95" s="952"/>
      <c r="K95" s="225" t="s">
        <v>1178</v>
      </c>
      <c r="X95" s="692">
        <v>0</v>
      </c>
    </row>
    <row r="96" spans="1:24" s="1561" customFormat="1" ht="33.75" hidden="1" customHeight="1">
      <c r="A96" s="24235"/>
      <c r="B96" s="447"/>
      <c r="D96" s="601" t="s">
        <v>83</v>
      </c>
      <c r="E96" s="602" t="s">
        <v>1179</v>
      </c>
      <c r="F96" s="662" t="s">
        <v>1069</v>
      </c>
      <c r="G96" s="664"/>
      <c r="H96" s="952"/>
      <c r="I96" s="664"/>
      <c r="J96" s="952"/>
      <c r="K96" s="225"/>
      <c r="X96" s="692">
        <v>0</v>
      </c>
    </row>
    <row r="97" spans="1:24" s="1561" customFormat="1" ht="22.5" hidden="1" customHeight="1">
      <c r="A97" s="24235"/>
      <c r="B97" s="447" t="s">
        <v>838</v>
      </c>
      <c r="D97" s="601" t="s">
        <v>84</v>
      </c>
      <c r="E97" s="602" t="s">
        <v>1180</v>
      </c>
      <c r="F97" s="662" t="s">
        <v>535</v>
      </c>
      <c r="G97" s="321"/>
      <c r="H97" s="952"/>
      <c r="I97" s="321"/>
      <c r="J97" s="952"/>
      <c r="K97" s="225" t="s">
        <v>881</v>
      </c>
      <c r="X97" s="692">
        <v>0</v>
      </c>
    </row>
    <row r="98" spans="1:24" s="1561" customFormat="1" ht="45" hidden="1" customHeight="1">
      <c r="A98" s="24235"/>
      <c r="B98" s="447" t="s">
        <v>838</v>
      </c>
      <c r="D98" s="601" t="s">
        <v>1181</v>
      </c>
      <c r="E98" s="603" t="s">
        <v>1182</v>
      </c>
      <c r="F98" s="657" t="s">
        <v>535</v>
      </c>
      <c r="G98" s="321"/>
      <c r="H98" s="952"/>
      <c r="I98" s="321"/>
      <c r="J98" s="952"/>
      <c r="K98" s="225" t="s">
        <v>881</v>
      </c>
      <c r="X98" s="692">
        <v>0</v>
      </c>
    </row>
    <row r="99" spans="1:24" s="1561" customFormat="1" ht="95.25" hidden="1" customHeight="1">
      <c r="A99" s="24235"/>
      <c r="B99" s="447" t="s">
        <v>838</v>
      </c>
      <c r="D99" s="601" t="s">
        <v>90</v>
      </c>
      <c r="E99" s="602" t="s">
        <v>1183</v>
      </c>
      <c r="F99" s="657" t="s">
        <v>535</v>
      </c>
      <c r="G99" s="321"/>
      <c r="H99" s="952"/>
      <c r="I99" s="321"/>
      <c r="J99" s="952"/>
      <c r="K99" s="225" t="s">
        <v>881</v>
      </c>
      <c r="X99" s="692">
        <v>0</v>
      </c>
    </row>
    <row r="100" spans="1:24" s="1561" customFormat="1" ht="22.5" hidden="1" customHeight="1">
      <c r="A100" s="24235"/>
      <c r="B100" s="447" t="s">
        <v>838</v>
      </c>
      <c r="D100" s="601" t="s">
        <v>128</v>
      </c>
      <c r="E100" s="602" t="s">
        <v>1184</v>
      </c>
      <c r="F100" s="657" t="s">
        <v>535</v>
      </c>
      <c r="G100" s="321"/>
      <c r="H100" s="952"/>
      <c r="I100" s="321"/>
      <c r="J100" s="952"/>
      <c r="K100" s="225" t="s">
        <v>881</v>
      </c>
      <c r="X100" s="692">
        <v>0</v>
      </c>
    </row>
    <row r="101" spans="1:24" s="1561" customFormat="1" ht="11.45" customHeight="1">
      <c r="A101" s="962"/>
      <c r="B101" s="454"/>
      <c r="D101" s="963"/>
      <c r="E101" s="964"/>
      <c r="X101" s="445">
        <v>11</v>
      </c>
    </row>
    <row r="102" spans="1:24" ht="22.5" hidden="1" customHeight="1">
      <c r="A102" s="472" t="s">
        <v>73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93"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v>
      </c>
    </row>
    <row r="2" spans="1:22" s="1292" customFormat="1" ht="15" hidden="1" customHeight="1">
      <c r="C2" s="608"/>
      <c r="U2" s="356"/>
      <c r="V2" s="353">
        <v>0</v>
      </c>
    </row>
    <row r="3" spans="1:22" ht="22.5" hidden="1" customHeight="1">
      <c r="A3" s="441"/>
      <c r="B3" s="24236"/>
      <c r="C3" s="24237" t="s">
        <v>96</v>
      </c>
      <c r="D3" s="625" t="str">
        <f>B3&amp;".1"</f>
        <v>.1</v>
      </c>
      <c r="E3" s="626" t="s">
        <v>1185</v>
      </c>
      <c r="F3" s="627" t="s">
        <v>535</v>
      </c>
      <c r="G3" s="622"/>
      <c r="H3" s="337"/>
      <c r="I3" s="622"/>
      <c r="J3" s="337"/>
      <c r="K3" s="225" t="s">
        <v>1186</v>
      </c>
      <c r="V3" s="441">
        <v>0</v>
      </c>
    </row>
    <row r="4" spans="1:22" ht="15" hidden="1" customHeight="1">
      <c r="A4" s="441"/>
      <c r="B4" s="24236"/>
      <c r="C4" s="24237"/>
      <c r="D4" s="625" t="str">
        <f>B3&amp;".2"</f>
        <v>.2</v>
      </c>
      <c r="E4" s="626" t="s">
        <v>1187</v>
      </c>
      <c r="F4" s="627" t="s">
        <v>535</v>
      </c>
      <c r="G4" s="1636" t="s">
        <v>17</v>
      </c>
      <c r="H4" s="337"/>
      <c r="I4" s="1636" t="s">
        <v>17</v>
      </c>
      <c r="J4" s="337"/>
      <c r="K4" s="225" t="s">
        <v>1188</v>
      </c>
      <c r="V4" s="441">
        <v>0</v>
      </c>
    </row>
    <row r="5" spans="1:22" s="1292" customFormat="1" ht="15" hidden="1" customHeight="1">
      <c r="C5" s="608"/>
      <c r="U5" s="356"/>
      <c r="V5" s="353">
        <v>0</v>
      </c>
    </row>
    <row r="6" spans="1:22" ht="22.5" hidden="1" customHeight="1">
      <c r="A6" s="441"/>
      <c r="B6" s="24236"/>
      <c r="C6" s="24237" t="s">
        <v>96</v>
      </c>
      <c r="D6" s="625" t="str">
        <f>B6&amp;".1"</f>
        <v>.1</v>
      </c>
      <c r="E6" s="626" t="s">
        <v>1189</v>
      </c>
      <c r="F6" s="627" t="s">
        <v>535</v>
      </c>
      <c r="G6" s="622"/>
      <c r="H6" s="337"/>
      <c r="I6" s="622"/>
      <c r="J6" s="337"/>
      <c r="K6" s="225" t="s">
        <v>1190</v>
      </c>
      <c r="V6" s="441">
        <v>0</v>
      </c>
    </row>
    <row r="7" spans="1:22" ht="15" hidden="1" customHeight="1">
      <c r="A7" s="441"/>
      <c r="B7" s="24236"/>
      <c r="C7" s="24237"/>
      <c r="D7" s="625" t="str">
        <f>B6&amp;".2"</f>
        <v>.2</v>
      </c>
      <c r="E7" s="626" t="s">
        <v>1187</v>
      </c>
      <c r="F7" s="627" t="s">
        <v>535</v>
      </c>
      <c r="G7" s="1636" t="s">
        <v>17</v>
      </c>
      <c r="H7" s="337"/>
      <c r="I7" s="1636" t="s">
        <v>17</v>
      </c>
      <c r="J7" s="337"/>
      <c r="K7" s="225" t="s">
        <v>1188</v>
      </c>
      <c r="V7" s="441">
        <v>0</v>
      </c>
    </row>
    <row r="8" spans="1:22" s="1292" customFormat="1" ht="15" hidden="1" customHeight="1">
      <c r="C8" s="608"/>
      <c r="U8" s="356"/>
      <c r="V8" s="353">
        <v>0</v>
      </c>
    </row>
    <row r="9" spans="1:22" ht="22.5" hidden="1" customHeight="1">
      <c r="A9" s="441"/>
      <c r="B9" s="24236"/>
      <c r="C9" s="24237" t="s">
        <v>96</v>
      </c>
      <c r="D9" s="625" t="str">
        <f>B9&amp;".1"</f>
        <v>.1</v>
      </c>
      <c r="E9" s="626" t="s">
        <v>1191</v>
      </c>
      <c r="F9" s="627" t="s">
        <v>535</v>
      </c>
      <c r="G9" s="633" t="s">
        <v>17</v>
      </c>
      <c r="H9" s="337" t="s">
        <v>17</v>
      </c>
      <c r="I9" s="633" t="s">
        <v>17</v>
      </c>
      <c r="J9" s="337" t="s">
        <v>17</v>
      </c>
      <c r="K9" s="225"/>
      <c r="V9" s="441">
        <v>0</v>
      </c>
    </row>
    <row r="10" spans="1:22" ht="15" hidden="1" customHeight="1">
      <c r="A10" s="441"/>
      <c r="B10" s="24236"/>
      <c r="C10" s="24237"/>
      <c r="D10" s="625" t="str">
        <f>B9&amp;".2"</f>
        <v>.2</v>
      </c>
      <c r="E10" s="626" t="s">
        <v>1192</v>
      </c>
      <c r="F10" s="627" t="s">
        <v>535</v>
      </c>
      <c r="G10" s="1630" t="s">
        <v>17</v>
      </c>
      <c r="H10" s="337" t="s">
        <v>17</v>
      </c>
      <c r="I10" s="1630" t="s">
        <v>17</v>
      </c>
      <c r="J10" s="337" t="s">
        <v>17</v>
      </c>
      <c r="K10" s="225" t="s">
        <v>1193</v>
      </c>
      <c r="V10" s="441">
        <v>0</v>
      </c>
    </row>
    <row r="11" spans="1:22" ht="15" hidden="1" customHeight="1">
      <c r="A11" s="441"/>
      <c r="B11" s="24236"/>
      <c r="C11" s="24237"/>
      <c r="D11" s="625" t="str">
        <f>B9&amp;".3"</f>
        <v>.3</v>
      </c>
      <c r="E11" s="626" t="s">
        <v>1194</v>
      </c>
      <c r="F11" s="627" t="s">
        <v>535</v>
      </c>
      <c r="G11" s="1630" t="s">
        <v>17</v>
      </c>
      <c r="H11" s="337" t="s">
        <v>17</v>
      </c>
      <c r="I11" s="1630" t="s">
        <v>17</v>
      </c>
      <c r="J11" s="337" t="s">
        <v>17</v>
      </c>
      <c r="K11" s="225" t="s">
        <v>1195</v>
      </c>
      <c r="V11" s="441">
        <v>0</v>
      </c>
    </row>
    <row r="12" spans="1:22" s="1292" customFormat="1" ht="15" hidden="1" customHeight="1">
      <c r="C12" s="608"/>
      <c r="U12" s="356"/>
      <c r="V12" s="353">
        <v>0</v>
      </c>
    </row>
    <row r="13" spans="1:22" ht="33.75" hidden="1" customHeight="1">
      <c r="A13" s="441"/>
      <c r="B13" s="24236"/>
      <c r="C13" s="24237" t="s">
        <v>96</v>
      </c>
      <c r="D13" s="625" t="str">
        <f>B13&amp;".1"</f>
        <v>.1</v>
      </c>
      <c r="E13" s="626" t="s">
        <v>1196</v>
      </c>
      <c r="F13" s="627" t="s">
        <v>535</v>
      </c>
      <c r="G13" s="633" t="s">
        <v>17</v>
      </c>
      <c r="H13" s="337" t="s">
        <v>17</v>
      </c>
      <c r="I13" s="633" t="s">
        <v>17</v>
      </c>
      <c r="J13" s="337" t="s">
        <v>17</v>
      </c>
      <c r="K13" s="225" t="s">
        <v>1197</v>
      </c>
      <c r="V13" s="441">
        <v>0</v>
      </c>
    </row>
    <row r="14" spans="1:22" ht="15" hidden="1" customHeight="1">
      <c r="B14" s="24236"/>
      <c r="C14" s="24237"/>
      <c r="D14" s="625" t="str">
        <f>B13&amp;".2"</f>
        <v>.2</v>
      </c>
      <c r="E14" s="626" t="s">
        <v>1198</v>
      </c>
      <c r="F14" s="627" t="s">
        <v>535</v>
      </c>
      <c r="G14" s="1630" t="s">
        <v>17</v>
      </c>
      <c r="H14" s="337" t="s">
        <v>17</v>
      </c>
      <c r="I14" s="1630" t="s">
        <v>17</v>
      </c>
      <c r="J14" s="337" t="s">
        <v>17</v>
      </c>
      <c r="K14" s="225" t="s">
        <v>1199</v>
      </c>
      <c r="V14" s="441">
        <v>0</v>
      </c>
    </row>
    <row r="15" spans="1:22" s="1292" customFormat="1" ht="15" hidden="1" customHeight="1">
      <c r="C15" s="608"/>
      <c r="U15" s="356"/>
      <c r="V15" s="353">
        <v>0</v>
      </c>
    </row>
    <row r="16" spans="1:22" s="1292" customFormat="1" ht="15" hidden="1" customHeight="1">
      <c r="C16" s="608"/>
      <c r="U16" s="356"/>
      <c r="V16" s="353">
        <v>0</v>
      </c>
    </row>
    <row r="17" spans="1:22" s="1292" customFormat="1" ht="15" hidden="1" customHeight="1">
      <c r="C17" s="608"/>
      <c r="U17" s="356"/>
      <c r="V17" s="353">
        <v>0</v>
      </c>
    </row>
    <row r="18" spans="1:22" s="1292" customFormat="1" ht="15" hidden="1" customHeight="1">
      <c r="C18" s="608"/>
      <c r="U18" s="356"/>
      <c r="V18" s="353">
        <v>0</v>
      </c>
    </row>
    <row r="19" spans="1:22" s="1292" customFormat="1" ht="15" hidden="1" customHeight="1">
      <c r="C19" s="608"/>
      <c r="U19" s="356"/>
      <c r="V19" s="353">
        <v>0</v>
      </c>
    </row>
    <row r="20" spans="1:22" s="1292"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4069"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069"/>
      <c r="F22" s="24069"/>
      <c r="G22" s="24069"/>
      <c r="H22" s="24069"/>
      <c r="I22" s="24069"/>
      <c r="J22" s="612"/>
      <c r="K22" s="473"/>
      <c r="V22" s="441">
        <v>22</v>
      </c>
    </row>
    <row r="23" spans="1:22" ht="15.75" customHeight="1">
      <c r="C23" s="113"/>
      <c r="D23" s="24042" t="str">
        <f>IF(org=0,"Не определено",org)</f>
        <v>ООО "Смоленскрегионтеплоэнерго"</v>
      </c>
      <c r="E23" s="24042"/>
      <c r="F23" s="24042"/>
      <c r="G23" s="24042"/>
      <c r="H23" s="24042"/>
      <c r="I23" s="24042"/>
      <c r="J23" s="612"/>
      <c r="K23" s="473"/>
      <c r="V23" s="441">
        <v>15</v>
      </c>
    </row>
    <row r="24" spans="1:22" ht="15.75" customHeight="1">
      <c r="C24" s="113"/>
      <c r="D24" s="445"/>
      <c r="E24" s="445"/>
      <c r="F24" s="445"/>
      <c r="G24" s="473">
        <v>22</v>
      </c>
      <c r="H24" s="688"/>
      <c r="I24" s="473">
        <v>22</v>
      </c>
      <c r="J24" s="688"/>
      <c r="V24" s="441">
        <v>15</v>
      </c>
    </row>
    <row r="25" spans="1:22" s="1561" customFormat="1" ht="1.1499999999999999" customHeight="1">
      <c r="A25" s="693"/>
      <c r="C25" s="113"/>
      <c r="D25" s="445"/>
      <c r="E25" s="445"/>
      <c r="F25" s="445"/>
      <c r="G25" s="473"/>
      <c r="H25" s="688"/>
      <c r="I25" s="473" t="s">
        <v>223</v>
      </c>
      <c r="J25" s="688"/>
      <c r="K25" s="353"/>
      <c r="U25" s="611"/>
      <c r="V25" s="692">
        <v>1</v>
      </c>
    </row>
    <row r="26" spans="1:22" ht="15.75" customHeight="1">
      <c r="C26" s="113"/>
      <c r="D26" s="647"/>
      <c r="E26" s="24213" t="s">
        <v>214</v>
      </c>
      <c r="F26" s="24214"/>
      <c r="G26" s="24238" t="str">
        <f>IF(G25="","",INDEX(DIFFERENTIATION_UNMERGE_VD,MATCH(G25,DIFFERENTIATION_ID_DIFF,0)))</f>
        <v/>
      </c>
      <c r="H26" s="24239"/>
      <c r="I26" s="24238">
        <f>IF(I25="","",INDEX(DIFFERENTIATION_UNMERGE_VD,MATCH(I25,DIFFERENTIATION_ID_DIFF,0)))</f>
        <v>0</v>
      </c>
      <c r="J26" s="24239"/>
      <c r="K26" s="24022" t="s">
        <v>530</v>
      </c>
      <c r="V26" s="441">
        <v>15</v>
      </c>
    </row>
    <row r="27" spans="1:22" s="1561" customFormat="1" ht="15.75" customHeight="1">
      <c r="A27" s="693"/>
      <c r="C27" s="113"/>
      <c r="D27" s="647"/>
      <c r="E27" s="24213" t="s">
        <v>814</v>
      </c>
      <c r="F27" s="24214"/>
      <c r="G27" s="24238" t="str">
        <f>IF(G25="","",INDEX(DIFFERENTIATION_UNMERGE_AREA,MATCH(G25,DIFFERENTIATION_ID_DIFF,0)))</f>
        <v/>
      </c>
      <c r="H27" s="24239"/>
      <c r="I27" s="24238" t="str">
        <f>IF(I25="","",INDEX(DIFFERENTIATION_UNMERGE_AREA,MATCH(I25,DIFFERENTIATION_ID_DIFF,0)))</f>
        <v/>
      </c>
      <c r="J27" s="24239"/>
      <c r="K27" s="24026"/>
      <c r="U27" s="611"/>
      <c r="V27" s="692">
        <v>15</v>
      </c>
    </row>
    <row r="28" spans="1:22" s="1561" customFormat="1" ht="15.75" customHeight="1">
      <c r="A28" s="693"/>
      <c r="C28" s="113"/>
      <c r="D28" s="647"/>
      <c r="E28" s="24213" t="s">
        <v>815</v>
      </c>
      <c r="F28" s="24214"/>
      <c r="G28" s="24238" t="str">
        <f>IF(G25="","",INDEX(DIFFERENTIATION_UNMERGE_SYSTEM,MATCH(G25,DIFFERENTIATION_ID_DIFF,0)))</f>
        <v/>
      </c>
      <c r="H28" s="24239"/>
      <c r="I28" s="24238" t="str">
        <f>IF(I25="","",INDEX(DIFFERENTIATION_UNMERGE_SYSTEM,MATCH(I25,DIFFERENTIATION_ID_DIFF,0)))</f>
        <v>без дифференциации</v>
      </c>
      <c r="J28" s="24239"/>
      <c r="K28" s="24026"/>
      <c r="U28" s="611"/>
      <c r="V28" s="692">
        <v>15</v>
      </c>
    </row>
    <row r="29" spans="1:22" s="1561" customFormat="1" ht="15.75" customHeight="1">
      <c r="A29" s="693"/>
      <c r="C29" s="113"/>
      <c r="D29" s="24215" t="s">
        <v>529</v>
      </c>
      <c r="E29" s="24216"/>
      <c r="F29" s="24216"/>
      <c r="G29" s="816"/>
      <c r="H29" s="816"/>
      <c r="I29" s="816"/>
      <c r="J29" s="817"/>
      <c r="K29" s="24026"/>
      <c r="U29" s="611"/>
      <c r="V29" s="692">
        <v>15</v>
      </c>
    </row>
    <row r="30" spans="1:22" ht="35.65" customHeight="1">
      <c r="C30" s="113"/>
      <c r="D30" s="695" t="s">
        <v>79</v>
      </c>
      <c r="E30" s="694" t="s">
        <v>531</v>
      </c>
      <c r="F30" s="694" t="s">
        <v>816</v>
      </c>
      <c r="G30" s="738" t="s">
        <v>532</v>
      </c>
      <c r="H30" s="737" t="s">
        <v>619</v>
      </c>
      <c r="I30" s="620" t="s">
        <v>532</v>
      </c>
      <c r="J30" s="401" t="s">
        <v>619</v>
      </c>
      <c r="K30" s="24029"/>
      <c r="V30" s="441">
        <v>34</v>
      </c>
    </row>
    <row r="31" spans="1:22" ht="15" hidden="1" customHeight="1">
      <c r="C31" s="113"/>
      <c r="D31" s="529"/>
      <c r="E31" s="529"/>
      <c r="F31" s="529"/>
      <c r="G31" s="595"/>
      <c r="H31" s="595"/>
      <c r="I31" s="595"/>
      <c r="J31" s="595"/>
      <c r="K31" s="225"/>
      <c r="V31" s="441">
        <v>0</v>
      </c>
    </row>
    <row r="32" spans="1:22" ht="24" customHeight="1">
      <c r="A32" s="441"/>
      <c r="B32" s="441" t="s">
        <v>1200</v>
      </c>
      <c r="C32" s="462"/>
      <c r="D32" s="628">
        <v>1</v>
      </c>
      <c r="E32" s="629" t="s">
        <v>1201</v>
      </c>
      <c r="F32" s="627" t="s">
        <v>535</v>
      </c>
      <c r="G32" s="743" t="s">
        <v>535</v>
      </c>
      <c r="H32" s="743" t="s">
        <v>535</v>
      </c>
      <c r="I32" s="627" t="s">
        <v>535</v>
      </c>
      <c r="J32" s="627" t="s">
        <v>535</v>
      </c>
      <c r="K32" s="225"/>
      <c r="V32" s="441">
        <v>23</v>
      </c>
    </row>
    <row r="33" spans="1:22" ht="11.45" customHeight="1">
      <c r="A33" s="441"/>
      <c r="C33" s="441"/>
      <c r="D33" s="283"/>
      <c r="E33" s="516" t="s">
        <v>836</v>
      </c>
      <c r="F33" s="508"/>
      <c r="G33" s="508"/>
      <c r="H33" s="508"/>
      <c r="I33" s="508"/>
      <c r="J33" s="508"/>
      <c r="K33" s="509"/>
      <c r="U33" s="441"/>
      <c r="V33" s="441">
        <v>11</v>
      </c>
    </row>
    <row r="34" spans="1:22" ht="24" customHeight="1">
      <c r="A34" s="441"/>
      <c r="B34" s="517" t="s">
        <v>886</v>
      </c>
      <c r="C34" s="462"/>
      <c r="D34" s="628">
        <v>2</v>
      </c>
      <c r="E34" s="629" t="s">
        <v>1202</v>
      </c>
      <c r="F34" s="750" t="s">
        <v>535</v>
      </c>
      <c r="G34" s="750" t="s">
        <v>535</v>
      </c>
      <c r="H34" s="750" t="s">
        <v>535</v>
      </c>
      <c r="I34" s="627"/>
      <c r="J34" s="627"/>
      <c r="K34" s="225"/>
      <c r="V34" s="441">
        <v>23</v>
      </c>
    </row>
    <row r="35" spans="1:22" ht="11.45" customHeight="1">
      <c r="A35" s="441"/>
      <c r="C35" s="441"/>
      <c r="D35" s="283"/>
      <c r="E35" s="516" t="s">
        <v>1203</v>
      </c>
      <c r="F35" s="508"/>
      <c r="G35" s="630"/>
      <c r="H35" s="508"/>
      <c r="I35" s="630"/>
      <c r="J35" s="508"/>
      <c r="K35" s="509"/>
      <c r="U35" s="441"/>
      <c r="V35" s="441">
        <v>11</v>
      </c>
    </row>
    <row r="36" spans="1:22" ht="71.25" customHeight="1">
      <c r="A36" s="441"/>
      <c r="B36" s="441" t="s">
        <v>1204</v>
      </c>
      <c r="C36" s="462"/>
      <c r="D36" s="628">
        <v>3</v>
      </c>
      <c r="E36" s="629" t="s">
        <v>1205</v>
      </c>
      <c r="F36" s="631" t="s">
        <v>535</v>
      </c>
      <c r="G36" s="744" t="s">
        <v>1206</v>
      </c>
      <c r="H36" s="743" t="s">
        <v>535</v>
      </c>
      <c r="I36" s="460" t="s">
        <v>1206</v>
      </c>
      <c r="J36" s="627" t="s">
        <v>535</v>
      </c>
      <c r="K36" s="225" t="s">
        <v>1207</v>
      </c>
      <c r="V36" s="441">
        <v>68</v>
      </c>
    </row>
    <row r="37" spans="1:22" ht="11.45" customHeight="1">
      <c r="A37" s="441"/>
      <c r="C37" s="441"/>
      <c r="D37" s="283"/>
      <c r="E37" s="516" t="s">
        <v>1208</v>
      </c>
      <c r="F37" s="508"/>
      <c r="G37" s="630"/>
      <c r="H37" s="630"/>
      <c r="I37" s="630"/>
      <c r="J37" s="630"/>
      <c r="K37" s="509"/>
      <c r="U37" s="441"/>
      <c r="V37" s="441">
        <v>11</v>
      </c>
    </row>
    <row r="38" spans="1:22" ht="71.25" customHeight="1">
      <c r="A38" s="441"/>
      <c r="B38" s="441" t="s">
        <v>1209</v>
      </c>
      <c r="C38" s="462"/>
      <c r="D38" s="628">
        <v>4</v>
      </c>
      <c r="E38" s="629" t="s">
        <v>1210</v>
      </c>
      <c r="F38" s="631" t="s">
        <v>535</v>
      </c>
      <c r="G38" s="744" t="s">
        <v>1206</v>
      </c>
      <c r="H38" s="745" t="s">
        <v>535</v>
      </c>
      <c r="I38" s="460" t="s">
        <v>1206</v>
      </c>
      <c r="J38" s="457" t="s">
        <v>535</v>
      </c>
      <c r="K38" s="615" t="s">
        <v>1211</v>
      </c>
      <c r="V38" s="441">
        <v>68</v>
      </c>
    </row>
    <row r="39" spans="1:22" ht="11.45" customHeight="1">
      <c r="A39" s="441"/>
      <c r="C39" s="441"/>
      <c r="D39" s="283"/>
      <c r="E39" s="516" t="s">
        <v>1212</v>
      </c>
      <c r="F39" s="508"/>
      <c r="G39" s="508"/>
      <c r="H39" s="632"/>
      <c r="I39" s="508"/>
      <c r="J39" s="632"/>
      <c r="K39" s="509"/>
      <c r="U39" s="441"/>
      <c r="V39" s="441">
        <v>11</v>
      </c>
    </row>
    <row r="40" spans="1:22" ht="22.5" hidden="1" customHeight="1">
      <c r="A40" s="385" t="s">
        <v>73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37"/>
  <sheetViews>
    <sheetView showGridLines="0" zoomScale="90" workbookViewId="0">
      <pane xSplit="6" ySplit="12" topLeftCell="I13" activePane="bottomRight" state="frozen"/>
      <selection pane="topRight" activeCell="G1" sqref="G1"/>
      <selection pane="bottomLeft" activeCell="A13" sqref="A13"/>
      <selection pane="bottomRight" activeCell="R194" sqref="R194:R195"/>
    </sheetView>
  </sheetViews>
  <sheetFormatPr defaultColWidth="9.140625" defaultRowHeight="11.25" customHeight="1"/>
  <cols>
    <col min="1" max="2" width="3.7109375" style="1550" hidden="1" customWidth="1"/>
    <col min="3" max="3" width="3" style="1750" customWidth="1"/>
    <col min="4" max="4" width="6" style="1750" customWidth="1"/>
    <col min="5" max="5" width="42" style="1750" customWidth="1"/>
    <col min="6" max="6" width="15" style="1750" customWidth="1"/>
    <col min="7" max="7" width="42" style="1750" customWidth="1"/>
    <col min="8" max="8" width="3" style="1750" customWidth="1"/>
    <col min="9" max="9" width="5" style="1750" customWidth="1"/>
    <col min="10" max="10" width="47" style="1750" customWidth="1"/>
    <col min="11" max="12" width="3" style="1750" customWidth="1"/>
    <col min="13" max="13" width="5" style="1750" customWidth="1"/>
    <col min="14" max="14" width="28" style="1750" customWidth="1"/>
    <col min="15" max="16" width="3" style="1750" customWidth="1"/>
    <col min="17" max="17" width="5" style="1750" customWidth="1"/>
    <col min="18" max="18" width="34" style="1750" customWidth="1"/>
    <col min="19" max="20" width="3.7109375" style="1750" hidden="1" customWidth="1"/>
    <col min="21" max="21" width="5.7109375" style="1750" hidden="1" customWidth="1"/>
    <col min="22" max="22" width="34.42578125" style="1750" hidden="1" customWidth="1"/>
    <col min="23" max="23" width="30" style="1750" customWidth="1"/>
    <col min="24" max="24" width="3" style="1750"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50" hidden="1"/>
  </cols>
  <sheetData>
    <row r="1" spans="1:44" ht="11.25" hidden="1" customHeight="1">
      <c r="A1" s="93"/>
      <c r="AR1" s="43" t="s">
        <v>1</v>
      </c>
    </row>
    <row r="2" spans="1:44" ht="11.25" hidden="1" customHeight="1">
      <c r="AR2" s="43">
        <v>0</v>
      </c>
    </row>
    <row r="3" spans="1:44" ht="11.25" hidden="1" customHeight="1">
      <c r="AR3" s="43">
        <v>0</v>
      </c>
    </row>
    <row r="4" spans="1:44" ht="3" customHeight="1">
      <c r="AR4" s="43">
        <v>3</v>
      </c>
    </row>
    <row r="5" spans="1:44" s="525" customFormat="1" ht="30.4" customHeight="1">
      <c r="A5" s="91"/>
      <c r="B5" s="91"/>
      <c r="D5" s="2400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4003"/>
      <c r="F5" s="24003"/>
      <c r="G5" s="24003"/>
      <c r="H5" s="24003"/>
      <c r="I5" s="24003"/>
      <c r="J5" s="24004"/>
      <c r="K5" s="201"/>
      <c r="L5" s="80"/>
      <c r="M5" s="80"/>
      <c r="N5" s="80"/>
      <c r="O5" s="80"/>
      <c r="P5" s="80"/>
      <c r="Q5" s="80"/>
      <c r="R5" s="80"/>
      <c r="S5" s="226"/>
      <c r="T5" s="226"/>
      <c r="U5" s="226"/>
      <c r="V5" s="226"/>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4008" t="str">
        <f>IF(org=0,"Не определено",org)</f>
        <v>ООО "Смоленскрегионтеплоэнерго"</v>
      </c>
      <c r="E6" s="24008"/>
      <c r="F6" s="24008"/>
      <c r="G6" s="24008"/>
      <c r="H6" s="24008"/>
      <c r="I6" s="24008"/>
      <c r="J6" s="24008"/>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5" customFormat="1" ht="11.45" customHeight="1">
      <c r="A7" s="148"/>
      <c r="B7" s="148"/>
      <c r="D7" s="24005"/>
      <c r="E7" s="24006"/>
      <c r="F7" s="24006"/>
      <c r="G7" s="24006"/>
      <c r="H7" s="24006"/>
      <c r="I7" s="24006"/>
      <c r="J7" s="24007"/>
      <c r="Y7" s="1188"/>
      <c r="Z7" s="1188"/>
      <c r="AA7" s="1188"/>
      <c r="AB7" s="1188"/>
      <c r="AC7" s="1188"/>
      <c r="AD7" s="1188"/>
      <c r="AE7" s="1188"/>
      <c r="AF7" s="1188"/>
      <c r="AG7" s="1188"/>
      <c r="AH7" s="1188"/>
      <c r="AI7" s="1188"/>
      <c r="AJ7" s="1188"/>
      <c r="AK7" s="1188"/>
      <c r="AL7" s="1188"/>
      <c r="AM7" s="1188"/>
      <c r="AN7" s="1188"/>
      <c r="AO7" s="1188"/>
      <c r="AP7" s="1188"/>
      <c r="AQ7" s="1188"/>
      <c r="AR7" s="212">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3947" t="s">
        <v>79</v>
      </c>
      <c r="E9" s="23928" t="s">
        <v>228</v>
      </c>
      <c r="F9" s="23927"/>
      <c r="G9" s="23947" t="s">
        <v>214</v>
      </c>
      <c r="H9" s="23947" t="s">
        <v>79</v>
      </c>
      <c r="I9" s="23947"/>
      <c r="J9" s="23947" t="s">
        <v>229</v>
      </c>
      <c r="K9" s="24009" t="s">
        <v>230</v>
      </c>
      <c r="L9" s="24009"/>
      <c r="M9" s="24009"/>
      <c r="N9" s="24009"/>
      <c r="O9" s="24009" t="s">
        <v>231</v>
      </c>
      <c r="P9" s="24009"/>
      <c r="Q9" s="24009"/>
      <c r="R9" s="24009"/>
      <c r="S9" s="24009" t="s">
        <v>232</v>
      </c>
      <c r="T9" s="24009"/>
      <c r="U9" s="24009"/>
      <c r="V9" s="24009"/>
      <c r="W9" s="23947" t="s">
        <v>233</v>
      </c>
      <c r="AR9" s="43">
        <v>27</v>
      </c>
    </row>
    <row r="10" spans="1:44" ht="31.5" customHeight="1">
      <c r="D10" s="23947"/>
      <c r="E10" s="1210" t="s">
        <v>80</v>
      </c>
      <c r="F10" s="1210" t="s">
        <v>234</v>
      </c>
      <c r="G10" s="23947"/>
      <c r="H10" s="23947"/>
      <c r="I10" s="23947"/>
      <c r="J10" s="23947"/>
      <c r="K10" s="49" t="s">
        <v>217</v>
      </c>
      <c r="L10" s="23947" t="s">
        <v>79</v>
      </c>
      <c r="M10" s="23947"/>
      <c r="N10" s="49" t="s">
        <v>235</v>
      </c>
      <c r="O10" s="49" t="s">
        <v>217</v>
      </c>
      <c r="P10" s="23947" t="s">
        <v>79</v>
      </c>
      <c r="Q10" s="23947"/>
      <c r="R10" s="49" t="s">
        <v>235</v>
      </c>
      <c r="S10" s="219" t="s">
        <v>217</v>
      </c>
      <c r="T10" s="23947" t="s">
        <v>79</v>
      </c>
      <c r="U10" s="23947"/>
      <c r="V10" s="219" t="s">
        <v>80</v>
      </c>
      <c r="W10" s="23947"/>
      <c r="Z10" s="1185" t="s">
        <v>236</v>
      </c>
      <c r="AA10" s="1185" t="s">
        <v>237</v>
      </c>
      <c r="AB10" s="1185" t="s">
        <v>238</v>
      </c>
      <c r="AC10" s="1185" t="s">
        <v>239</v>
      </c>
      <c r="AD10" s="1185" t="s">
        <v>240</v>
      </c>
      <c r="AE10" s="1185" t="s">
        <v>241</v>
      </c>
      <c r="AF10" s="1185" t="s">
        <v>242</v>
      </c>
      <c r="AG10" s="1185" t="s">
        <v>243</v>
      </c>
      <c r="AH10" s="1185" t="s">
        <v>244</v>
      </c>
      <c r="AI10" s="1185" t="s">
        <v>245</v>
      </c>
      <c r="AJ10" s="1185" t="s">
        <v>246</v>
      </c>
      <c r="AK10" s="1185" t="s">
        <v>247</v>
      </c>
      <c r="AL10" s="1185" t="s">
        <v>248</v>
      </c>
      <c r="AM10" s="1185" t="s">
        <v>249</v>
      </c>
      <c r="AN10" s="1185" t="s">
        <v>250</v>
      </c>
      <c r="AO10" s="1185" t="s">
        <v>251</v>
      </c>
      <c r="AP10" s="1185" t="s">
        <v>252</v>
      </c>
      <c r="AQ10" s="1185" t="s">
        <v>253</v>
      </c>
      <c r="AR10" s="43">
        <v>30</v>
      </c>
    </row>
    <row r="11" spans="1:44" s="1550" customFormat="1" ht="3.75" hidden="1" customHeight="1">
      <c r="D11" s="1175" t="s">
        <v>218</v>
      </c>
      <c r="E11" s="1175" t="s">
        <v>95</v>
      </c>
      <c r="F11" s="1175"/>
      <c r="G11" s="1175" t="s">
        <v>81</v>
      </c>
      <c r="H11" s="24001" t="s">
        <v>109</v>
      </c>
      <c r="I11" s="24001"/>
      <c r="J11" s="1175" t="s">
        <v>83</v>
      </c>
      <c r="K11" s="1175" t="s">
        <v>84</v>
      </c>
      <c r="L11" s="24001" t="s">
        <v>90</v>
      </c>
      <c r="M11" s="24001"/>
      <c r="N11" s="1175" t="s">
        <v>128</v>
      </c>
      <c r="O11" s="1175" t="s">
        <v>133</v>
      </c>
      <c r="P11" s="24001" t="s">
        <v>138</v>
      </c>
      <c r="Q11" s="24001"/>
      <c r="R11" s="1175" t="s">
        <v>147</v>
      </c>
      <c r="S11" s="1175" t="s">
        <v>138</v>
      </c>
      <c r="T11" s="24001" t="s">
        <v>147</v>
      </c>
      <c r="U11" s="24001"/>
      <c r="V11" s="1175" t="s">
        <v>101</v>
      </c>
      <c r="W11" s="1175" t="s">
        <v>154</v>
      </c>
      <c r="Y11" s="1185"/>
      <c r="Z11" s="1185"/>
      <c r="AA11" s="1185"/>
      <c r="AB11" s="1185"/>
      <c r="AC11" s="1185"/>
      <c r="AD11" s="1185"/>
      <c r="AE11" s="1185"/>
      <c r="AF11" s="1185"/>
      <c r="AG11" s="1185"/>
      <c r="AH11" s="1185"/>
      <c r="AI11" s="1185"/>
      <c r="AJ11" s="1185"/>
      <c r="AK11" s="1185"/>
      <c r="AL11" s="1185"/>
      <c r="AM11" s="1185"/>
      <c r="AN11" s="1185"/>
      <c r="AO11" s="1185"/>
      <c r="AP11" s="1185"/>
      <c r="AQ11" s="1185"/>
      <c r="AR11" s="213">
        <v>0</v>
      </c>
    </row>
    <row r="12" spans="1:44" ht="3.75" hidden="1" customHeight="1">
      <c r="C12" s="146"/>
      <c r="D12" s="1208">
        <v>0</v>
      </c>
      <c r="E12" s="186"/>
      <c r="F12" s="186"/>
      <c r="G12" s="186"/>
      <c r="H12" s="187"/>
      <c r="I12" s="187"/>
      <c r="J12" s="95"/>
      <c r="K12" s="51"/>
      <c r="L12" s="95"/>
      <c r="M12" s="95"/>
      <c r="N12" s="188"/>
      <c r="O12" s="51"/>
      <c r="P12" s="95"/>
      <c r="Q12" s="95"/>
      <c r="R12" s="189"/>
      <c r="S12" s="220"/>
      <c r="T12" s="228"/>
      <c r="U12" s="228"/>
      <c r="V12" s="232"/>
      <c r="W12" s="51"/>
      <c r="X12" s="79"/>
      <c r="AR12" s="43">
        <v>0</v>
      </c>
    </row>
    <row r="13" spans="1:44" s="1750" customFormat="1" ht="11.25" hidden="1" customHeight="1">
      <c r="A13" s="257"/>
      <c r="C13" s="146"/>
      <c r="D13" s="23980">
        <v>1</v>
      </c>
      <c r="E13" s="23969" t="s">
        <v>254</v>
      </c>
      <c r="F13" s="23982" t="s">
        <v>6</v>
      </c>
      <c r="G13" s="23969"/>
      <c r="H13" s="23971"/>
      <c r="I13" s="23973"/>
      <c r="J13" s="23975"/>
      <c r="K13" s="23967"/>
      <c r="L13" s="23967"/>
      <c r="M13" s="23967"/>
      <c r="N13" s="23978"/>
      <c r="O13" s="23967"/>
      <c r="P13" s="23967"/>
      <c r="Q13" s="23967"/>
      <c r="R13" s="23965"/>
      <c r="S13" s="23967"/>
      <c r="T13" s="1346"/>
      <c r="U13" s="1346"/>
      <c r="V13" s="1345"/>
      <c r="W13" s="1222"/>
      <c r="Y13" s="1193"/>
      <c r="Z13" s="1193"/>
      <c r="AA13" s="1193"/>
      <c r="AB13" s="1193"/>
      <c r="AC13" s="1193" t="s">
        <v>255</v>
      </c>
      <c r="AD13" s="1193" t="s">
        <v>256</v>
      </c>
      <c r="AE13" s="1193" t="s">
        <v>257</v>
      </c>
      <c r="AF13" s="1193" t="s">
        <v>258</v>
      </c>
      <c r="AG13" s="1193" t="s">
        <v>259</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50" customFormat="1" ht="11.25" hidden="1" customHeight="1">
      <c r="A14" s="257"/>
      <c r="C14" s="256"/>
      <c r="D14" s="23980"/>
      <c r="E14" s="23969"/>
      <c r="F14" s="23983"/>
      <c r="G14" s="23969"/>
      <c r="H14" s="23972"/>
      <c r="I14" s="23974"/>
      <c r="J14" s="23976"/>
      <c r="K14" s="23968"/>
      <c r="L14" s="23968"/>
      <c r="M14" s="23968"/>
      <c r="N14" s="23979"/>
      <c r="O14" s="23968"/>
      <c r="P14" s="23968"/>
      <c r="Q14" s="23968"/>
      <c r="R14" s="23966"/>
      <c r="S14" s="23968"/>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50" customFormat="1" ht="11.25" hidden="1" customHeight="1">
      <c r="A15" s="257"/>
      <c r="C15" s="146"/>
      <c r="D15" s="23980"/>
      <c r="E15" s="23969"/>
      <c r="F15" s="23983"/>
      <c r="G15" s="23969"/>
      <c r="H15" s="23972"/>
      <c r="I15" s="23974"/>
      <c r="J15" s="23977"/>
      <c r="K15" s="23968"/>
      <c r="L15" s="23968"/>
      <c r="M15" s="23968"/>
      <c r="N15" s="23966"/>
      <c r="O15" s="23968"/>
      <c r="P15" s="1344"/>
      <c r="Q15" s="1223"/>
      <c r="R15" s="1223"/>
      <c r="S15" s="265"/>
      <c r="T15" s="265"/>
      <c r="U15" s="265"/>
      <c r="V15" s="265"/>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50" customFormat="1" ht="11.25" hidden="1" customHeight="1">
      <c r="A16" s="257"/>
      <c r="C16" s="256"/>
      <c r="D16" s="23980"/>
      <c r="E16" s="23969"/>
      <c r="F16" s="23983"/>
      <c r="G16" s="23969"/>
      <c r="H16" s="23972"/>
      <c r="I16" s="23974"/>
      <c r="J16" s="23977"/>
      <c r="K16" s="23968"/>
      <c r="L16" s="1223"/>
      <c r="M16" s="1223"/>
      <c r="N16" s="1223"/>
      <c r="O16" s="1223"/>
      <c r="P16" s="1223"/>
      <c r="Q16" s="1223"/>
      <c r="R16" s="1223"/>
      <c r="S16" s="265"/>
      <c r="T16" s="265"/>
      <c r="U16" s="265"/>
      <c r="V16" s="265"/>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50" customFormat="1" ht="11.25" hidden="1" customHeight="1">
      <c r="A17" s="257"/>
      <c r="C17" s="256"/>
      <c r="D17" s="23981"/>
      <c r="E17" s="23970"/>
      <c r="F17" s="23984"/>
      <c r="G17" s="23970"/>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50" customFormat="1" ht="11.25" hidden="1" customHeight="1">
      <c r="A18" s="257"/>
      <c r="C18" s="146"/>
      <c r="D18" s="23980">
        <v>2</v>
      </c>
      <c r="E18" s="23999"/>
      <c r="F18" s="23982" t="s">
        <v>6</v>
      </c>
      <c r="G18" s="23969"/>
      <c r="H18" s="23971"/>
      <c r="I18" s="23973"/>
      <c r="J18" s="23975"/>
      <c r="K18" s="23967"/>
      <c r="L18" s="23967"/>
      <c r="M18" s="23967"/>
      <c r="N18" s="23978"/>
      <c r="O18" s="23967"/>
      <c r="P18" s="23967"/>
      <c r="Q18" s="23967"/>
      <c r="R18" s="23965"/>
      <c r="S18" s="23967"/>
      <c r="T18" s="1346"/>
      <c r="U18" s="1346"/>
      <c r="V18" s="1345"/>
      <c r="W18" s="1222"/>
      <c r="X18" s="1193"/>
      <c r="Y18" s="1193"/>
      <c r="Z18" s="1193"/>
      <c r="AA18" s="1193"/>
      <c r="AB18" s="1193"/>
      <c r="AC18" s="1193" t="s">
        <v>260</v>
      </c>
      <c r="AD18" s="1193" t="s">
        <v>261</v>
      </c>
      <c r="AE18" s="1193" t="s">
        <v>262</v>
      </c>
      <c r="AF18" s="1193" t="s">
        <v>263</v>
      </c>
      <c r="AG18" s="1193" t="s">
        <v>264</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70">
        <f>$I$18</f>
        <v>0</v>
      </c>
      <c r="AO18" s="1193" t="str">
        <f>$I$18&amp;"."&amp;$M$18</f>
        <v>.</v>
      </c>
      <c r="AP18" s="1185" t="str">
        <f>$I$18&amp;"."&amp;$M$18&amp;"."&amp;$Q$18</f>
        <v>..</v>
      </c>
      <c r="AQ18" s="1185" t="str">
        <f>$I$18&amp;"."&amp;$M$18&amp;"."&amp;$Q$18&amp;"."&amp;$U$18</f>
        <v>...</v>
      </c>
      <c r="AR18" s="1209">
        <v>0</v>
      </c>
    </row>
    <row r="19" spans="1:44" s="1750" customFormat="1" ht="11.25" hidden="1" customHeight="1">
      <c r="A19" s="257"/>
      <c r="C19" s="256"/>
      <c r="D19" s="23980"/>
      <c r="E19" s="23999"/>
      <c r="F19" s="23983"/>
      <c r="G19" s="23969"/>
      <c r="H19" s="23972"/>
      <c r="I19" s="23974"/>
      <c r="J19" s="23976"/>
      <c r="K19" s="23968"/>
      <c r="L19" s="23968"/>
      <c r="M19" s="23968"/>
      <c r="N19" s="23979"/>
      <c r="O19" s="23968"/>
      <c r="P19" s="23968"/>
      <c r="Q19" s="23968"/>
      <c r="R19" s="23966"/>
      <c r="S19" s="23968"/>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50" customFormat="1" ht="11.25" hidden="1" customHeight="1">
      <c r="A20" s="257"/>
      <c r="C20" s="256"/>
      <c r="D20" s="23981"/>
      <c r="E20" s="24000"/>
      <c r="F20" s="23983"/>
      <c r="G20" s="23970"/>
      <c r="H20" s="23972"/>
      <c r="I20" s="23974"/>
      <c r="J20" s="23977"/>
      <c r="K20" s="23968"/>
      <c r="L20" s="23968"/>
      <c r="M20" s="23968"/>
      <c r="N20" s="23966"/>
      <c r="O20" s="23968"/>
      <c r="P20" s="1344"/>
      <c r="Q20" s="1223"/>
      <c r="R20" s="1223"/>
      <c r="S20" s="265"/>
      <c r="T20" s="265"/>
      <c r="U20" s="265"/>
      <c r="V20" s="265"/>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50" customFormat="1" ht="11.25" hidden="1" customHeight="1">
      <c r="A21" s="257"/>
      <c r="C21" s="256"/>
      <c r="D21" s="23981"/>
      <c r="E21" s="24000"/>
      <c r="F21" s="23983"/>
      <c r="G21" s="23970"/>
      <c r="H21" s="23972"/>
      <c r="I21" s="23974"/>
      <c r="J21" s="23977"/>
      <c r="K21" s="23968"/>
      <c r="L21" s="1223"/>
      <c r="M21" s="1223"/>
      <c r="N21" s="1223"/>
      <c r="O21" s="1223"/>
      <c r="P21" s="1223"/>
      <c r="Q21" s="1223"/>
      <c r="R21" s="1223"/>
      <c r="S21" s="265"/>
      <c r="T21" s="265"/>
      <c r="U21" s="265"/>
      <c r="V21" s="265"/>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50" customFormat="1" ht="11.25" hidden="1" customHeight="1">
      <c r="A22" s="257"/>
      <c r="C22" s="256"/>
      <c r="D22" s="23981"/>
      <c r="E22" s="24000"/>
      <c r="F22" s="23984"/>
      <c r="G22" s="23970"/>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50" customFormat="1" ht="11.25" hidden="1" customHeight="1">
      <c r="A23" s="257"/>
      <c r="C23" s="146"/>
      <c r="D23" s="23980">
        <v>2</v>
      </c>
      <c r="E23" s="23969" t="s">
        <v>265</v>
      </c>
      <c r="F23" s="23982" t="s">
        <v>6</v>
      </c>
      <c r="G23" s="23969"/>
      <c r="H23" s="23971"/>
      <c r="I23" s="23973"/>
      <c r="J23" s="23975"/>
      <c r="K23" s="23967"/>
      <c r="L23" s="23967"/>
      <c r="M23" s="23967"/>
      <c r="N23" s="23978"/>
      <c r="O23" s="23967"/>
      <c r="P23" s="23967"/>
      <c r="Q23" s="23967"/>
      <c r="R23" s="23965"/>
      <c r="S23" s="23967"/>
      <c r="T23" s="1892"/>
      <c r="U23" s="1892"/>
      <c r="V23" s="1894"/>
      <c r="W23" s="1222"/>
      <c r="X23" s="1193"/>
      <c r="Y23" s="1193"/>
      <c r="Z23" s="1193"/>
      <c r="AA23" s="1193"/>
      <c r="AB23" s="1193"/>
      <c r="AC23" s="1193" t="s">
        <v>260</v>
      </c>
      <c r="AD23" s="1193" t="s">
        <v>261</v>
      </c>
      <c r="AE23" s="1193" t="s">
        <v>262</v>
      </c>
      <c r="AF23" s="1193" t="s">
        <v>263</v>
      </c>
      <c r="AG23" s="1193" t="s">
        <v>264</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70">
        <f>$I$23</f>
        <v>0</v>
      </c>
      <c r="AO23" s="1193" t="str">
        <f>$I$23&amp;"."&amp;$M$23</f>
        <v>.</v>
      </c>
      <c r="AP23" s="1192" t="str">
        <f>$I$23&amp;"."&amp;$M$23&amp;"."&amp;$Q$23</f>
        <v>..</v>
      </c>
      <c r="AQ23" s="1192" t="str">
        <f>$I$23&amp;"."&amp;$M$23&amp;"."&amp;$Q$23&amp;"."&amp;$U$23</f>
        <v>...</v>
      </c>
      <c r="AR23" s="1393">
        <v>0</v>
      </c>
    </row>
    <row r="24" spans="1:44" s="1750" customFormat="1" ht="11.25" hidden="1" customHeight="1">
      <c r="A24" s="257"/>
      <c r="C24" s="256"/>
      <c r="D24" s="23980"/>
      <c r="E24" s="23969"/>
      <c r="F24" s="23983"/>
      <c r="G24" s="23969"/>
      <c r="H24" s="23972"/>
      <c r="I24" s="23974"/>
      <c r="J24" s="23976"/>
      <c r="K24" s="23968"/>
      <c r="L24" s="23968"/>
      <c r="M24" s="23968"/>
      <c r="N24" s="23979"/>
      <c r="O24" s="23968"/>
      <c r="P24" s="23968"/>
      <c r="Q24" s="23968"/>
      <c r="R24" s="23966"/>
      <c r="S24" s="23968"/>
      <c r="T24" s="1897"/>
      <c r="U24" s="1897"/>
      <c r="V24" s="1897"/>
      <c r="W24" s="1898"/>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50" customFormat="1" ht="11.25" hidden="1" customHeight="1">
      <c r="A25" s="257"/>
      <c r="C25" s="256"/>
      <c r="D25" s="23981"/>
      <c r="E25" s="23970"/>
      <c r="F25" s="23983"/>
      <c r="G25" s="23970"/>
      <c r="H25" s="23972"/>
      <c r="I25" s="23974"/>
      <c r="J25" s="23977"/>
      <c r="K25" s="23968"/>
      <c r="L25" s="23968"/>
      <c r="M25" s="23968"/>
      <c r="N25" s="23966"/>
      <c r="O25" s="23968"/>
      <c r="P25" s="1893"/>
      <c r="Q25" s="1897"/>
      <c r="R25" s="1897"/>
      <c r="S25" s="265"/>
      <c r="T25" s="265"/>
      <c r="U25" s="265"/>
      <c r="V25" s="265"/>
      <c r="W25" s="1898"/>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50" customFormat="1" ht="11.25" hidden="1" customHeight="1">
      <c r="A26" s="257"/>
      <c r="C26" s="256"/>
      <c r="D26" s="23981"/>
      <c r="E26" s="23970"/>
      <c r="F26" s="23983"/>
      <c r="G26" s="23970"/>
      <c r="H26" s="23972"/>
      <c r="I26" s="23974"/>
      <c r="J26" s="23977"/>
      <c r="K26" s="23968"/>
      <c r="L26" s="1897"/>
      <c r="M26" s="1897"/>
      <c r="N26" s="1897"/>
      <c r="O26" s="1897"/>
      <c r="P26" s="1897"/>
      <c r="Q26" s="1897"/>
      <c r="R26" s="1897"/>
      <c r="S26" s="265"/>
      <c r="T26" s="265"/>
      <c r="U26" s="265"/>
      <c r="V26" s="265"/>
      <c r="W26" s="1898"/>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50" customFormat="1" ht="11.25" hidden="1" customHeight="1">
      <c r="A27" s="257"/>
      <c r="C27" s="256"/>
      <c r="D27" s="23981"/>
      <c r="E27" s="23970"/>
      <c r="F27" s="23984"/>
      <c r="G27" s="23970"/>
      <c r="H27" s="1225"/>
      <c r="I27" s="1895"/>
      <c r="J27" s="1895"/>
      <c r="K27" s="1895"/>
      <c r="L27" s="1895"/>
      <c r="M27" s="1895"/>
      <c r="N27" s="1895"/>
      <c r="O27" s="1895"/>
      <c r="P27" s="1895"/>
      <c r="Q27" s="1895"/>
      <c r="R27" s="1895"/>
      <c r="S27" s="1227"/>
      <c r="T27" s="1227"/>
      <c r="U27" s="1227"/>
      <c r="V27" s="1227"/>
      <c r="W27" s="1896"/>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50" customFormat="1" ht="11.25" hidden="1" customHeight="1">
      <c r="A28" s="257"/>
      <c r="C28" s="146"/>
      <c r="D28" s="23980">
        <v>3</v>
      </c>
      <c r="E28" s="23969" t="s">
        <v>266</v>
      </c>
      <c r="F28" s="23982" t="s">
        <v>6</v>
      </c>
      <c r="G28" s="23969"/>
      <c r="H28" s="23971"/>
      <c r="I28" s="23973"/>
      <c r="J28" s="23975"/>
      <c r="K28" s="23967"/>
      <c r="L28" s="23967"/>
      <c r="M28" s="23967"/>
      <c r="N28" s="23978"/>
      <c r="O28" s="23967"/>
      <c r="P28" s="23967"/>
      <c r="Q28" s="23967"/>
      <c r="R28" s="23965"/>
      <c r="S28" s="23967"/>
      <c r="T28" s="1346"/>
      <c r="U28" s="1346"/>
      <c r="V28" s="1345"/>
      <c r="W28" s="1222"/>
      <c r="X28" s="1193"/>
      <c r="Y28" s="1193"/>
      <c r="Z28" s="1193"/>
      <c r="AA28" s="1193"/>
      <c r="AB28" s="1193"/>
      <c r="AC28" s="1193" t="s">
        <v>267</v>
      </c>
      <c r="AD28" s="1193" t="s">
        <v>268</v>
      </c>
      <c r="AE28" s="1193" t="s">
        <v>269</v>
      </c>
      <c r="AF28" s="1193" t="s">
        <v>270</v>
      </c>
      <c r="AG28" s="1193" t="s">
        <v>271</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70">
        <f>$I$28</f>
        <v>0</v>
      </c>
      <c r="AO28" s="1193" t="str">
        <f>$I$28&amp;"."&amp;$M$28</f>
        <v>.</v>
      </c>
      <c r="AP28" s="1185" t="str">
        <f>$I$28&amp;"."&amp;$M$28&amp;"."&amp;$Q$28</f>
        <v>..</v>
      </c>
      <c r="AQ28" s="1185" t="str">
        <f>$I$28&amp;"."&amp;$M$28&amp;"."&amp;$Q$28&amp;"."&amp;$U$28</f>
        <v>...</v>
      </c>
      <c r="AR28" s="1209">
        <v>0</v>
      </c>
    </row>
    <row r="29" spans="1:44" s="1750" customFormat="1" ht="11.25" hidden="1" customHeight="1">
      <c r="A29" s="257"/>
      <c r="C29" s="256"/>
      <c r="D29" s="23980"/>
      <c r="E29" s="23969"/>
      <c r="F29" s="23983"/>
      <c r="G29" s="23969"/>
      <c r="H29" s="23972"/>
      <c r="I29" s="23974"/>
      <c r="J29" s="23976"/>
      <c r="K29" s="23968"/>
      <c r="L29" s="23968"/>
      <c r="M29" s="23968"/>
      <c r="N29" s="23979"/>
      <c r="O29" s="23968"/>
      <c r="P29" s="23968"/>
      <c r="Q29" s="23968"/>
      <c r="R29" s="23966"/>
      <c r="S29" s="23968"/>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50" customFormat="1" ht="11.25" hidden="1" customHeight="1">
      <c r="A30" s="257"/>
      <c r="C30" s="256"/>
      <c r="D30" s="23981"/>
      <c r="E30" s="23970"/>
      <c r="F30" s="23983"/>
      <c r="G30" s="23970"/>
      <c r="H30" s="23972"/>
      <c r="I30" s="23974"/>
      <c r="J30" s="23977"/>
      <c r="K30" s="23968"/>
      <c r="L30" s="23968"/>
      <c r="M30" s="23968"/>
      <c r="N30" s="23966"/>
      <c r="O30" s="23968"/>
      <c r="P30" s="1344"/>
      <c r="Q30" s="1223"/>
      <c r="R30" s="1223"/>
      <c r="S30" s="265"/>
      <c r="T30" s="265"/>
      <c r="U30" s="265"/>
      <c r="V30" s="265"/>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50" customFormat="1" ht="11.25" hidden="1" customHeight="1">
      <c r="A31" s="257"/>
      <c r="C31" s="256"/>
      <c r="D31" s="23981"/>
      <c r="E31" s="23970"/>
      <c r="F31" s="23983"/>
      <c r="G31" s="23970"/>
      <c r="H31" s="23972"/>
      <c r="I31" s="23974"/>
      <c r="J31" s="23977"/>
      <c r="K31" s="23968"/>
      <c r="L31" s="1223"/>
      <c r="M31" s="1223"/>
      <c r="N31" s="1223"/>
      <c r="O31" s="1223"/>
      <c r="P31" s="1223"/>
      <c r="Q31" s="1223"/>
      <c r="R31" s="1223"/>
      <c r="S31" s="265"/>
      <c r="T31" s="265"/>
      <c r="U31" s="265"/>
      <c r="V31" s="265"/>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50" customFormat="1" ht="11.25" hidden="1" customHeight="1">
      <c r="A32" s="257"/>
      <c r="C32" s="256"/>
      <c r="D32" s="23981"/>
      <c r="E32" s="23970"/>
      <c r="F32" s="23984"/>
      <c r="G32" s="23970"/>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50" customFormat="1" ht="11.25" hidden="1" customHeight="1">
      <c r="A33" s="257"/>
      <c r="C33" s="146"/>
      <c r="D33" s="23980">
        <v>4</v>
      </c>
      <c r="E33" s="23969" t="s">
        <v>272</v>
      </c>
      <c r="F33" s="23982" t="s">
        <v>6</v>
      </c>
      <c r="G33" s="23969"/>
      <c r="H33" s="23971"/>
      <c r="I33" s="23973"/>
      <c r="J33" s="23975"/>
      <c r="K33" s="23967"/>
      <c r="L33" s="23967"/>
      <c r="M33" s="23967"/>
      <c r="N33" s="23978"/>
      <c r="O33" s="23967"/>
      <c r="P33" s="23967"/>
      <c r="Q33" s="23967"/>
      <c r="R33" s="23965"/>
      <c r="S33" s="23967"/>
      <c r="T33" s="1346"/>
      <c r="U33" s="1346"/>
      <c r="V33" s="1345"/>
      <c r="W33" s="1222"/>
      <c r="X33" s="1193"/>
      <c r="Y33" s="1193"/>
      <c r="Z33" s="1193"/>
      <c r="AA33" s="1193"/>
      <c r="AB33" s="1193"/>
      <c r="AC33" s="1193" t="s">
        <v>273</v>
      </c>
      <c r="AD33" s="1193" t="s">
        <v>274</v>
      </c>
      <c r="AE33" s="1193" t="s">
        <v>275</v>
      </c>
      <c r="AF33" s="1193" t="s">
        <v>276</v>
      </c>
      <c r="AG33" s="1193" t="s">
        <v>277</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70">
        <f>$I$33</f>
        <v>0</v>
      </c>
      <c r="AO33" s="1193" t="str">
        <f>$I$33&amp;"."&amp;$M$33</f>
        <v>.</v>
      </c>
      <c r="AP33" s="1185" t="str">
        <f>$I$33&amp;"."&amp;$M$33&amp;"."&amp;$Q$33</f>
        <v>..</v>
      </c>
      <c r="AQ33" s="1185" t="str">
        <f>$I$33&amp;"."&amp;$M$33&amp;"."&amp;$Q$33&amp;"."&amp;$U$33</f>
        <v>...</v>
      </c>
      <c r="AR33" s="1209">
        <v>0</v>
      </c>
    </row>
    <row r="34" spans="1:44" s="1750" customFormat="1" ht="11.25" hidden="1" customHeight="1">
      <c r="A34" s="257"/>
      <c r="C34" s="256"/>
      <c r="D34" s="23980"/>
      <c r="E34" s="23969"/>
      <c r="F34" s="23983"/>
      <c r="G34" s="23969"/>
      <c r="H34" s="23972"/>
      <c r="I34" s="23974"/>
      <c r="J34" s="23976"/>
      <c r="K34" s="23968"/>
      <c r="L34" s="23968"/>
      <c r="M34" s="23968"/>
      <c r="N34" s="23979"/>
      <c r="O34" s="23968"/>
      <c r="P34" s="23968"/>
      <c r="Q34" s="23968"/>
      <c r="R34" s="23966"/>
      <c r="S34" s="23968"/>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50" customFormat="1" ht="11.25" hidden="1" customHeight="1">
      <c r="A35" s="257"/>
      <c r="C35" s="256"/>
      <c r="D35" s="23981"/>
      <c r="E35" s="23970"/>
      <c r="F35" s="23983"/>
      <c r="G35" s="23970"/>
      <c r="H35" s="23972"/>
      <c r="I35" s="23974"/>
      <c r="J35" s="23977"/>
      <c r="K35" s="23968"/>
      <c r="L35" s="23968"/>
      <c r="M35" s="23968"/>
      <c r="N35" s="23966"/>
      <c r="O35" s="23968"/>
      <c r="P35" s="1344"/>
      <c r="Q35" s="1223"/>
      <c r="R35" s="1223"/>
      <c r="S35" s="265"/>
      <c r="T35" s="265"/>
      <c r="U35" s="265"/>
      <c r="V35" s="265"/>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50" customFormat="1" ht="11.25" hidden="1" customHeight="1">
      <c r="A36" s="257"/>
      <c r="C36" s="256"/>
      <c r="D36" s="23981"/>
      <c r="E36" s="23970"/>
      <c r="F36" s="23983"/>
      <c r="G36" s="23970"/>
      <c r="H36" s="23972"/>
      <c r="I36" s="23974"/>
      <c r="J36" s="23977"/>
      <c r="K36" s="23968"/>
      <c r="L36" s="1223"/>
      <c r="M36" s="1223"/>
      <c r="N36" s="1223"/>
      <c r="O36" s="1223"/>
      <c r="P36" s="1223"/>
      <c r="Q36" s="1223"/>
      <c r="R36" s="1223"/>
      <c r="S36" s="265"/>
      <c r="T36" s="265"/>
      <c r="U36" s="265"/>
      <c r="V36" s="265"/>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50" customFormat="1" ht="11.25" hidden="1" customHeight="1">
      <c r="A37" s="257"/>
      <c r="C37" s="256"/>
      <c r="D37" s="23981"/>
      <c r="E37" s="23970"/>
      <c r="F37" s="23984"/>
      <c r="G37" s="23970"/>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50" customFormat="1" ht="11.25" hidden="1" customHeight="1">
      <c r="A38" s="257"/>
      <c r="C38" s="146"/>
      <c r="D38" s="23980">
        <v>5</v>
      </c>
      <c r="E38" s="23969" t="s">
        <v>278</v>
      </c>
      <c r="F38" s="23982" t="s">
        <v>6</v>
      </c>
      <c r="G38" s="23969"/>
      <c r="H38" s="23971"/>
      <c r="I38" s="23973"/>
      <c r="J38" s="23975"/>
      <c r="K38" s="23967"/>
      <c r="L38" s="23967"/>
      <c r="M38" s="23967"/>
      <c r="N38" s="23978"/>
      <c r="O38" s="23967"/>
      <c r="P38" s="23967"/>
      <c r="Q38" s="23967"/>
      <c r="R38" s="23965"/>
      <c r="S38" s="23967"/>
      <c r="T38" s="1346"/>
      <c r="U38" s="1346"/>
      <c r="V38" s="1345"/>
      <c r="W38" s="1222"/>
      <c r="X38" s="1193"/>
      <c r="Y38" s="1193"/>
      <c r="Z38" s="1193"/>
      <c r="AA38" s="1193"/>
      <c r="AB38" s="1193"/>
      <c r="AC38" s="1193" t="s">
        <v>279</v>
      </c>
      <c r="AD38" s="1193" t="s">
        <v>280</v>
      </c>
      <c r="AE38" s="1193" t="s">
        <v>281</v>
      </c>
      <c r="AF38" s="1193" t="s">
        <v>282</v>
      </c>
      <c r="AG38" s="1193" t="s">
        <v>283</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70">
        <f>$I$38</f>
        <v>0</v>
      </c>
      <c r="AO38" s="1193" t="str">
        <f>$I$38&amp;"."&amp;$M$38</f>
        <v>.</v>
      </c>
      <c r="AP38" s="1185" t="str">
        <f>$I$38&amp;"."&amp;$M$38&amp;"."&amp;$Q$38</f>
        <v>..</v>
      </c>
      <c r="AQ38" s="1185" t="str">
        <f>$I$38&amp;"."&amp;$M$38&amp;"."&amp;$Q$38&amp;"."&amp;$U$38</f>
        <v>...</v>
      </c>
      <c r="AR38" s="1209">
        <v>0</v>
      </c>
    </row>
    <row r="39" spans="1:44" s="1750" customFormat="1" ht="11.25" hidden="1" customHeight="1">
      <c r="A39" s="257"/>
      <c r="C39" s="256"/>
      <c r="D39" s="23980"/>
      <c r="E39" s="23969"/>
      <c r="F39" s="23983"/>
      <c r="G39" s="23969"/>
      <c r="H39" s="23972"/>
      <c r="I39" s="23974"/>
      <c r="J39" s="23976"/>
      <c r="K39" s="23968"/>
      <c r="L39" s="23968"/>
      <c r="M39" s="23968"/>
      <c r="N39" s="23979"/>
      <c r="O39" s="23968"/>
      <c r="P39" s="23968"/>
      <c r="Q39" s="23968"/>
      <c r="R39" s="23966"/>
      <c r="S39" s="23968"/>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50" customFormat="1" ht="11.25" hidden="1" customHeight="1">
      <c r="A40" s="257"/>
      <c r="C40" s="256"/>
      <c r="D40" s="23981"/>
      <c r="E40" s="23970"/>
      <c r="F40" s="23983"/>
      <c r="G40" s="23970"/>
      <c r="H40" s="23972"/>
      <c r="I40" s="23974"/>
      <c r="J40" s="23977"/>
      <c r="K40" s="23968"/>
      <c r="L40" s="23968"/>
      <c r="M40" s="23968"/>
      <c r="N40" s="23966"/>
      <c r="O40" s="23968"/>
      <c r="P40" s="1344"/>
      <c r="Q40" s="1223"/>
      <c r="R40" s="1223"/>
      <c r="S40" s="265"/>
      <c r="T40" s="265"/>
      <c r="U40" s="265"/>
      <c r="V40" s="265"/>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50" customFormat="1" ht="11.25" hidden="1" customHeight="1">
      <c r="A41" s="257"/>
      <c r="C41" s="256"/>
      <c r="D41" s="23981"/>
      <c r="E41" s="23970"/>
      <c r="F41" s="23983"/>
      <c r="G41" s="23970"/>
      <c r="H41" s="23972"/>
      <c r="I41" s="23974"/>
      <c r="J41" s="23977"/>
      <c r="K41" s="23968"/>
      <c r="L41" s="1223"/>
      <c r="M41" s="1223"/>
      <c r="N41" s="1223"/>
      <c r="O41" s="1223"/>
      <c r="P41" s="1223"/>
      <c r="Q41" s="1223"/>
      <c r="R41" s="1223"/>
      <c r="S41" s="265"/>
      <c r="T41" s="265"/>
      <c r="U41" s="265"/>
      <c r="V41" s="265"/>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50" customFormat="1" ht="11.25" hidden="1" customHeight="1">
      <c r="A42" s="257"/>
      <c r="C42" s="256"/>
      <c r="D42" s="23981"/>
      <c r="E42" s="23970"/>
      <c r="F42" s="23984"/>
      <c r="G42" s="23970"/>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50" customFormat="1" ht="11.25" hidden="1" customHeight="1">
      <c r="A43" s="257"/>
      <c r="C43" s="146"/>
      <c r="D43" s="23980">
        <v>6</v>
      </c>
      <c r="E43" s="23969" t="s">
        <v>284</v>
      </c>
      <c r="F43" s="23982" t="s">
        <v>6</v>
      </c>
      <c r="G43" s="23969"/>
      <c r="H43" s="23971"/>
      <c r="I43" s="23973"/>
      <c r="J43" s="23975"/>
      <c r="K43" s="23967"/>
      <c r="L43" s="23967"/>
      <c r="M43" s="23967"/>
      <c r="N43" s="23978"/>
      <c r="O43" s="23967"/>
      <c r="P43" s="23967"/>
      <c r="Q43" s="23967"/>
      <c r="R43" s="23965"/>
      <c r="S43" s="23967"/>
      <c r="T43" s="1346"/>
      <c r="U43" s="1346"/>
      <c r="V43" s="1345"/>
      <c r="W43" s="1222"/>
      <c r="X43" s="1193"/>
      <c r="Y43" s="1193"/>
      <c r="Z43" s="1193"/>
      <c r="AA43" s="1193"/>
      <c r="AB43" s="1193"/>
      <c r="AC43" s="1193" t="s">
        <v>285</v>
      </c>
      <c r="AD43" s="1193" t="s">
        <v>286</v>
      </c>
      <c r="AE43" s="1193" t="s">
        <v>287</v>
      </c>
      <c r="AF43" s="1193" t="s">
        <v>288</v>
      </c>
      <c r="AG43" s="1193" t="s">
        <v>289</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70">
        <f>$I$43</f>
        <v>0</v>
      </c>
      <c r="AO43" s="1193" t="str">
        <f>$I$43&amp;"."&amp;$M$43</f>
        <v>.</v>
      </c>
      <c r="AP43" s="1185" t="str">
        <f>$I$43&amp;"."&amp;$M$43&amp;"."&amp;$Q$43</f>
        <v>..</v>
      </c>
      <c r="AQ43" s="1185" t="str">
        <f>$I$43&amp;"."&amp;$M$43&amp;"."&amp;$Q$43&amp;"."&amp;$U$43</f>
        <v>...</v>
      </c>
      <c r="AR43" s="1209">
        <v>0</v>
      </c>
    </row>
    <row r="44" spans="1:44" s="1750" customFormat="1" ht="11.25" hidden="1" customHeight="1">
      <c r="A44" s="257"/>
      <c r="C44" s="256"/>
      <c r="D44" s="23980"/>
      <c r="E44" s="23969"/>
      <c r="F44" s="23983"/>
      <c r="G44" s="23969"/>
      <c r="H44" s="23972"/>
      <c r="I44" s="23974"/>
      <c r="J44" s="23976"/>
      <c r="K44" s="23968"/>
      <c r="L44" s="23968"/>
      <c r="M44" s="23968"/>
      <c r="N44" s="23979"/>
      <c r="O44" s="23968"/>
      <c r="P44" s="23968"/>
      <c r="Q44" s="23968"/>
      <c r="R44" s="23966"/>
      <c r="S44" s="23968"/>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50" customFormat="1" ht="11.25" hidden="1" customHeight="1">
      <c r="A45" s="257"/>
      <c r="C45" s="256"/>
      <c r="D45" s="23981"/>
      <c r="E45" s="23970"/>
      <c r="F45" s="23983"/>
      <c r="G45" s="23970"/>
      <c r="H45" s="23972"/>
      <c r="I45" s="23974"/>
      <c r="J45" s="23977"/>
      <c r="K45" s="23968"/>
      <c r="L45" s="23968"/>
      <c r="M45" s="23968"/>
      <c r="N45" s="23966"/>
      <c r="O45" s="23968"/>
      <c r="P45" s="1344"/>
      <c r="Q45" s="1223"/>
      <c r="R45" s="1223"/>
      <c r="S45" s="265"/>
      <c r="T45" s="265"/>
      <c r="U45" s="265"/>
      <c r="V45" s="265"/>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50" customFormat="1" ht="11.25" hidden="1" customHeight="1">
      <c r="A46" s="257"/>
      <c r="C46" s="146"/>
      <c r="D46" s="23981"/>
      <c r="E46" s="23970"/>
      <c r="F46" s="23983"/>
      <c r="G46" s="23970"/>
      <c r="H46" s="23972"/>
      <c r="I46" s="23974"/>
      <c r="J46" s="23977"/>
      <c r="K46" s="23968"/>
      <c r="L46" s="1223"/>
      <c r="M46" s="1223"/>
      <c r="N46" s="1223"/>
      <c r="O46" s="1223"/>
      <c r="P46" s="1223"/>
      <c r="Q46" s="1223"/>
      <c r="R46" s="1223"/>
      <c r="S46" s="265"/>
      <c r="T46" s="265"/>
      <c r="U46" s="265"/>
      <c r="V46" s="265"/>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50" customFormat="1" ht="11.25" hidden="1" customHeight="1">
      <c r="A47" s="257"/>
      <c r="C47" s="256"/>
      <c r="D47" s="23981"/>
      <c r="E47" s="23970"/>
      <c r="F47" s="23984"/>
      <c r="G47" s="23970"/>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50" customFormat="1" ht="11.25" hidden="1" customHeight="1">
      <c r="A48" s="257"/>
      <c r="C48" s="146"/>
      <c r="D48" s="23993">
        <v>7</v>
      </c>
      <c r="E48" s="23996" t="s">
        <v>290</v>
      </c>
      <c r="F48" s="23982" t="s">
        <v>6</v>
      </c>
      <c r="G48" s="23996"/>
      <c r="H48" s="23971"/>
      <c r="I48" s="23973"/>
      <c r="J48" s="23975"/>
      <c r="K48" s="23967"/>
      <c r="L48" s="23967"/>
      <c r="M48" s="23967"/>
      <c r="N48" s="23978"/>
      <c r="O48" s="23967"/>
      <c r="P48" s="23967"/>
      <c r="Q48" s="23967"/>
      <c r="R48" s="23965"/>
      <c r="S48" s="23967"/>
      <c r="T48" s="1346"/>
      <c r="U48" s="1346"/>
      <c r="V48" s="1345"/>
      <c r="W48" s="1222"/>
      <c r="X48" s="1193"/>
      <c r="Y48" s="1193"/>
      <c r="Z48" s="1193"/>
      <c r="AA48" s="1193"/>
      <c r="AB48" s="1193"/>
      <c r="AC48" s="1193" t="s">
        <v>291</v>
      </c>
      <c r="AD48" s="1193" t="s">
        <v>292</v>
      </c>
      <c r="AE48" s="1193" t="s">
        <v>293</v>
      </c>
      <c r="AF48" s="1193" t="s">
        <v>294</v>
      </c>
      <c r="AG48" s="1193" t="s">
        <v>295</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70">
        <f>$I$48</f>
        <v>0</v>
      </c>
      <c r="AO48" s="1193" t="str">
        <f>$I$48&amp;"."&amp;$M$48</f>
        <v>.</v>
      </c>
      <c r="AP48" s="1185" t="str">
        <f>$I$48&amp;"."&amp;$M$48&amp;"."&amp;$Q$48</f>
        <v>..</v>
      </c>
      <c r="AQ48" s="1185" t="str">
        <f>$I$48&amp;"."&amp;$M$48&amp;"."&amp;$Q$48&amp;"."&amp;$U$48</f>
        <v>...</v>
      </c>
      <c r="AR48" s="1234">
        <v>0</v>
      </c>
    </row>
    <row r="49" spans="1:44" s="1750" customFormat="1" ht="11.25" hidden="1" customHeight="1">
      <c r="A49" s="257"/>
      <c r="C49" s="256"/>
      <c r="D49" s="23994"/>
      <c r="E49" s="23997"/>
      <c r="F49" s="23983"/>
      <c r="G49" s="23997"/>
      <c r="H49" s="23972"/>
      <c r="I49" s="23974"/>
      <c r="J49" s="23976"/>
      <c r="K49" s="23968"/>
      <c r="L49" s="23968"/>
      <c r="M49" s="23968"/>
      <c r="N49" s="23979"/>
      <c r="O49" s="23968"/>
      <c r="P49" s="23968"/>
      <c r="Q49" s="23968"/>
      <c r="R49" s="23966"/>
      <c r="S49" s="23968"/>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50" customFormat="1" ht="11.25" hidden="1" customHeight="1">
      <c r="A50" s="257"/>
      <c r="C50" s="256"/>
      <c r="D50" s="23994"/>
      <c r="E50" s="23997"/>
      <c r="F50" s="23983"/>
      <c r="G50" s="23997"/>
      <c r="H50" s="23972"/>
      <c r="I50" s="23974"/>
      <c r="J50" s="23977"/>
      <c r="K50" s="23968"/>
      <c r="L50" s="23968"/>
      <c r="M50" s="23968"/>
      <c r="N50" s="23966"/>
      <c r="O50" s="23968"/>
      <c r="P50" s="1344"/>
      <c r="Q50" s="1223"/>
      <c r="R50" s="1223"/>
      <c r="S50" s="265"/>
      <c r="T50" s="265"/>
      <c r="U50" s="265"/>
      <c r="V50" s="265"/>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50" customFormat="1" ht="11.25" hidden="1" customHeight="1">
      <c r="A51" s="257"/>
      <c r="C51" s="146"/>
      <c r="D51" s="23994"/>
      <c r="E51" s="23997"/>
      <c r="F51" s="23983"/>
      <c r="G51" s="23997"/>
      <c r="H51" s="23972"/>
      <c r="I51" s="23974"/>
      <c r="J51" s="23977"/>
      <c r="K51" s="23968"/>
      <c r="L51" s="1223"/>
      <c r="M51" s="1223"/>
      <c r="N51" s="1223"/>
      <c r="O51" s="1223"/>
      <c r="P51" s="1223"/>
      <c r="Q51" s="1223"/>
      <c r="R51" s="1223"/>
      <c r="S51" s="265"/>
      <c r="T51" s="265"/>
      <c r="U51" s="265"/>
      <c r="V51" s="265"/>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50" customFormat="1" ht="11.25" hidden="1" customHeight="1">
      <c r="A52" s="257"/>
      <c r="C52" s="256"/>
      <c r="D52" s="23995"/>
      <c r="E52" s="23998"/>
      <c r="F52" s="23984"/>
      <c r="G52" s="23998"/>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50" customFormat="1" ht="11.25" hidden="1" customHeight="1">
      <c r="A53" s="257"/>
      <c r="C53" s="146"/>
      <c r="D53" s="23980">
        <v>8</v>
      </c>
      <c r="E53" s="23969" t="s">
        <v>296</v>
      </c>
      <c r="F53" s="23982" t="s">
        <v>6</v>
      </c>
      <c r="G53" s="23969"/>
      <c r="H53" s="23971"/>
      <c r="I53" s="23973"/>
      <c r="J53" s="23975"/>
      <c r="K53" s="23967"/>
      <c r="L53" s="23967"/>
      <c r="M53" s="23967"/>
      <c r="N53" s="23978"/>
      <c r="O53" s="23967"/>
      <c r="P53" s="23967"/>
      <c r="Q53" s="23967"/>
      <c r="R53" s="23965"/>
      <c r="S53" s="23967"/>
      <c r="T53" s="1396"/>
      <c r="U53" s="1396"/>
      <c r="V53" s="1398"/>
      <c r="W53" s="1222"/>
      <c r="X53" s="1193"/>
      <c r="Y53" s="1193"/>
      <c r="Z53" s="1193"/>
      <c r="AA53" s="1193"/>
      <c r="AB53" s="1193"/>
      <c r="AC53" s="1193" t="s">
        <v>297</v>
      </c>
      <c r="AD53" s="1193" t="s">
        <v>298</v>
      </c>
      <c r="AE53" s="1193" t="s">
        <v>299</v>
      </c>
      <c r="AF53" s="1193" t="s">
        <v>300</v>
      </c>
      <c r="AG53" s="1193" t="s">
        <v>301</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70">
        <f>$I$53</f>
        <v>0</v>
      </c>
      <c r="AO53" s="1193" t="str">
        <f>$I$53&amp;"."&amp;$M$53</f>
        <v>.</v>
      </c>
      <c r="AP53" s="1185" t="str">
        <f>$I$53&amp;"."&amp;$M$53&amp;"."&amp;$Q$53</f>
        <v>..</v>
      </c>
      <c r="AQ53" s="1185" t="str">
        <f>$I$53&amp;"."&amp;$M$53&amp;"."&amp;$Q$53&amp;"."&amp;$U$53</f>
        <v>...</v>
      </c>
      <c r="AR53" s="1234">
        <v>0</v>
      </c>
    </row>
    <row r="54" spans="1:44" s="1750" customFormat="1" ht="11.25" hidden="1" customHeight="1">
      <c r="A54" s="257"/>
      <c r="C54" s="256"/>
      <c r="D54" s="23980"/>
      <c r="E54" s="23969"/>
      <c r="F54" s="23983"/>
      <c r="G54" s="23969"/>
      <c r="H54" s="23972"/>
      <c r="I54" s="23974"/>
      <c r="J54" s="23976"/>
      <c r="K54" s="23968"/>
      <c r="L54" s="23968"/>
      <c r="M54" s="23968"/>
      <c r="N54" s="23979"/>
      <c r="O54" s="23968"/>
      <c r="P54" s="23968"/>
      <c r="Q54" s="23968"/>
      <c r="R54" s="23966"/>
      <c r="S54" s="23968"/>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50" customFormat="1" ht="11.25" hidden="1" customHeight="1">
      <c r="A55" s="257"/>
      <c r="C55" s="256"/>
      <c r="D55" s="23981"/>
      <c r="E55" s="23970"/>
      <c r="F55" s="23983"/>
      <c r="G55" s="23970"/>
      <c r="H55" s="23972"/>
      <c r="I55" s="23974"/>
      <c r="J55" s="23977"/>
      <c r="K55" s="23968"/>
      <c r="L55" s="23968"/>
      <c r="M55" s="23968"/>
      <c r="N55" s="23966"/>
      <c r="O55" s="23968"/>
      <c r="P55" s="1397"/>
      <c r="Q55" s="1223"/>
      <c r="R55" s="1223"/>
      <c r="S55" s="265"/>
      <c r="T55" s="265"/>
      <c r="U55" s="265"/>
      <c r="V55" s="265"/>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50" customFormat="1" ht="11.25" hidden="1" customHeight="1">
      <c r="A56" s="257"/>
      <c r="C56" s="146"/>
      <c r="D56" s="23981"/>
      <c r="E56" s="23970"/>
      <c r="F56" s="23983"/>
      <c r="G56" s="23970"/>
      <c r="H56" s="23972"/>
      <c r="I56" s="23974"/>
      <c r="J56" s="23977"/>
      <c r="K56" s="23968"/>
      <c r="L56" s="1223"/>
      <c r="M56" s="1223"/>
      <c r="N56" s="1223"/>
      <c r="O56" s="1223"/>
      <c r="P56" s="1223"/>
      <c r="Q56" s="1223"/>
      <c r="R56" s="1223"/>
      <c r="S56" s="265"/>
      <c r="T56" s="265"/>
      <c r="U56" s="265"/>
      <c r="V56" s="265"/>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50" customFormat="1" ht="11.25" hidden="1" customHeight="1">
      <c r="A57" s="257"/>
      <c r="C57" s="256"/>
      <c r="D57" s="23981"/>
      <c r="E57" s="23970"/>
      <c r="F57" s="23984"/>
      <c r="G57" s="23970"/>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50" customFormat="1" ht="11.25" hidden="1" customHeight="1">
      <c r="A58" s="257"/>
      <c r="C58" s="146"/>
      <c r="D58" s="23980">
        <v>9</v>
      </c>
      <c r="E58" s="23969" t="s">
        <v>302</v>
      </c>
      <c r="F58" s="23982" t="s">
        <v>6</v>
      </c>
      <c r="G58" s="23969"/>
      <c r="H58" s="23971"/>
      <c r="I58" s="23973"/>
      <c r="J58" s="23975"/>
      <c r="K58" s="23967"/>
      <c r="L58" s="23967"/>
      <c r="M58" s="23967"/>
      <c r="N58" s="23978"/>
      <c r="O58" s="23967"/>
      <c r="P58" s="23967"/>
      <c r="Q58" s="23967"/>
      <c r="R58" s="23965"/>
      <c r="S58" s="23967"/>
      <c r="T58" s="1825"/>
      <c r="U58" s="1825"/>
      <c r="V58" s="1827"/>
      <c r="W58" s="1222"/>
      <c r="X58" s="1193"/>
      <c r="Y58" s="1193"/>
      <c r="Z58" s="1193"/>
      <c r="AA58" s="1193"/>
      <c r="AB58" s="1193"/>
      <c r="AC58" s="1193" t="s">
        <v>303</v>
      </c>
      <c r="AD58" s="1193" t="s">
        <v>304</v>
      </c>
      <c r="AE58" s="1193" t="s">
        <v>305</v>
      </c>
      <c r="AF58" s="1193" t="s">
        <v>306</v>
      </c>
      <c r="AG58" s="1193" t="s">
        <v>307</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70">
        <f>$I$58</f>
        <v>0</v>
      </c>
      <c r="AO58" s="1193" t="str">
        <f>$I$58&amp;"."&amp;$M$58</f>
        <v>.</v>
      </c>
      <c r="AP58" s="1192" t="str">
        <f>$I$58&amp;"."&amp;$M$58&amp;"."&amp;$Q$58</f>
        <v>..</v>
      </c>
      <c r="AQ58" s="1192" t="str">
        <f>$I$58&amp;"."&amp;$M$58&amp;"."&amp;$Q$58&amp;"."&amp;$U$58</f>
        <v>...</v>
      </c>
      <c r="AR58" s="1393">
        <v>0</v>
      </c>
    </row>
    <row r="59" spans="1:44" s="1750" customFormat="1" ht="11.25" hidden="1" customHeight="1">
      <c r="A59" s="257"/>
      <c r="C59" s="256"/>
      <c r="D59" s="23980"/>
      <c r="E59" s="23969"/>
      <c r="F59" s="23983"/>
      <c r="G59" s="23969"/>
      <c r="H59" s="23972"/>
      <c r="I59" s="23974"/>
      <c r="J59" s="23976"/>
      <c r="K59" s="23968"/>
      <c r="L59" s="23968"/>
      <c r="M59" s="23968"/>
      <c r="N59" s="23979"/>
      <c r="O59" s="23968"/>
      <c r="P59" s="23968"/>
      <c r="Q59" s="23968"/>
      <c r="R59" s="23966"/>
      <c r="S59" s="23968"/>
      <c r="T59" s="1828"/>
      <c r="U59" s="1828"/>
      <c r="V59" s="1828"/>
      <c r="W59" s="1829"/>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50" customFormat="1" ht="11.25" hidden="1" customHeight="1">
      <c r="A60" s="257"/>
      <c r="C60" s="256"/>
      <c r="D60" s="23981"/>
      <c r="E60" s="23970"/>
      <c r="F60" s="23983"/>
      <c r="G60" s="23970"/>
      <c r="H60" s="23972"/>
      <c r="I60" s="23974"/>
      <c r="J60" s="23977"/>
      <c r="K60" s="23968"/>
      <c r="L60" s="23968"/>
      <c r="M60" s="23968"/>
      <c r="N60" s="23966"/>
      <c r="O60" s="23968"/>
      <c r="P60" s="1826"/>
      <c r="Q60" s="1828"/>
      <c r="R60" s="1828"/>
      <c r="S60" s="265"/>
      <c r="T60" s="265"/>
      <c r="U60" s="265"/>
      <c r="V60" s="265"/>
      <c r="W60" s="1829"/>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50" customFormat="1" ht="11.25" hidden="1" customHeight="1">
      <c r="A61" s="257"/>
      <c r="C61" s="146"/>
      <c r="D61" s="23981"/>
      <c r="E61" s="23970"/>
      <c r="F61" s="23983"/>
      <c r="G61" s="23970"/>
      <c r="H61" s="23972"/>
      <c r="I61" s="23974"/>
      <c r="J61" s="23977"/>
      <c r="K61" s="23968"/>
      <c r="L61" s="1828"/>
      <c r="M61" s="1828"/>
      <c r="N61" s="1828"/>
      <c r="O61" s="1828"/>
      <c r="P61" s="1828"/>
      <c r="Q61" s="1828"/>
      <c r="R61" s="1828"/>
      <c r="S61" s="265"/>
      <c r="T61" s="265"/>
      <c r="U61" s="265"/>
      <c r="V61" s="265"/>
      <c r="W61" s="1829"/>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50" customFormat="1" ht="11.25" hidden="1" customHeight="1">
      <c r="A62" s="257"/>
      <c r="C62" s="256"/>
      <c r="D62" s="23981"/>
      <c r="E62" s="23970"/>
      <c r="F62" s="23984"/>
      <c r="G62" s="23970"/>
      <c r="H62" s="1225"/>
      <c r="I62" s="1830"/>
      <c r="J62" s="1830"/>
      <c r="K62" s="1830"/>
      <c r="L62" s="1830"/>
      <c r="M62" s="1830"/>
      <c r="N62" s="1830"/>
      <c r="O62" s="1830"/>
      <c r="P62" s="1830"/>
      <c r="Q62" s="1830"/>
      <c r="R62" s="1830"/>
      <c r="S62" s="1227"/>
      <c r="T62" s="1227"/>
      <c r="U62" s="1227"/>
      <c r="V62" s="1227"/>
      <c r="W62" s="1831"/>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50" customFormat="1" ht="11.25" hidden="1" customHeight="1">
      <c r="A63" s="257"/>
      <c r="C63" s="146"/>
      <c r="D63" s="23980">
        <v>10</v>
      </c>
      <c r="E63" s="23969" t="s">
        <v>308</v>
      </c>
      <c r="F63" s="23982" t="s">
        <v>6</v>
      </c>
      <c r="G63" s="23969"/>
      <c r="H63" s="23971"/>
      <c r="I63" s="23973"/>
      <c r="J63" s="23975"/>
      <c r="K63" s="23967"/>
      <c r="L63" s="23967"/>
      <c r="M63" s="23967"/>
      <c r="N63" s="23978"/>
      <c r="O63" s="23967"/>
      <c r="P63" s="23967"/>
      <c r="Q63" s="23967"/>
      <c r="R63" s="23965"/>
      <c r="S63" s="23967"/>
      <c r="T63" s="1825"/>
      <c r="U63" s="1825"/>
      <c r="V63" s="1827"/>
      <c r="W63" s="1222"/>
      <c r="X63" s="1193"/>
      <c r="Y63" s="1193"/>
      <c r="Z63" s="1193"/>
      <c r="AA63" s="1193"/>
      <c r="AB63" s="1193"/>
      <c r="AC63" s="1193" t="s">
        <v>309</v>
      </c>
      <c r="AD63" s="1193" t="s">
        <v>310</v>
      </c>
      <c r="AE63" s="1193" t="s">
        <v>311</v>
      </c>
      <c r="AF63" s="1193" t="s">
        <v>312</v>
      </c>
      <c r="AG63" s="1193" t="s">
        <v>313</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70">
        <f>$I$63</f>
        <v>0</v>
      </c>
      <c r="AO63" s="1193" t="str">
        <f>$I$63&amp;"."&amp;$M$63</f>
        <v>.</v>
      </c>
      <c r="AP63" s="1192" t="str">
        <f>$I$63&amp;"."&amp;$M$63&amp;"."&amp;$Q$63</f>
        <v>..</v>
      </c>
      <c r="AQ63" s="1192" t="str">
        <f>$I$63&amp;"."&amp;$M$63&amp;"."&amp;$Q$63&amp;"."&amp;$U$63</f>
        <v>...</v>
      </c>
      <c r="AR63" s="1393">
        <v>0</v>
      </c>
    </row>
    <row r="64" spans="1:44" s="1750" customFormat="1" ht="11.25" hidden="1" customHeight="1">
      <c r="A64" s="257"/>
      <c r="C64" s="256"/>
      <c r="D64" s="23980"/>
      <c r="E64" s="23969"/>
      <c r="F64" s="23983"/>
      <c r="G64" s="23969"/>
      <c r="H64" s="23972"/>
      <c r="I64" s="23974"/>
      <c r="J64" s="23976"/>
      <c r="K64" s="23968"/>
      <c r="L64" s="23968"/>
      <c r="M64" s="23968"/>
      <c r="N64" s="23979"/>
      <c r="O64" s="23968"/>
      <c r="P64" s="23968"/>
      <c r="Q64" s="23968"/>
      <c r="R64" s="23966"/>
      <c r="S64" s="23968"/>
      <c r="T64" s="1828"/>
      <c r="U64" s="1828"/>
      <c r="V64" s="1828"/>
      <c r="W64" s="1829"/>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50" customFormat="1" ht="11.25" hidden="1" customHeight="1">
      <c r="A65" s="257"/>
      <c r="C65" s="256"/>
      <c r="D65" s="23981"/>
      <c r="E65" s="23970"/>
      <c r="F65" s="23983"/>
      <c r="G65" s="23970"/>
      <c r="H65" s="23972"/>
      <c r="I65" s="23974"/>
      <c r="J65" s="23977"/>
      <c r="K65" s="23968"/>
      <c r="L65" s="23968"/>
      <c r="M65" s="23968"/>
      <c r="N65" s="23966"/>
      <c r="O65" s="23968"/>
      <c r="P65" s="1826"/>
      <c r="Q65" s="1828"/>
      <c r="R65" s="1828"/>
      <c r="S65" s="265"/>
      <c r="T65" s="265"/>
      <c r="U65" s="265"/>
      <c r="V65" s="265"/>
      <c r="W65" s="1829"/>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50" customFormat="1" ht="11.25" hidden="1" customHeight="1">
      <c r="A66" s="257"/>
      <c r="C66" s="146"/>
      <c r="D66" s="23981"/>
      <c r="E66" s="23970"/>
      <c r="F66" s="23983"/>
      <c r="G66" s="23970"/>
      <c r="H66" s="23972"/>
      <c r="I66" s="23974"/>
      <c r="J66" s="23977"/>
      <c r="K66" s="23968"/>
      <c r="L66" s="1828"/>
      <c r="M66" s="1828"/>
      <c r="N66" s="1828"/>
      <c r="O66" s="1828"/>
      <c r="P66" s="1828"/>
      <c r="Q66" s="1828"/>
      <c r="R66" s="1828"/>
      <c r="S66" s="265"/>
      <c r="T66" s="265"/>
      <c r="U66" s="265"/>
      <c r="V66" s="265"/>
      <c r="W66" s="1829"/>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50" customFormat="1" ht="11.25" hidden="1" customHeight="1">
      <c r="A67" s="257"/>
      <c r="C67" s="256"/>
      <c r="D67" s="23981"/>
      <c r="E67" s="23970"/>
      <c r="F67" s="23984"/>
      <c r="G67" s="23970"/>
      <c r="H67" s="1225"/>
      <c r="I67" s="1830"/>
      <c r="J67" s="1830"/>
      <c r="K67" s="1830"/>
      <c r="L67" s="1830"/>
      <c r="M67" s="1830"/>
      <c r="N67" s="1830"/>
      <c r="O67" s="1830"/>
      <c r="P67" s="1830"/>
      <c r="Q67" s="1830"/>
      <c r="R67" s="1830"/>
      <c r="S67" s="1227"/>
      <c r="T67" s="1227"/>
      <c r="U67" s="1227"/>
      <c r="V67" s="1227"/>
      <c r="W67" s="1831"/>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3.5" hidden="1" customHeight="1">
      <c r="E69" s="23992" t="s">
        <v>314</v>
      </c>
      <c r="F69" s="23992"/>
      <c r="G69" s="23992"/>
      <c r="H69" s="23992"/>
      <c r="I69" s="23992"/>
      <c r="J69" s="23992"/>
      <c r="K69" s="23992"/>
      <c r="L69" s="23992"/>
      <c r="M69" s="23992"/>
      <c r="N69" s="23992"/>
      <c r="O69" s="23992"/>
      <c r="P69" s="23992"/>
      <c r="Q69" s="23992"/>
      <c r="R69" s="23992"/>
      <c r="S69" s="23992"/>
      <c r="T69" s="23992"/>
      <c r="U69" s="23992"/>
      <c r="V69" s="23992"/>
      <c r="W69" s="23992"/>
      <c r="AR69" s="43">
        <v>0</v>
      </c>
    </row>
    <row r="70" spans="1:44" ht="35.25" hidden="1" customHeight="1">
      <c r="E70" s="23990" t="s">
        <v>315</v>
      </c>
      <c r="F70" s="23990"/>
      <c r="G70" s="23991"/>
      <c r="H70" s="23991"/>
      <c r="I70" s="23991"/>
      <c r="J70" s="23991"/>
      <c r="K70" s="23991"/>
      <c r="L70" s="23991"/>
      <c r="M70" s="23991"/>
      <c r="N70" s="23991"/>
      <c r="O70" s="23991"/>
      <c r="P70" s="23991"/>
      <c r="Q70" s="23991"/>
      <c r="R70" s="23991"/>
      <c r="S70" s="23991"/>
      <c r="T70" s="23991"/>
      <c r="U70" s="23991"/>
      <c r="V70" s="23991"/>
      <c r="W70" s="23991"/>
      <c r="AR70" s="43">
        <v>0</v>
      </c>
    </row>
    <row r="71" spans="1:44" ht="24" hidden="1" customHeight="1">
      <c r="E71" s="23990" t="s">
        <v>316</v>
      </c>
      <c r="F71" s="23990"/>
      <c r="G71" s="23991"/>
      <c r="H71" s="23991"/>
      <c r="I71" s="23991"/>
      <c r="J71" s="23991"/>
      <c r="K71" s="23991"/>
      <c r="L71" s="23991"/>
      <c r="M71" s="23991"/>
      <c r="N71" s="23991"/>
      <c r="O71" s="23991"/>
      <c r="P71" s="23991"/>
      <c r="Q71" s="23991"/>
      <c r="R71" s="23991"/>
      <c r="S71" s="23991"/>
      <c r="T71" s="23991"/>
      <c r="U71" s="23991"/>
      <c r="V71" s="23991"/>
      <c r="W71" s="23991"/>
      <c r="AR71" s="43">
        <v>0</v>
      </c>
    </row>
    <row r="72" spans="1:44" ht="24" hidden="1" customHeight="1">
      <c r="E72" s="23990" t="s">
        <v>317</v>
      </c>
      <c r="F72" s="23990"/>
      <c r="G72" s="23991"/>
      <c r="H72" s="23991"/>
      <c r="I72" s="23991"/>
      <c r="J72" s="23991"/>
      <c r="K72" s="23991"/>
      <c r="L72" s="23991"/>
      <c r="M72" s="23991"/>
      <c r="N72" s="23991"/>
      <c r="O72" s="23991"/>
      <c r="P72" s="23991"/>
      <c r="Q72" s="23991"/>
      <c r="R72" s="23991"/>
      <c r="S72" s="23991"/>
      <c r="T72" s="23991"/>
      <c r="U72" s="23991"/>
      <c r="V72" s="23991"/>
      <c r="W72" s="23991"/>
      <c r="AR72" s="43">
        <v>0</v>
      </c>
    </row>
    <row r="73" spans="1:44" ht="13.5" hidden="1" customHeight="1">
      <c r="E73" s="23990" t="s">
        <v>318</v>
      </c>
      <c r="F73" s="23990"/>
      <c r="G73" s="23991"/>
      <c r="H73" s="23991"/>
      <c r="I73" s="23991"/>
      <c r="J73" s="23991"/>
      <c r="K73" s="23991"/>
      <c r="L73" s="23991"/>
      <c r="M73" s="23991"/>
      <c r="N73" s="23991"/>
      <c r="O73" s="23991"/>
      <c r="P73" s="23991"/>
      <c r="Q73" s="23991"/>
      <c r="R73" s="23991"/>
      <c r="S73" s="23991"/>
      <c r="T73" s="23991"/>
      <c r="U73" s="23991"/>
      <c r="V73" s="23991"/>
      <c r="W73" s="23991"/>
      <c r="AR73" s="43">
        <v>0</v>
      </c>
    </row>
    <row r="74" spans="1:44" ht="11.25" hidden="1" customHeight="1">
      <c r="E74" s="276"/>
      <c r="F74" s="1211"/>
      <c r="G74" s="94"/>
      <c r="H74" s="94"/>
      <c r="I74" s="94"/>
      <c r="J74" s="94"/>
      <c r="K74" s="94"/>
      <c r="L74" s="94"/>
      <c r="M74" s="94"/>
      <c r="N74" s="94"/>
      <c r="O74" s="94"/>
      <c r="P74" s="94"/>
      <c r="Q74" s="94"/>
      <c r="R74" s="94"/>
      <c r="S74" s="94"/>
      <c r="T74" s="94"/>
      <c r="U74" s="94"/>
      <c r="V74" s="94"/>
      <c r="W74" s="94"/>
      <c r="AR74" s="43">
        <v>0</v>
      </c>
    </row>
    <row r="75" spans="1:44" ht="13.5" hidden="1" customHeight="1">
      <c r="E75" s="23992" t="s">
        <v>319</v>
      </c>
      <c r="F75" s="23992"/>
      <c r="G75" s="23992"/>
      <c r="H75" s="23992"/>
      <c r="I75" s="23992"/>
      <c r="J75" s="23992"/>
      <c r="K75" s="23992"/>
      <c r="L75" s="23992"/>
      <c r="M75" s="23992"/>
      <c r="N75" s="23992"/>
      <c r="O75" s="23992"/>
      <c r="P75" s="23992"/>
      <c r="Q75" s="23992"/>
      <c r="R75" s="23992"/>
      <c r="S75" s="23992"/>
      <c r="T75" s="23992"/>
      <c r="U75" s="23992"/>
      <c r="V75" s="23992"/>
      <c r="W75" s="23992"/>
      <c r="AR75" s="43">
        <v>0</v>
      </c>
    </row>
    <row r="76" spans="1:44" ht="13.5" hidden="1" customHeight="1">
      <c r="E76" s="23990" t="s">
        <v>320</v>
      </c>
      <c r="F76" s="23990"/>
      <c r="G76" s="23991"/>
      <c r="H76" s="23991"/>
      <c r="I76" s="23991"/>
      <c r="J76" s="23991"/>
      <c r="K76" s="23991"/>
      <c r="L76" s="23991"/>
      <c r="M76" s="23991"/>
      <c r="N76" s="23991"/>
      <c r="O76" s="23991"/>
      <c r="P76" s="23991"/>
      <c r="Q76" s="23991"/>
      <c r="R76" s="23991"/>
      <c r="S76" s="23991"/>
      <c r="T76" s="23991"/>
      <c r="U76" s="23991"/>
      <c r="V76" s="23991"/>
      <c r="W76" s="23991"/>
      <c r="AR76" s="43">
        <v>0</v>
      </c>
    </row>
    <row r="77" spans="1:44" ht="13.5" hidden="1" customHeight="1">
      <c r="E77" s="23990" t="s">
        <v>321</v>
      </c>
      <c r="F77" s="23990"/>
      <c r="G77" s="23991"/>
      <c r="H77" s="23991"/>
      <c r="I77" s="23991"/>
      <c r="J77" s="23991"/>
      <c r="K77" s="23991"/>
      <c r="L77" s="23991"/>
      <c r="M77" s="23991"/>
      <c r="N77" s="23991"/>
      <c r="O77" s="23991"/>
      <c r="P77" s="23991"/>
      <c r="Q77" s="23991"/>
      <c r="R77" s="23991"/>
      <c r="S77" s="23991"/>
      <c r="T77" s="23991"/>
      <c r="U77" s="23991"/>
      <c r="V77" s="23991"/>
      <c r="W77" s="23991"/>
      <c r="AR77" s="43">
        <v>0</v>
      </c>
    </row>
    <row r="78" spans="1:44" s="1750" customFormat="1" ht="11.25" hidden="1" customHeight="1">
      <c r="A78" s="213"/>
      <c r="B78" s="213"/>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50" customFormat="1" ht="11.25" hidden="1" customHeight="1">
      <c r="A79" s="257"/>
      <c r="C79" s="146"/>
      <c r="D79" s="23980">
        <v>1</v>
      </c>
      <c r="E79" s="23969" t="s">
        <v>322</v>
      </c>
      <c r="F79" s="23982" t="s">
        <v>6</v>
      </c>
      <c r="G79" s="23969"/>
      <c r="H79" s="23971"/>
      <c r="I79" s="23973"/>
      <c r="J79" s="23975"/>
      <c r="K79" s="23967"/>
      <c r="L79" s="23967"/>
      <c r="M79" s="23967"/>
      <c r="N79" s="23978"/>
      <c r="O79" s="23967"/>
      <c r="P79" s="23967"/>
      <c r="Q79" s="23967"/>
      <c r="R79" s="23965"/>
      <c r="S79" s="23967"/>
      <c r="T79" s="1396"/>
      <c r="U79" s="1396"/>
      <c r="V79" s="1398"/>
      <c r="W79" s="1222"/>
      <c r="Y79" s="1193"/>
      <c r="Z79" s="1193"/>
      <c r="AA79" s="1193"/>
      <c r="AB79" s="1193"/>
      <c r="AC79" s="1193" t="s">
        <v>323</v>
      </c>
      <c r="AD79" s="1193" t="s">
        <v>324</v>
      </c>
      <c r="AE79" s="1193" t="s">
        <v>325</v>
      </c>
      <c r="AF79" s="1193" t="s">
        <v>326</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50" customFormat="1" ht="11.25" hidden="1" customHeight="1">
      <c r="A80" s="257"/>
      <c r="C80" s="256"/>
      <c r="D80" s="23980"/>
      <c r="E80" s="23969"/>
      <c r="F80" s="23983"/>
      <c r="G80" s="23969"/>
      <c r="H80" s="23972"/>
      <c r="I80" s="23974"/>
      <c r="J80" s="23976"/>
      <c r="K80" s="23968"/>
      <c r="L80" s="23968"/>
      <c r="M80" s="23968"/>
      <c r="N80" s="23979"/>
      <c r="O80" s="23968"/>
      <c r="P80" s="23968"/>
      <c r="Q80" s="23968"/>
      <c r="R80" s="23966"/>
      <c r="S80" s="23968"/>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50" customFormat="1" ht="11.25" hidden="1" customHeight="1">
      <c r="A81" s="257"/>
      <c r="C81" s="146"/>
      <c r="D81" s="23980"/>
      <c r="E81" s="23969"/>
      <c r="F81" s="23983"/>
      <c r="G81" s="23969"/>
      <c r="H81" s="23972"/>
      <c r="I81" s="23974"/>
      <c r="J81" s="23977"/>
      <c r="K81" s="23968"/>
      <c r="L81" s="23968"/>
      <c r="M81" s="23968"/>
      <c r="N81" s="23966"/>
      <c r="O81" s="23968"/>
      <c r="P81" s="1397"/>
      <c r="Q81" s="1223"/>
      <c r="R81" s="1223"/>
      <c r="S81" s="265"/>
      <c r="T81" s="265"/>
      <c r="U81" s="265"/>
      <c r="V81" s="265"/>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50" customFormat="1" ht="11.25" hidden="1" customHeight="1">
      <c r="A82" s="257"/>
      <c r="C82" s="256"/>
      <c r="D82" s="23980"/>
      <c r="E82" s="23969"/>
      <c r="F82" s="23983"/>
      <c r="G82" s="23969"/>
      <c r="H82" s="23972"/>
      <c r="I82" s="23974"/>
      <c r="J82" s="23977"/>
      <c r="K82" s="23968"/>
      <c r="L82" s="1223"/>
      <c r="M82" s="1223"/>
      <c r="N82" s="1223"/>
      <c r="O82" s="1223"/>
      <c r="P82" s="1223"/>
      <c r="Q82" s="1223"/>
      <c r="R82" s="1223"/>
      <c r="S82" s="265"/>
      <c r="T82" s="265"/>
      <c r="U82" s="265"/>
      <c r="V82" s="265"/>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50" customFormat="1" ht="11.25" hidden="1" customHeight="1">
      <c r="A83" s="257"/>
      <c r="C83" s="256"/>
      <c r="D83" s="23981"/>
      <c r="E83" s="23970"/>
      <c r="F83" s="23984"/>
      <c r="G83" s="23970"/>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50" customFormat="1" ht="11.25" hidden="1" customHeight="1">
      <c r="A84" s="257"/>
      <c r="C84" s="146"/>
      <c r="D84" s="23980">
        <v>2</v>
      </c>
      <c r="E84" s="23969" t="s">
        <v>327</v>
      </c>
      <c r="F84" s="23982" t="s">
        <v>6</v>
      </c>
      <c r="G84" s="23969"/>
      <c r="H84" s="23971"/>
      <c r="I84" s="23973"/>
      <c r="J84" s="23975"/>
      <c r="K84" s="23967"/>
      <c r="L84" s="23967"/>
      <c r="M84" s="23967"/>
      <c r="N84" s="23978"/>
      <c r="O84" s="23967"/>
      <c r="P84" s="23967"/>
      <c r="Q84" s="23967"/>
      <c r="R84" s="23965"/>
      <c r="S84" s="23967"/>
      <c r="T84" s="1369"/>
      <c r="U84" s="1369"/>
      <c r="V84" s="1371"/>
      <c r="W84" s="1222"/>
      <c r="X84" s="1193"/>
      <c r="Y84" s="1193"/>
      <c r="Z84" s="1193"/>
      <c r="AA84" s="1193"/>
      <c r="AB84" s="1193"/>
      <c r="AC84" s="1193" t="s">
        <v>328</v>
      </c>
      <c r="AD84" s="1193" t="s">
        <v>329</v>
      </c>
      <c r="AE84" s="1193" t="s">
        <v>330</v>
      </c>
      <c r="AF84" s="1193" t="s">
        <v>331</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70">
        <f>$I$84</f>
        <v>0</v>
      </c>
      <c r="AO84" s="1193" t="str">
        <f>$I$84&amp;"."&amp;$M$84</f>
        <v>.</v>
      </c>
      <c r="AP84" s="1185" t="str">
        <f>$I$84&amp;"."&amp;$M$84&amp;"."&amp;$Q$84</f>
        <v>..</v>
      </c>
      <c r="AQ84" s="1185" t="str">
        <f>$I$84&amp;"."&amp;$M$84&amp;"."&amp;$Q$84&amp;"."&amp;$U$84</f>
        <v>...</v>
      </c>
      <c r="AR84" s="1276">
        <v>0</v>
      </c>
    </row>
    <row r="85" spans="1:44" s="1750" customFormat="1" ht="11.25" hidden="1" customHeight="1">
      <c r="A85" s="257"/>
      <c r="C85" s="256"/>
      <c r="D85" s="23980"/>
      <c r="E85" s="23969"/>
      <c r="F85" s="23983"/>
      <c r="G85" s="23969"/>
      <c r="H85" s="23972"/>
      <c r="I85" s="23974"/>
      <c r="J85" s="23976"/>
      <c r="K85" s="23968"/>
      <c r="L85" s="23968"/>
      <c r="M85" s="23968"/>
      <c r="N85" s="23979"/>
      <c r="O85" s="23968"/>
      <c r="P85" s="23968"/>
      <c r="Q85" s="23968"/>
      <c r="R85" s="23966"/>
      <c r="S85" s="23968"/>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50" customFormat="1" ht="11.25" hidden="1" customHeight="1">
      <c r="A86" s="257"/>
      <c r="C86" s="256"/>
      <c r="D86" s="23981"/>
      <c r="E86" s="23970"/>
      <c r="F86" s="23983"/>
      <c r="G86" s="23970"/>
      <c r="H86" s="23972"/>
      <c r="I86" s="23974"/>
      <c r="J86" s="23977"/>
      <c r="K86" s="23968"/>
      <c r="L86" s="23968"/>
      <c r="M86" s="23968"/>
      <c r="N86" s="23966"/>
      <c r="O86" s="23968"/>
      <c r="P86" s="1370"/>
      <c r="Q86" s="1223"/>
      <c r="R86" s="1223"/>
      <c r="S86" s="265"/>
      <c r="T86" s="265"/>
      <c r="U86" s="265"/>
      <c r="V86" s="265"/>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50" customFormat="1" ht="11.25" hidden="1" customHeight="1">
      <c r="A87" s="257"/>
      <c r="C87" s="256"/>
      <c r="D87" s="23981"/>
      <c r="E87" s="23970"/>
      <c r="F87" s="23983"/>
      <c r="G87" s="23970"/>
      <c r="H87" s="23972"/>
      <c r="I87" s="23974"/>
      <c r="J87" s="23977"/>
      <c r="K87" s="23968"/>
      <c r="L87" s="1223"/>
      <c r="M87" s="1223"/>
      <c r="N87" s="1223"/>
      <c r="O87" s="1223"/>
      <c r="P87" s="1223"/>
      <c r="Q87" s="1223"/>
      <c r="R87" s="1223"/>
      <c r="S87" s="265"/>
      <c r="T87" s="265"/>
      <c r="U87" s="265"/>
      <c r="V87" s="265"/>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50" customFormat="1" ht="11.25" hidden="1" customHeight="1">
      <c r="A88" s="257"/>
      <c r="C88" s="256"/>
      <c r="D88" s="23981"/>
      <c r="E88" s="23970"/>
      <c r="F88" s="23984"/>
      <c r="G88" s="23970"/>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50" customFormat="1" ht="11.25" hidden="1" customHeight="1">
      <c r="A89" s="257"/>
      <c r="C89" s="146"/>
      <c r="D89" s="23980">
        <v>3</v>
      </c>
      <c r="E89" s="23969" t="s">
        <v>332</v>
      </c>
      <c r="F89" s="23982" t="s">
        <v>6</v>
      </c>
      <c r="G89" s="23969"/>
      <c r="H89" s="23971"/>
      <c r="I89" s="23973"/>
      <c r="J89" s="23975"/>
      <c r="K89" s="23967"/>
      <c r="L89" s="23967"/>
      <c r="M89" s="23967"/>
      <c r="N89" s="23978"/>
      <c r="O89" s="23967"/>
      <c r="P89" s="23967"/>
      <c r="Q89" s="23967"/>
      <c r="R89" s="23965"/>
      <c r="S89" s="23967"/>
      <c r="T89" s="1369"/>
      <c r="U89" s="1369"/>
      <c r="V89" s="1371"/>
      <c r="W89" s="1222"/>
      <c r="X89" s="1193"/>
      <c r="Y89" s="1193"/>
      <c r="Z89" s="1193"/>
      <c r="AA89" s="1193"/>
      <c r="AB89" s="1193"/>
      <c r="AC89" s="1193" t="s">
        <v>333</v>
      </c>
      <c r="AD89" s="1193" t="s">
        <v>334</v>
      </c>
      <c r="AE89" s="1193" t="s">
        <v>335</v>
      </c>
      <c r="AF89" s="1193" t="s">
        <v>336</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70">
        <f>$I$89</f>
        <v>0</v>
      </c>
      <c r="AO89" s="1193" t="str">
        <f>$I$89&amp;"."&amp;$M$89</f>
        <v>.</v>
      </c>
      <c r="AP89" s="1185" t="str">
        <f>$I$89&amp;"."&amp;$M$89&amp;"."&amp;$Q$89</f>
        <v>..</v>
      </c>
      <c r="AQ89" s="1185" t="str">
        <f>$I$89&amp;"."&amp;$M$89&amp;"."&amp;$Q$89&amp;"."&amp;$U$89</f>
        <v>...</v>
      </c>
      <c r="AR89" s="1276">
        <v>0</v>
      </c>
    </row>
    <row r="90" spans="1:44" s="1750" customFormat="1" ht="11.25" hidden="1" customHeight="1">
      <c r="A90" s="257"/>
      <c r="C90" s="256"/>
      <c r="D90" s="23980"/>
      <c r="E90" s="23969"/>
      <c r="F90" s="23983"/>
      <c r="G90" s="23969"/>
      <c r="H90" s="23972"/>
      <c r="I90" s="23974"/>
      <c r="J90" s="23976"/>
      <c r="K90" s="23968"/>
      <c r="L90" s="23968"/>
      <c r="M90" s="23968"/>
      <c r="N90" s="23979"/>
      <c r="O90" s="23968"/>
      <c r="P90" s="23968"/>
      <c r="Q90" s="23968"/>
      <c r="R90" s="23966"/>
      <c r="S90" s="23968"/>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50" customFormat="1" ht="11.25" hidden="1" customHeight="1">
      <c r="A91" s="257"/>
      <c r="C91" s="256"/>
      <c r="D91" s="23981"/>
      <c r="E91" s="23970"/>
      <c r="F91" s="23983"/>
      <c r="G91" s="23970"/>
      <c r="H91" s="23972"/>
      <c r="I91" s="23974"/>
      <c r="J91" s="23977"/>
      <c r="K91" s="23968"/>
      <c r="L91" s="23968"/>
      <c r="M91" s="23968"/>
      <c r="N91" s="23966"/>
      <c r="O91" s="23968"/>
      <c r="P91" s="1370"/>
      <c r="Q91" s="1223"/>
      <c r="R91" s="1223"/>
      <c r="S91" s="265"/>
      <c r="T91" s="265"/>
      <c r="U91" s="265"/>
      <c r="V91" s="265"/>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50" customFormat="1" ht="11.25" hidden="1" customHeight="1">
      <c r="A92" s="257"/>
      <c r="C92" s="256"/>
      <c r="D92" s="23981"/>
      <c r="E92" s="23970"/>
      <c r="F92" s="23983"/>
      <c r="G92" s="23970"/>
      <c r="H92" s="23972"/>
      <c r="I92" s="23974"/>
      <c r="J92" s="23977"/>
      <c r="K92" s="23968"/>
      <c r="L92" s="1223"/>
      <c r="M92" s="1223"/>
      <c r="N92" s="1223"/>
      <c r="O92" s="1223"/>
      <c r="P92" s="1223"/>
      <c r="Q92" s="1223"/>
      <c r="R92" s="1223"/>
      <c r="S92" s="265"/>
      <c r="T92" s="265"/>
      <c r="U92" s="265"/>
      <c r="V92" s="265"/>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50" customFormat="1" ht="11.25" hidden="1" customHeight="1">
      <c r="A93" s="257"/>
      <c r="C93" s="256"/>
      <c r="D93" s="23981"/>
      <c r="E93" s="23970"/>
      <c r="F93" s="23984"/>
      <c r="G93" s="23970"/>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50" customFormat="1" ht="11.25" hidden="1" customHeight="1">
      <c r="A94" s="257"/>
      <c r="C94" s="146"/>
      <c r="D94" s="23980">
        <v>4</v>
      </c>
      <c r="E94" s="23969" t="s">
        <v>337</v>
      </c>
      <c r="F94" s="23982" t="s">
        <v>6</v>
      </c>
      <c r="G94" s="23969"/>
      <c r="H94" s="23971"/>
      <c r="I94" s="23973"/>
      <c r="J94" s="23975"/>
      <c r="K94" s="23967"/>
      <c r="L94" s="23967"/>
      <c r="M94" s="23967"/>
      <c r="N94" s="23978"/>
      <c r="O94" s="23967"/>
      <c r="P94" s="23967"/>
      <c r="Q94" s="23967"/>
      <c r="R94" s="23965"/>
      <c r="S94" s="23967"/>
      <c r="T94" s="1369"/>
      <c r="U94" s="1369"/>
      <c r="V94" s="1371"/>
      <c r="W94" s="1222"/>
      <c r="X94" s="1193"/>
      <c r="Y94" s="1193"/>
      <c r="Z94" s="1193"/>
      <c r="AA94" s="1193"/>
      <c r="AB94" s="1193"/>
      <c r="AC94" s="1193" t="s">
        <v>338</v>
      </c>
      <c r="AD94" s="1193" t="s">
        <v>339</v>
      </c>
      <c r="AE94" s="1193" t="s">
        <v>340</v>
      </c>
      <c r="AF94" s="1193" t="s">
        <v>341</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70">
        <f>$I$94</f>
        <v>0</v>
      </c>
      <c r="AO94" s="1193" t="str">
        <f>$I$94&amp;"."&amp;$M$94</f>
        <v>.</v>
      </c>
      <c r="AP94" s="1185" t="str">
        <f>$I$94&amp;"."&amp;$M$94&amp;"."&amp;$Q$94</f>
        <v>..</v>
      </c>
      <c r="AQ94" s="1185" t="str">
        <f>$I$94&amp;"."&amp;$M$94&amp;"."&amp;$Q$94&amp;"."&amp;$U$94</f>
        <v>...</v>
      </c>
      <c r="AR94" s="1276">
        <v>0</v>
      </c>
    </row>
    <row r="95" spans="1:44" s="1750" customFormat="1" ht="11.25" hidden="1" customHeight="1">
      <c r="A95" s="257"/>
      <c r="C95" s="256"/>
      <c r="D95" s="23980"/>
      <c r="E95" s="23969"/>
      <c r="F95" s="23983"/>
      <c r="G95" s="23969"/>
      <c r="H95" s="23972"/>
      <c r="I95" s="23974"/>
      <c r="J95" s="23976"/>
      <c r="K95" s="23968"/>
      <c r="L95" s="23968"/>
      <c r="M95" s="23968"/>
      <c r="N95" s="23979"/>
      <c r="O95" s="23968"/>
      <c r="P95" s="23968"/>
      <c r="Q95" s="23968"/>
      <c r="R95" s="23966"/>
      <c r="S95" s="23968"/>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50" customFormat="1" ht="11.25" hidden="1" customHeight="1">
      <c r="A96" s="257"/>
      <c r="C96" s="256"/>
      <c r="D96" s="23981"/>
      <c r="E96" s="23970"/>
      <c r="F96" s="23983"/>
      <c r="G96" s="23970"/>
      <c r="H96" s="23972"/>
      <c r="I96" s="23974"/>
      <c r="J96" s="23977"/>
      <c r="K96" s="23968"/>
      <c r="L96" s="23968"/>
      <c r="M96" s="23968"/>
      <c r="N96" s="23966"/>
      <c r="O96" s="23968"/>
      <c r="P96" s="1370"/>
      <c r="Q96" s="1223"/>
      <c r="R96" s="1223"/>
      <c r="S96" s="265"/>
      <c r="T96" s="265"/>
      <c r="U96" s="265"/>
      <c r="V96" s="265"/>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50" customFormat="1" ht="11.25" hidden="1" customHeight="1">
      <c r="A97" s="257"/>
      <c r="C97" s="256"/>
      <c r="D97" s="23981"/>
      <c r="E97" s="23970"/>
      <c r="F97" s="23983"/>
      <c r="G97" s="23970"/>
      <c r="H97" s="23972"/>
      <c r="I97" s="23974"/>
      <c r="J97" s="23977"/>
      <c r="K97" s="23968"/>
      <c r="L97" s="1223"/>
      <c r="M97" s="1223"/>
      <c r="N97" s="1223"/>
      <c r="O97" s="1223"/>
      <c r="P97" s="1223"/>
      <c r="Q97" s="1223"/>
      <c r="R97" s="1223"/>
      <c r="S97" s="265"/>
      <c r="T97" s="265"/>
      <c r="U97" s="265"/>
      <c r="V97" s="265"/>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50" customFormat="1" ht="11.25" hidden="1" customHeight="1">
      <c r="A98" s="257"/>
      <c r="C98" s="256"/>
      <c r="D98" s="23981"/>
      <c r="E98" s="23970"/>
      <c r="F98" s="23984"/>
      <c r="G98" s="23970"/>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50" customFormat="1" ht="11.25" hidden="1" customHeight="1">
      <c r="A99" s="257"/>
      <c r="C99" s="146"/>
      <c r="D99" s="23980">
        <v>5</v>
      </c>
      <c r="E99" s="23969" t="s">
        <v>342</v>
      </c>
      <c r="F99" s="23982" t="s">
        <v>6</v>
      </c>
      <c r="G99" s="23969"/>
      <c r="H99" s="23971"/>
      <c r="I99" s="23973"/>
      <c r="J99" s="23975"/>
      <c r="K99" s="23967"/>
      <c r="L99" s="23967"/>
      <c r="M99" s="23967"/>
      <c r="N99" s="23978"/>
      <c r="O99" s="23967"/>
      <c r="P99" s="23967"/>
      <c r="Q99" s="23967"/>
      <c r="R99" s="23965"/>
      <c r="S99" s="23967"/>
      <c r="T99" s="1837"/>
      <c r="U99" s="1837"/>
      <c r="V99" s="1839"/>
      <c r="W99" s="1222"/>
      <c r="X99" s="1193"/>
      <c r="Y99" s="1193"/>
      <c r="Z99" s="1193"/>
      <c r="AA99" s="1193"/>
      <c r="AB99" s="1193"/>
      <c r="AC99" s="1193" t="s">
        <v>343</v>
      </c>
      <c r="AD99" s="1193" t="s">
        <v>344</v>
      </c>
      <c r="AE99" s="1193" t="s">
        <v>345</v>
      </c>
      <c r="AF99" s="1193" t="s">
        <v>346</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70">
        <f>$I$99</f>
        <v>0</v>
      </c>
      <c r="AO99" s="1193" t="str">
        <f>$I$99&amp;"."&amp;$M$99</f>
        <v>.</v>
      </c>
      <c r="AP99" s="1192" t="str">
        <f>$I$99&amp;"."&amp;$M$99&amp;"."&amp;$Q$99</f>
        <v>..</v>
      </c>
      <c r="AQ99" s="1192" t="str">
        <f>$I$99&amp;"."&amp;$M$99&amp;"."&amp;$Q$99&amp;"."&amp;$U$99</f>
        <v>...</v>
      </c>
      <c r="AR99" s="1393">
        <v>0</v>
      </c>
    </row>
    <row r="100" spans="1:44" s="1750" customFormat="1" ht="11.25" hidden="1" customHeight="1">
      <c r="A100" s="257"/>
      <c r="C100" s="256"/>
      <c r="D100" s="23980"/>
      <c r="E100" s="23969"/>
      <c r="F100" s="23983"/>
      <c r="G100" s="23969"/>
      <c r="H100" s="23972"/>
      <c r="I100" s="23974"/>
      <c r="J100" s="23976"/>
      <c r="K100" s="23968"/>
      <c r="L100" s="23968"/>
      <c r="M100" s="23968"/>
      <c r="N100" s="23979"/>
      <c r="O100" s="23968"/>
      <c r="P100" s="23968"/>
      <c r="Q100" s="23968"/>
      <c r="R100" s="23966"/>
      <c r="S100" s="23968"/>
      <c r="T100" s="1842"/>
      <c r="U100" s="1842"/>
      <c r="V100" s="1842"/>
      <c r="W100" s="1843"/>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50" customFormat="1" ht="11.25" hidden="1" customHeight="1">
      <c r="A101" s="257"/>
      <c r="C101" s="256"/>
      <c r="D101" s="23981"/>
      <c r="E101" s="23970"/>
      <c r="F101" s="23983"/>
      <c r="G101" s="23970"/>
      <c r="H101" s="23972"/>
      <c r="I101" s="23974"/>
      <c r="J101" s="23977"/>
      <c r="K101" s="23968"/>
      <c r="L101" s="23968"/>
      <c r="M101" s="23968"/>
      <c r="N101" s="23966"/>
      <c r="O101" s="23968"/>
      <c r="P101" s="1838"/>
      <c r="Q101" s="1842"/>
      <c r="R101" s="1842"/>
      <c r="S101" s="265"/>
      <c r="T101" s="265"/>
      <c r="U101" s="265"/>
      <c r="V101" s="265"/>
      <c r="W101" s="1843"/>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50" customFormat="1" ht="11.25" hidden="1" customHeight="1">
      <c r="A102" s="257"/>
      <c r="C102" s="256"/>
      <c r="D102" s="23981"/>
      <c r="E102" s="23970"/>
      <c r="F102" s="23983"/>
      <c r="G102" s="23970"/>
      <c r="H102" s="23972"/>
      <c r="I102" s="23974"/>
      <c r="J102" s="23977"/>
      <c r="K102" s="23968"/>
      <c r="L102" s="1842"/>
      <c r="M102" s="1842"/>
      <c r="N102" s="1842"/>
      <c r="O102" s="1842"/>
      <c r="P102" s="1842"/>
      <c r="Q102" s="1842"/>
      <c r="R102" s="1842"/>
      <c r="S102" s="265"/>
      <c r="T102" s="265"/>
      <c r="U102" s="265"/>
      <c r="V102" s="265"/>
      <c r="W102" s="1843"/>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50" customFormat="1" ht="11.25" hidden="1" customHeight="1">
      <c r="A103" s="257"/>
      <c r="C103" s="256"/>
      <c r="D103" s="23981"/>
      <c r="E103" s="23970"/>
      <c r="F103" s="23984"/>
      <c r="G103" s="23970"/>
      <c r="H103" s="1225"/>
      <c r="I103" s="1840"/>
      <c r="J103" s="1840"/>
      <c r="K103" s="1840"/>
      <c r="L103" s="1840"/>
      <c r="M103" s="1840"/>
      <c r="N103" s="1840"/>
      <c r="O103" s="1840"/>
      <c r="P103" s="1840"/>
      <c r="Q103" s="1840"/>
      <c r="R103" s="1840"/>
      <c r="S103" s="1227"/>
      <c r="T103" s="1227"/>
      <c r="U103" s="1227"/>
      <c r="V103" s="1227"/>
      <c r="W103" s="1841"/>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50" customFormat="1" ht="11.25" hidden="1" customHeight="1">
      <c r="A104" s="213"/>
      <c r="B104" s="213"/>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50" customFormat="1" ht="17.25" customHeight="1">
      <c r="A105" s="257"/>
      <c r="C105" s="146"/>
      <c r="D105" s="23980">
        <v>1</v>
      </c>
      <c r="E105" s="23969" t="s">
        <v>347</v>
      </c>
      <c r="F105" s="23982" t="s">
        <v>59</v>
      </c>
      <c r="G105" s="23987" t="str">
        <f>INDEX(VD_NAME_LIST,MATCH("4189702",VD_ID_LIST,0))</f>
        <v>Горячее водоснабжение</v>
      </c>
      <c r="H105" s="24014"/>
      <c r="I105" s="24014">
        <v>1</v>
      </c>
      <c r="J105" s="24015" t="s">
        <v>348</v>
      </c>
      <c r="K105" s="24018" t="s">
        <v>59</v>
      </c>
      <c r="L105" s="23958"/>
      <c r="M105" s="23958" t="s">
        <v>218</v>
      </c>
      <c r="N105" s="24010" t="str">
        <f>IF(Z105="","",INDEX(TERRITORY_MR_LIST,MATCH(Z105,TERRITORY_LIST_ID,0)))</f>
        <v>Территория 1</v>
      </c>
      <c r="O105" s="24018" t="s">
        <v>59</v>
      </c>
      <c r="P105" s="23958"/>
      <c r="Q105" s="23958" t="s">
        <v>218</v>
      </c>
      <c r="R105" s="24020" t="s">
        <v>349</v>
      </c>
      <c r="S105" s="24013" t="s">
        <v>6</v>
      </c>
      <c r="T105" s="1980"/>
      <c r="U105" s="1980" t="s">
        <v>218</v>
      </c>
      <c r="V105" s="1360"/>
      <c r="W105" s="24015"/>
      <c r="Y105" s="1193"/>
      <c r="Z105" s="1193" t="s">
        <v>89</v>
      </c>
      <c r="AA105" s="1193"/>
      <c r="AB105" s="1193" t="s">
        <v>350</v>
      </c>
      <c r="AC105" s="1193" t="s">
        <v>351</v>
      </c>
      <c r="AD105" s="1193" t="s">
        <v>352</v>
      </c>
      <c r="AE105" s="1193" t="s">
        <v>353</v>
      </c>
      <c r="AF105" s="1193" t="s">
        <v>354</v>
      </c>
      <c r="AG105" s="1193"/>
      <c r="AH105" s="1193" t="str">
        <f>IF($E$105=0,"",$E$105)</f>
        <v>Тариф на горячую воду (горячее водоснабжение)</v>
      </c>
      <c r="AI105" s="1193" t="str">
        <f>IF($G$105=0,"",$G$105)</f>
        <v>Горячее водоснабжение</v>
      </c>
      <c r="AJ105" s="1193" t="str">
        <f>IF($J$105=0,"",$J$105)</f>
        <v>Тариф на горячую воду с использованием закрытой системы горячего водоснабжения</v>
      </c>
      <c r="AK105" s="1193" t="str">
        <f>IF($K$105="нет","без дифференциации",IF($N$105=0,"",$N$105))</f>
        <v>Территория 1</v>
      </c>
      <c r="AL105" s="1193" t="str">
        <f>IF($O$105="нет","без дифференциации",IF($R$105=0,"",$R$105))</f>
        <v>г. Вязьма Вяземского муниципального округа Смоленской области</v>
      </c>
      <c r="AM105" s="1193" t="str">
        <f>IF($S$105="нет","без дифференциации",IF($V$105=0,"",$V$105))</f>
        <v>без дифференциации</v>
      </c>
      <c r="AN105" s="1193">
        <f>$I$105</f>
        <v>1</v>
      </c>
      <c r="AO105" s="1193" t="str">
        <f>$I$105&amp;"."&amp;$M$105</f>
        <v>1.1</v>
      </c>
      <c r="AP105" s="1193" t="str">
        <f>$I$105&amp;"."&amp;$M$105&amp;"."&amp;$Q$105</f>
        <v>1.1.1</v>
      </c>
      <c r="AQ105" s="1193" t="str">
        <f>$I$105&amp;"."&amp;$M$105&amp;"."&amp;$Q$105&amp;"."&amp;$U$105</f>
        <v>1.1.1.1</v>
      </c>
      <c r="AR105" s="1393">
        <v>0</v>
      </c>
    </row>
    <row r="106" spans="1:44" s="1750" customFormat="1" ht="17.25" customHeight="1">
      <c r="A106" s="257"/>
      <c r="C106" s="256"/>
      <c r="D106" s="23980"/>
      <c r="E106" s="23969"/>
      <c r="F106" s="23983"/>
      <c r="G106" s="23987"/>
      <c r="H106" s="24014"/>
      <c r="I106" s="24014"/>
      <c r="J106" s="24015"/>
      <c r="K106" s="24019"/>
      <c r="L106" s="23958"/>
      <c r="M106" s="23958"/>
      <c r="N106" s="24010"/>
      <c r="O106" s="24019"/>
      <c r="P106" s="23958"/>
      <c r="Q106" s="23958"/>
      <c r="R106" s="24020"/>
      <c r="S106" s="24013"/>
      <c r="T106" s="1361"/>
      <c r="U106" s="1362"/>
      <c r="V106" s="1362"/>
      <c r="W106" s="24015"/>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ht="28.5" customHeight="1">
      <c r="A107" s="1737"/>
      <c r="B107" s="1750"/>
      <c r="C107" s="1739"/>
      <c r="D107" s="23985"/>
      <c r="E107" s="23986"/>
      <c r="F107" s="23983"/>
      <c r="G107" s="23988"/>
      <c r="H107" s="23985"/>
      <c r="I107" s="23985"/>
      <c r="J107" s="24016"/>
      <c r="K107" s="23988"/>
      <c r="L107" s="23985"/>
      <c r="M107" s="23985"/>
      <c r="N107" s="24011"/>
      <c r="O107" s="24019"/>
      <c r="P107" s="23958" t="s">
        <v>96</v>
      </c>
      <c r="Q107" s="23958" t="s">
        <v>95</v>
      </c>
      <c r="R107" s="24020" t="s">
        <v>355</v>
      </c>
      <c r="S107" s="24013" t="s">
        <v>6</v>
      </c>
      <c r="T107" s="1700"/>
      <c r="U107" s="1700" t="s">
        <v>218</v>
      </c>
      <c r="V107" s="1360"/>
      <c r="W107" s="24015"/>
      <c r="Y107" s="1193"/>
      <c r="Z107" s="1193"/>
      <c r="AA107" s="1193"/>
      <c r="AB107" s="1193"/>
      <c r="AC107" s="1868" t="s">
        <v>351</v>
      </c>
      <c r="AD107" s="1868" t="s">
        <v>352</v>
      </c>
      <c r="AE107" s="1868" t="s">
        <v>353</v>
      </c>
      <c r="AF107" s="1193" t="s">
        <v>356</v>
      </c>
      <c r="AG107" s="1193" t="s">
        <v>357</v>
      </c>
      <c r="AH107" s="1193" t="str">
        <f>IF($E$105=0,"",$E$105)</f>
        <v>Тариф на горячую воду (горячее водоснабжение)</v>
      </c>
      <c r="AI107" s="1193" t="str">
        <f>IF($G$105=0,"",$G$105)</f>
        <v>Горячее водоснабжение</v>
      </c>
      <c r="AJ107" s="1193" t="str">
        <f>IF($J$105=0,"",$J$105)</f>
        <v>Тариф на горячую воду с использованием закрытой системы горячего водоснабжения</v>
      </c>
      <c r="AK107" s="1193" t="str">
        <f>IF($K$105="нет","без дифференциации",IF($N$105=0,"",$N$105))</f>
        <v>Территория 1</v>
      </c>
      <c r="AL107" s="1741" t="str">
        <f>IF($O$107="нет","без дифференциации",IF($R$107=0,"",$R$107))</f>
        <v>г.Вязьма  (для потребителей нагрузки, которых переведены с котельной  ОАО «БэтЭлТранс»)</v>
      </c>
      <c r="AM107" s="1741"/>
      <c r="AN107" s="1193">
        <f>$I$105</f>
        <v>1</v>
      </c>
      <c r="AO107" s="1193" t="str">
        <f>$I$105&amp;"."&amp;$M$105</f>
        <v>1.1</v>
      </c>
      <c r="AP107" s="1193" t="str">
        <f>$I$105&amp;"."&amp;$M$105&amp;"."&amp;$Q$107</f>
        <v>1.1.2</v>
      </c>
      <c r="AQ107" s="1193"/>
    </row>
    <row r="108" spans="1:44" ht="17.25" customHeight="1">
      <c r="A108" s="1737"/>
      <c r="B108" s="1750"/>
      <c r="C108" s="1742"/>
      <c r="D108" s="23985"/>
      <c r="E108" s="23986"/>
      <c r="F108" s="23983"/>
      <c r="G108" s="23988"/>
      <c r="H108" s="23985"/>
      <c r="I108" s="23985"/>
      <c r="J108" s="24016"/>
      <c r="K108" s="23988"/>
      <c r="L108" s="23985"/>
      <c r="M108" s="23985"/>
      <c r="N108" s="24011"/>
      <c r="O108" s="24019"/>
      <c r="P108" s="23958"/>
      <c r="Q108" s="23958"/>
      <c r="R108" s="24020"/>
      <c r="S108" s="24013"/>
      <c r="T108" s="1361"/>
      <c r="U108" s="1362"/>
      <c r="V108" s="1362"/>
      <c r="W108" s="24015"/>
      <c r="Y108" s="1185"/>
      <c r="Z108" s="1185"/>
      <c r="AA108" s="1185"/>
      <c r="AB108" s="1185"/>
      <c r="AC108" s="1185"/>
      <c r="AD108" s="1185"/>
      <c r="AE108" s="1185"/>
      <c r="AF108" s="1185"/>
      <c r="AG108" s="1185"/>
      <c r="AH108" s="1185"/>
      <c r="AI108" s="1185"/>
      <c r="AJ108" s="1185"/>
      <c r="AK108" s="1185"/>
      <c r="AL108" s="1750"/>
      <c r="AM108" s="1750"/>
      <c r="AN108" s="1750"/>
      <c r="AO108" s="1750"/>
      <c r="AP108" s="1750"/>
      <c r="AQ108" s="1750"/>
    </row>
    <row r="109" spans="1:44" ht="44.25" customHeight="1">
      <c r="A109" s="1737"/>
      <c r="B109" s="1750"/>
      <c r="C109" s="1739"/>
      <c r="D109" s="23985"/>
      <c r="E109" s="23986"/>
      <c r="F109" s="23983"/>
      <c r="G109" s="23988"/>
      <c r="H109" s="23985"/>
      <c r="I109" s="23985"/>
      <c r="J109" s="24016"/>
      <c r="K109" s="23988"/>
      <c r="L109" s="23985"/>
      <c r="M109" s="23985"/>
      <c r="N109" s="24011"/>
      <c r="O109" s="24019"/>
      <c r="P109" s="23958" t="s">
        <v>96</v>
      </c>
      <c r="Q109" s="23958" t="s">
        <v>81</v>
      </c>
      <c r="R109" s="24020" t="s">
        <v>358</v>
      </c>
      <c r="S109" s="24013" t="s">
        <v>6</v>
      </c>
      <c r="T109" s="1700"/>
      <c r="U109" s="1700" t="s">
        <v>218</v>
      </c>
      <c r="V109" s="1360"/>
      <c r="W109" s="24015"/>
      <c r="Y109" s="1193"/>
      <c r="Z109" s="1193"/>
      <c r="AA109" s="1193"/>
      <c r="AB109" s="1193"/>
      <c r="AC109" s="1868" t="s">
        <v>351</v>
      </c>
      <c r="AD109" s="1868" t="s">
        <v>352</v>
      </c>
      <c r="AE109" s="1868" t="s">
        <v>353</v>
      </c>
      <c r="AF109" s="1193" t="s">
        <v>359</v>
      </c>
      <c r="AG109" s="1193" t="s">
        <v>360</v>
      </c>
      <c r="AH109" s="1193" t="str">
        <f>IF($E$105=0,"",$E$105)</f>
        <v>Тариф на горячую воду (горячее водоснабжение)</v>
      </c>
      <c r="AI109" s="1193" t="str">
        <f>IF($G$105=0,"",$G$105)</f>
        <v>Горячее водоснабжение</v>
      </c>
      <c r="AJ109" s="1193" t="str">
        <f>IF($J$105=0,"",$J$105)</f>
        <v>Тариф на горячую воду с использованием закрытой системы горячего водоснабжения</v>
      </c>
      <c r="AK109" s="1193" t="str">
        <f>IF($K$105="нет","без дифференциации",IF($N$105=0,"",$N$105))</f>
        <v>Территория 1</v>
      </c>
      <c r="AL109" s="1741" t="str">
        <f>IF($O$109="нет","без дифференциации",IF($R$109=0,"",$R$109))</f>
        <v>г. Вязьма  (для потребителей, теплоснабжение которых осуществляется  от блочно-модульной котельной по ул. Гоголя)</v>
      </c>
      <c r="AM109" s="1741"/>
      <c r="AN109" s="1193">
        <f>$I$105</f>
        <v>1</v>
      </c>
      <c r="AO109" s="1193" t="str">
        <f>$I$105&amp;"."&amp;$M$105</f>
        <v>1.1</v>
      </c>
      <c r="AP109" s="1193" t="str">
        <f>$I$105&amp;"."&amp;$M$105&amp;"."&amp;$Q$109</f>
        <v>1.1.3</v>
      </c>
      <c r="AQ109" s="1193"/>
    </row>
    <row r="110" spans="1:44" ht="17.25" customHeight="1">
      <c r="A110" s="1737"/>
      <c r="B110" s="1750"/>
      <c r="C110" s="1742"/>
      <c r="D110" s="23985"/>
      <c r="E110" s="23986"/>
      <c r="F110" s="23983"/>
      <c r="G110" s="23988"/>
      <c r="H110" s="23985"/>
      <c r="I110" s="23985"/>
      <c r="J110" s="24016"/>
      <c r="K110" s="23988"/>
      <c r="L110" s="23985"/>
      <c r="M110" s="23985"/>
      <c r="N110" s="24011"/>
      <c r="O110" s="24019"/>
      <c r="P110" s="23958"/>
      <c r="Q110" s="23958"/>
      <c r="R110" s="24020"/>
      <c r="S110" s="24013"/>
      <c r="T110" s="1361"/>
      <c r="U110" s="1362"/>
      <c r="V110" s="1362"/>
      <c r="W110" s="24015"/>
      <c r="Y110" s="1185"/>
      <c r="Z110" s="1185"/>
      <c r="AA110" s="1185"/>
      <c r="AB110" s="1185"/>
      <c r="AC110" s="1185"/>
      <c r="AD110" s="1185"/>
      <c r="AE110" s="1185"/>
      <c r="AF110" s="1185"/>
      <c r="AG110" s="1185"/>
      <c r="AH110" s="1185"/>
      <c r="AI110" s="1185"/>
      <c r="AJ110" s="1185"/>
      <c r="AK110" s="1185"/>
      <c r="AL110" s="1750"/>
      <c r="AM110" s="1750"/>
      <c r="AN110" s="1750"/>
      <c r="AO110" s="1750"/>
      <c r="AP110" s="1750"/>
      <c r="AQ110" s="1750"/>
    </row>
    <row r="111" spans="1:44" ht="36" customHeight="1">
      <c r="A111" s="1737"/>
      <c r="B111" s="1750"/>
      <c r="C111" s="1739"/>
      <c r="D111" s="23985"/>
      <c r="E111" s="23986"/>
      <c r="F111" s="23983"/>
      <c r="G111" s="23988"/>
      <c r="H111" s="23985"/>
      <c r="I111" s="23985"/>
      <c r="J111" s="24016"/>
      <c r="K111" s="23988"/>
      <c r="L111" s="23985"/>
      <c r="M111" s="23985"/>
      <c r="N111" s="24011"/>
      <c r="O111" s="24019"/>
      <c r="P111" s="23958" t="s">
        <v>96</v>
      </c>
      <c r="Q111" s="23958" t="s">
        <v>82</v>
      </c>
      <c r="R111" s="24020" t="s">
        <v>361</v>
      </c>
      <c r="S111" s="24013" t="s">
        <v>6</v>
      </c>
      <c r="T111" s="1700"/>
      <c r="U111" s="1700" t="s">
        <v>218</v>
      </c>
      <c r="V111" s="1360"/>
      <c r="W111" s="24015"/>
      <c r="Y111" s="1193"/>
      <c r="Z111" s="1193"/>
      <c r="AA111" s="1193"/>
      <c r="AB111" s="1193"/>
      <c r="AC111" s="1868" t="s">
        <v>351</v>
      </c>
      <c r="AD111" s="1868" t="s">
        <v>352</v>
      </c>
      <c r="AE111" s="1868" t="s">
        <v>353</v>
      </c>
      <c r="AF111" s="1193" t="s">
        <v>362</v>
      </c>
      <c r="AG111" s="1193" t="s">
        <v>363</v>
      </c>
      <c r="AH111" s="1193" t="str">
        <f>IF($E$105=0,"",$E$105)</f>
        <v>Тариф на горячую воду (горячее водоснабжение)</v>
      </c>
      <c r="AI111" s="1193" t="str">
        <f>IF($G$105=0,"",$G$105)</f>
        <v>Горячее водоснабжение</v>
      </c>
      <c r="AJ111" s="1193" t="str">
        <f>IF($J$105=0,"",$J$105)</f>
        <v>Тариф на горячую воду с использованием закрытой системы горячего водоснабжения</v>
      </c>
      <c r="AK111" s="1193" t="str">
        <f>IF($K$105="нет","без дифференциации",IF($N$105=0,"",$N$105))</f>
        <v>Территория 1</v>
      </c>
      <c r="AL111" s="1741" t="str">
        <f>IF($O$111="нет","без дифференциации",IF($R$111=0,"",$R$111))</f>
        <v>г. Вязьма  (для потребителей, нагрузки которых переведены с котельной ОАО «Вяземский машиностроительный завод»)</v>
      </c>
      <c r="AM111" s="1741"/>
      <c r="AN111" s="1193">
        <f>$I$105</f>
        <v>1</v>
      </c>
      <c r="AO111" s="1193" t="str">
        <f>$I$105&amp;"."&amp;$M$105</f>
        <v>1.1</v>
      </c>
      <c r="AP111" s="1193" t="str">
        <f>$I$105&amp;"."&amp;$M$105&amp;"."&amp;$Q$111</f>
        <v>1.1.4</v>
      </c>
      <c r="AQ111" s="1193"/>
    </row>
    <row r="112" spans="1:44" ht="17.25" customHeight="1">
      <c r="A112" s="1737"/>
      <c r="B112" s="1750"/>
      <c r="C112" s="1742"/>
      <c r="D112" s="23985"/>
      <c r="E112" s="23986"/>
      <c r="F112" s="23983"/>
      <c r="G112" s="23988"/>
      <c r="H112" s="23985"/>
      <c r="I112" s="23985"/>
      <c r="J112" s="24016"/>
      <c r="K112" s="23988"/>
      <c r="L112" s="23985"/>
      <c r="M112" s="23985"/>
      <c r="N112" s="24011"/>
      <c r="O112" s="24019"/>
      <c r="P112" s="23958"/>
      <c r="Q112" s="23958"/>
      <c r="R112" s="24020"/>
      <c r="S112" s="24013"/>
      <c r="T112" s="1361"/>
      <c r="U112" s="1362"/>
      <c r="V112" s="1362"/>
      <c r="W112" s="24015"/>
      <c r="Y112" s="1185"/>
      <c r="Z112" s="1185"/>
      <c r="AA112" s="1185"/>
      <c r="AB112" s="1185"/>
      <c r="AC112" s="1185"/>
      <c r="AD112" s="1185"/>
      <c r="AE112" s="1185"/>
      <c r="AF112" s="1185"/>
      <c r="AG112" s="1185"/>
      <c r="AH112" s="1185"/>
      <c r="AI112" s="1185"/>
      <c r="AJ112" s="1185"/>
      <c r="AK112" s="1185"/>
      <c r="AL112" s="1750"/>
      <c r="AM112" s="1750"/>
      <c r="AN112" s="1750"/>
      <c r="AO112" s="1750"/>
      <c r="AP112" s="1750"/>
      <c r="AQ112" s="1750"/>
    </row>
    <row r="113" spans="1:44" ht="17.25" customHeight="1">
      <c r="A113" s="1737"/>
      <c r="B113" s="1750"/>
      <c r="C113" s="1739"/>
      <c r="D113" s="23985"/>
      <c r="E113" s="23986"/>
      <c r="F113" s="23983"/>
      <c r="G113" s="23988"/>
      <c r="H113" s="23985"/>
      <c r="I113" s="23985"/>
      <c r="J113" s="24016"/>
      <c r="K113" s="23988"/>
      <c r="L113" s="23985"/>
      <c r="M113" s="23985"/>
      <c r="N113" s="24011"/>
      <c r="O113" s="24019"/>
      <c r="P113" s="23958" t="s">
        <v>96</v>
      </c>
      <c r="Q113" s="23958" t="s">
        <v>109</v>
      </c>
      <c r="R113" s="24020" t="s">
        <v>364</v>
      </c>
      <c r="S113" s="24013" t="s">
        <v>6</v>
      </c>
      <c r="T113" s="1700"/>
      <c r="U113" s="1700" t="s">
        <v>218</v>
      </c>
      <c r="V113" s="1360"/>
      <c r="W113" s="24015"/>
      <c r="Y113" s="1193"/>
      <c r="Z113" s="1193"/>
      <c r="AA113" s="1193"/>
      <c r="AB113" s="1193"/>
      <c r="AC113" s="1868" t="s">
        <v>351</v>
      </c>
      <c r="AD113" s="1868" t="s">
        <v>352</v>
      </c>
      <c r="AE113" s="1868" t="s">
        <v>353</v>
      </c>
      <c r="AF113" s="1193" t="s">
        <v>365</v>
      </c>
      <c r="AG113" s="1193" t="s">
        <v>366</v>
      </c>
      <c r="AH113" s="1193" t="str">
        <f>IF($E$105=0,"",$E$105)</f>
        <v>Тариф на горячую воду (горячее водоснабжение)</v>
      </c>
      <c r="AI113" s="1193" t="str">
        <f>IF($G$105=0,"",$G$105)</f>
        <v>Горячее водоснабжение</v>
      </c>
      <c r="AJ113" s="1193" t="str">
        <f>IF($J$105=0,"",$J$105)</f>
        <v>Тариф на горячую воду с использованием закрытой системы горячего водоснабжения</v>
      </c>
      <c r="AK113" s="1193" t="str">
        <f>IF($K$105="нет","без дифференциации",IF($N$105=0,"",$N$105))</f>
        <v>Территория 1</v>
      </c>
      <c r="AL113" s="1741" t="str">
        <f>IF($O$113="нет","без дифференциации",IF($R$113=0,"",$R$113))</f>
        <v>Г. Вязьма, ул. Московская</v>
      </c>
      <c r="AM113" s="1741"/>
      <c r="AN113" s="1193">
        <f>$I$105</f>
        <v>1</v>
      </c>
      <c r="AO113" s="1193" t="str">
        <f>$I$105&amp;"."&amp;$M$105</f>
        <v>1.1</v>
      </c>
      <c r="AP113" s="1193" t="str">
        <f>$I$105&amp;"."&amp;$M$105&amp;"."&amp;$Q$113</f>
        <v>1.1.5</v>
      </c>
      <c r="AQ113" s="1193"/>
    </row>
    <row r="114" spans="1:44" ht="17.25" customHeight="1">
      <c r="A114" s="1737"/>
      <c r="B114" s="1750"/>
      <c r="C114" s="1742"/>
      <c r="D114" s="23985"/>
      <c r="E114" s="23986"/>
      <c r="F114" s="23983"/>
      <c r="G114" s="23988"/>
      <c r="H114" s="23985"/>
      <c r="I114" s="23985"/>
      <c r="J114" s="24016"/>
      <c r="K114" s="23988"/>
      <c r="L114" s="23985"/>
      <c r="M114" s="23985"/>
      <c r="N114" s="24011"/>
      <c r="O114" s="24019"/>
      <c r="P114" s="23958"/>
      <c r="Q114" s="23958"/>
      <c r="R114" s="24020"/>
      <c r="S114" s="24013"/>
      <c r="T114" s="1361"/>
      <c r="U114" s="1362"/>
      <c r="V114" s="1362"/>
      <c r="W114" s="24015"/>
      <c r="Y114" s="1185"/>
      <c r="Z114" s="1185"/>
      <c r="AA114" s="1185"/>
      <c r="AB114" s="1185"/>
      <c r="AC114" s="1185"/>
      <c r="AD114" s="1185"/>
      <c r="AE114" s="1185"/>
      <c r="AF114" s="1185"/>
      <c r="AG114" s="1185"/>
      <c r="AH114" s="1185"/>
      <c r="AI114" s="1185"/>
      <c r="AJ114" s="1185"/>
      <c r="AK114" s="1185"/>
      <c r="AL114" s="1750"/>
      <c r="AM114" s="1750"/>
      <c r="AN114" s="1750"/>
      <c r="AO114" s="1750"/>
      <c r="AP114" s="1750"/>
      <c r="AQ114" s="1750"/>
    </row>
    <row r="115" spans="1:44" ht="17.25" customHeight="1">
      <c r="A115" s="1737"/>
      <c r="B115" s="1750"/>
      <c r="C115" s="1739"/>
      <c r="D115" s="23985"/>
      <c r="E115" s="23986"/>
      <c r="F115" s="23983"/>
      <c r="G115" s="23988"/>
      <c r="H115" s="23985"/>
      <c r="I115" s="23985"/>
      <c r="J115" s="24016"/>
      <c r="K115" s="23988"/>
      <c r="L115" s="23985"/>
      <c r="M115" s="23985"/>
      <c r="N115" s="24011"/>
      <c r="O115" s="24019"/>
      <c r="P115" s="23958" t="s">
        <v>96</v>
      </c>
      <c r="Q115" s="23958" t="s">
        <v>83</v>
      </c>
      <c r="R115" s="24020" t="s">
        <v>367</v>
      </c>
      <c r="S115" s="24013" t="s">
        <v>6</v>
      </c>
      <c r="T115" s="1700"/>
      <c r="U115" s="1700" t="s">
        <v>218</v>
      </c>
      <c r="V115" s="1360"/>
      <c r="W115" s="24015"/>
      <c r="Y115" s="1193"/>
      <c r="Z115" s="1193"/>
      <c r="AA115" s="1193"/>
      <c r="AB115" s="1193"/>
      <c r="AC115" s="1868" t="s">
        <v>351</v>
      </c>
      <c r="AD115" s="1868" t="s">
        <v>352</v>
      </c>
      <c r="AE115" s="1868" t="s">
        <v>353</v>
      </c>
      <c r="AF115" s="1193" t="s">
        <v>368</v>
      </c>
      <c r="AG115" s="1193" t="s">
        <v>369</v>
      </c>
      <c r="AH115" s="1193" t="str">
        <f>IF($E$105=0,"",$E$105)</f>
        <v>Тариф на горячую воду (горячее водоснабжение)</v>
      </c>
      <c r="AI115" s="1193" t="str">
        <f>IF($G$105=0,"",$G$105)</f>
        <v>Горячее водоснабжение</v>
      </c>
      <c r="AJ115" s="1193" t="str">
        <f>IF($J$105=0,"",$J$105)</f>
        <v>Тариф на горячую воду с использованием закрытой системы горячего водоснабжения</v>
      </c>
      <c r="AK115" s="1193" t="str">
        <f>IF($K$105="нет","без дифференциации",IF($N$105=0,"",$N$105))</f>
        <v>Территория 1</v>
      </c>
      <c r="AL115" s="1741" t="str">
        <f>IF($O$115="нет","без дифференциации",IF($R$115=0,"",$R$115))</f>
        <v>для потребителей с. Вязьма-Брянская Вяземского муниципального округа Смоленской области</v>
      </c>
      <c r="AM115" s="1741"/>
      <c r="AN115" s="1193">
        <f>$I$105</f>
        <v>1</v>
      </c>
      <c r="AO115" s="1193" t="str">
        <f>$I$105&amp;"."&amp;$M$105</f>
        <v>1.1</v>
      </c>
      <c r="AP115" s="1193" t="str">
        <f>$I$105&amp;"."&amp;$M$105&amp;"."&amp;$Q$115</f>
        <v>1.1.6</v>
      </c>
      <c r="AQ115" s="1193"/>
    </row>
    <row r="116" spans="1:44" ht="24.75" customHeight="1">
      <c r="A116" s="1737"/>
      <c r="B116" s="1750"/>
      <c r="C116" s="1742"/>
      <c r="D116" s="23985"/>
      <c r="E116" s="23986"/>
      <c r="F116" s="23983"/>
      <c r="G116" s="23988"/>
      <c r="H116" s="23985"/>
      <c r="I116" s="23985"/>
      <c r="J116" s="24016"/>
      <c r="K116" s="23988"/>
      <c r="L116" s="23985"/>
      <c r="M116" s="23985"/>
      <c r="N116" s="24011"/>
      <c r="O116" s="24019"/>
      <c r="P116" s="23958"/>
      <c r="Q116" s="23958"/>
      <c r="R116" s="24020"/>
      <c r="S116" s="24013"/>
      <c r="T116" s="1361"/>
      <c r="U116" s="1362"/>
      <c r="V116" s="1362"/>
      <c r="W116" s="24015"/>
      <c r="Y116" s="1185"/>
      <c r="Z116" s="1185"/>
      <c r="AA116" s="1185"/>
      <c r="AB116" s="1185"/>
      <c r="AC116" s="1185"/>
      <c r="AD116" s="1185"/>
      <c r="AE116" s="1185"/>
      <c r="AF116" s="1185"/>
      <c r="AG116" s="1185"/>
      <c r="AH116" s="1185"/>
      <c r="AI116" s="1185"/>
      <c r="AJ116" s="1185"/>
      <c r="AK116" s="1185"/>
      <c r="AL116" s="1750"/>
      <c r="AM116" s="1750"/>
      <c r="AN116" s="1750"/>
      <c r="AO116" s="1750"/>
      <c r="AP116" s="1750"/>
      <c r="AQ116" s="1750"/>
    </row>
    <row r="117" spans="1:44" s="1750" customFormat="1" ht="17.25" customHeight="1">
      <c r="A117" s="257"/>
      <c r="C117" s="146"/>
      <c r="D117" s="23980"/>
      <c r="E117" s="23969"/>
      <c r="F117" s="23983"/>
      <c r="G117" s="23987"/>
      <c r="H117" s="23981"/>
      <c r="I117" s="23981"/>
      <c r="J117" s="24017"/>
      <c r="K117" s="24019"/>
      <c r="L117" s="23981"/>
      <c r="M117" s="23981"/>
      <c r="N117" s="24012"/>
      <c r="O117" s="23962"/>
      <c r="P117" s="2001"/>
      <c r="Q117" s="2002"/>
      <c r="R117" s="2003" t="s">
        <v>370</v>
      </c>
      <c r="S117" s="2004"/>
      <c r="T117" s="2005"/>
      <c r="U117" s="2006"/>
      <c r="V117" s="2007"/>
      <c r="W117" s="2008"/>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3">
        <v>0</v>
      </c>
    </row>
    <row r="118" spans="1:44" ht="17.25" customHeight="1">
      <c r="A118" s="1737"/>
      <c r="B118" s="1750"/>
      <c r="C118" s="1739"/>
      <c r="D118" s="23985"/>
      <c r="E118" s="23986"/>
      <c r="F118" s="23983"/>
      <c r="G118" s="23988"/>
      <c r="H118" s="23985"/>
      <c r="I118" s="23985"/>
      <c r="J118" s="24016"/>
      <c r="K118" s="23988"/>
      <c r="L118" s="23958" t="s">
        <v>96</v>
      </c>
      <c r="M118" s="23958" t="s">
        <v>95</v>
      </c>
      <c r="N118" s="24010" t="str">
        <f>IF(Z118="","",INDEX(TERRITORY_MR_LIST,MATCH(Z118,TERRITORY_LIST_ID,0)))</f>
        <v>Территория 2</v>
      </c>
      <c r="O118" s="24018" t="s">
        <v>59</v>
      </c>
      <c r="P118" s="23958"/>
      <c r="Q118" s="23958" t="s">
        <v>218</v>
      </c>
      <c r="R118" s="24020" t="s">
        <v>371</v>
      </c>
      <c r="S118" s="24013" t="s">
        <v>6</v>
      </c>
      <c r="T118" s="1700"/>
      <c r="U118" s="1700" t="s">
        <v>218</v>
      </c>
      <c r="V118" s="1360"/>
      <c r="W118" s="24015"/>
      <c r="Y118" s="1193"/>
      <c r="Z118" s="1193" t="s">
        <v>97</v>
      </c>
      <c r="AA118" s="1193"/>
      <c r="AB118" s="1193"/>
      <c r="AC118" s="1868" t="s">
        <v>351</v>
      </c>
      <c r="AD118" s="1868" t="s">
        <v>352</v>
      </c>
      <c r="AE118" s="1193" t="s">
        <v>372</v>
      </c>
      <c r="AF118" s="1193" t="s">
        <v>373</v>
      </c>
      <c r="AG118" s="1193" t="s">
        <v>374</v>
      </c>
      <c r="AH118" s="1193" t="str">
        <f>IF($E$105=0,"",$E$105)</f>
        <v>Тариф на горячую воду (горячее водоснабжение)</v>
      </c>
      <c r="AI118" s="1193" t="str">
        <f>IF($G$105=0,"",$G$105)</f>
        <v>Горячее водоснабжение</v>
      </c>
      <c r="AJ118" s="1193" t="str">
        <f>IF($J$105=0,"",$J$105)</f>
        <v>Тариф на горячую воду с использованием закрытой системы горячего водоснабжения</v>
      </c>
      <c r="AK118" s="1193" t="str">
        <f>IF($K$118="нет","без дифференциации",IF($N$118=0,"",$N$118))</f>
        <v>Территория 2</v>
      </c>
      <c r="AL118" s="1741" t="str">
        <f>IF($O$118="нет","без дифференциации",IF($R$118=0,"",$R$118))</f>
        <v>с. Андрейково Вяземского муниципального округа Смоленской области</v>
      </c>
      <c r="AM118" s="1741"/>
      <c r="AN118" s="1193">
        <f>$I$105</f>
        <v>1</v>
      </c>
      <c r="AO118" s="1193" t="str">
        <f>$I$105&amp;"."&amp;$M$118</f>
        <v>1.2</v>
      </c>
      <c r="AP118" s="1193" t="str">
        <f>$I$105&amp;"."&amp;$M$118&amp;"."&amp;$Q$118</f>
        <v>1.2.1</v>
      </c>
      <c r="AQ118" s="1193"/>
    </row>
    <row r="119" spans="1:44" ht="17.25" customHeight="1">
      <c r="A119" s="1737"/>
      <c r="B119" s="1750"/>
      <c r="C119" s="1742"/>
      <c r="D119" s="23985"/>
      <c r="E119" s="23986"/>
      <c r="F119" s="23983"/>
      <c r="G119" s="23988"/>
      <c r="H119" s="23985"/>
      <c r="I119" s="23985"/>
      <c r="J119" s="24016"/>
      <c r="K119" s="23988"/>
      <c r="L119" s="23958"/>
      <c r="M119" s="23958"/>
      <c r="N119" s="24010"/>
      <c r="O119" s="24019"/>
      <c r="P119" s="23958"/>
      <c r="Q119" s="23958"/>
      <c r="R119" s="24020"/>
      <c r="S119" s="24013"/>
      <c r="T119" s="1361"/>
      <c r="U119" s="1362"/>
      <c r="V119" s="1362"/>
      <c r="W119" s="24015"/>
      <c r="Y119" s="1185"/>
      <c r="Z119" s="1185"/>
      <c r="AA119" s="1185"/>
      <c r="AB119" s="1185"/>
      <c r="AC119" s="1185"/>
      <c r="AD119" s="1185"/>
      <c r="AE119" s="1185"/>
      <c r="AF119" s="1185"/>
      <c r="AG119" s="1185"/>
      <c r="AH119" s="1185"/>
      <c r="AI119" s="1185"/>
      <c r="AJ119" s="1185"/>
      <c r="AK119" s="1185"/>
      <c r="AL119" s="1750"/>
      <c r="AM119" s="1750"/>
      <c r="AN119" s="1750"/>
      <c r="AO119" s="1750"/>
      <c r="AP119" s="1750"/>
      <c r="AQ119" s="1750"/>
    </row>
    <row r="120" spans="1:44" ht="17.25" customHeight="1">
      <c r="A120" s="1737"/>
      <c r="B120" s="1750"/>
      <c r="C120" s="1742"/>
      <c r="D120" s="23985"/>
      <c r="E120" s="23986"/>
      <c r="F120" s="23983"/>
      <c r="G120" s="23988"/>
      <c r="H120" s="23985"/>
      <c r="I120" s="23985"/>
      <c r="J120" s="24016"/>
      <c r="K120" s="23988"/>
      <c r="L120" s="23981"/>
      <c r="M120" s="23981"/>
      <c r="N120" s="24012"/>
      <c r="O120" s="23962"/>
      <c r="P120" s="253"/>
      <c r="Q120" s="254"/>
      <c r="R120" s="254" t="s">
        <v>370</v>
      </c>
      <c r="S120" s="1743"/>
      <c r="T120" s="1743"/>
      <c r="U120" s="1743"/>
      <c r="V120" s="1743"/>
      <c r="W120" s="1359"/>
      <c r="Y120" s="1185"/>
      <c r="Z120" s="1185"/>
      <c r="AA120" s="1185"/>
      <c r="AB120" s="1185"/>
      <c r="AC120" s="1185"/>
      <c r="AD120" s="1185"/>
      <c r="AE120" s="1185"/>
      <c r="AF120" s="1185"/>
      <c r="AG120" s="1185"/>
      <c r="AH120" s="1185"/>
      <c r="AI120" s="1185"/>
      <c r="AJ120" s="1185"/>
      <c r="AK120" s="1185"/>
      <c r="AL120" s="1750"/>
      <c r="AM120" s="1750"/>
      <c r="AN120" s="1750"/>
      <c r="AO120" s="1750"/>
      <c r="AP120" s="1750"/>
      <c r="AQ120" s="1750"/>
    </row>
    <row r="121" spans="1:44" ht="17.25" customHeight="1">
      <c r="A121" s="1737"/>
      <c r="B121" s="1750"/>
      <c r="C121" s="1739"/>
      <c r="D121" s="23985"/>
      <c r="E121" s="23986"/>
      <c r="F121" s="23983"/>
      <c r="G121" s="23988"/>
      <c r="H121" s="23985"/>
      <c r="I121" s="23985"/>
      <c r="J121" s="24016"/>
      <c r="K121" s="23988"/>
      <c r="L121" s="23958" t="s">
        <v>96</v>
      </c>
      <c r="M121" s="23958" t="s">
        <v>81</v>
      </c>
      <c r="N121" s="24010" t="str">
        <f>IF(Z121="","",INDEX(TERRITORY_MR_LIST,MATCH(Z121,TERRITORY_LIST_ID,0)))</f>
        <v>Территория 3</v>
      </c>
      <c r="O121" s="24018" t="s">
        <v>59</v>
      </c>
      <c r="P121" s="23958"/>
      <c r="Q121" s="23958" t="s">
        <v>218</v>
      </c>
      <c r="R121" s="24020" t="s">
        <v>375</v>
      </c>
      <c r="S121" s="24013" t="s">
        <v>6</v>
      </c>
      <c r="T121" s="1700"/>
      <c r="U121" s="1700" t="s">
        <v>218</v>
      </c>
      <c r="V121" s="1360"/>
      <c r="W121" s="24015"/>
      <c r="Y121" s="1193"/>
      <c r="Z121" s="1193" t="s">
        <v>100</v>
      </c>
      <c r="AA121" s="1193"/>
      <c r="AB121" s="1193"/>
      <c r="AC121" s="1868" t="s">
        <v>351</v>
      </c>
      <c r="AD121" s="1868" t="s">
        <v>352</v>
      </c>
      <c r="AE121" s="1193" t="s">
        <v>376</v>
      </c>
      <c r="AF121" s="1193" t="s">
        <v>377</v>
      </c>
      <c r="AG121" s="1193" t="s">
        <v>378</v>
      </c>
      <c r="AH121" s="1193" t="str">
        <f>IF($E$105=0,"",$E$105)</f>
        <v>Тариф на горячую воду (горячее водоснабжение)</v>
      </c>
      <c r="AI121" s="1193" t="str">
        <f>IF($G$105=0,"",$G$105)</f>
        <v>Горячее водоснабжение</v>
      </c>
      <c r="AJ121" s="1193" t="str">
        <f>IF($J$105=0,"",$J$105)</f>
        <v>Тариф на горячую воду с использованием закрытой системы горячего водоснабжения</v>
      </c>
      <c r="AK121" s="1193" t="str">
        <f>IF($K$121="нет","без дифференциации",IF($N$121=0,"",$N$121))</f>
        <v>Территория 3</v>
      </c>
      <c r="AL121" s="1741" t="str">
        <f>IF($O$121="нет","без дифференциации",IF($R$121=0,"",$R$121))</f>
        <v>с. Ново Никольское Вяземского муниципального округа Смоленской области</v>
      </c>
      <c r="AM121" s="1741"/>
      <c r="AN121" s="1193">
        <f>$I$105</f>
        <v>1</v>
      </c>
      <c r="AO121" s="1193" t="str">
        <f>$I$105&amp;"."&amp;$M$121</f>
        <v>1.3</v>
      </c>
      <c r="AP121" s="1193" t="str">
        <f>$I$105&amp;"."&amp;$M$121&amp;"."&amp;$Q$121</f>
        <v>1.3.1</v>
      </c>
      <c r="AQ121" s="1193"/>
    </row>
    <row r="122" spans="1:44" ht="17.25" customHeight="1">
      <c r="A122" s="1737"/>
      <c r="B122" s="1750"/>
      <c r="C122" s="1742"/>
      <c r="D122" s="23985"/>
      <c r="E122" s="23986"/>
      <c r="F122" s="23983"/>
      <c r="G122" s="23988"/>
      <c r="H122" s="23985"/>
      <c r="I122" s="23985"/>
      <c r="J122" s="24016"/>
      <c r="K122" s="23988"/>
      <c r="L122" s="23958"/>
      <c r="M122" s="23958"/>
      <c r="N122" s="24010"/>
      <c r="O122" s="24019"/>
      <c r="P122" s="23958"/>
      <c r="Q122" s="23958"/>
      <c r="R122" s="24020"/>
      <c r="S122" s="24013"/>
      <c r="T122" s="1361"/>
      <c r="U122" s="1362"/>
      <c r="V122" s="1362"/>
      <c r="W122" s="24015"/>
      <c r="Y122" s="1185"/>
      <c r="Z122" s="1185"/>
      <c r="AA122" s="1185"/>
      <c r="AB122" s="1185"/>
      <c r="AC122" s="1185"/>
      <c r="AD122" s="1185"/>
      <c r="AE122" s="1185"/>
      <c r="AF122" s="1185"/>
      <c r="AG122" s="1185"/>
      <c r="AH122" s="1185"/>
      <c r="AI122" s="1185"/>
      <c r="AJ122" s="1185"/>
      <c r="AK122" s="1185"/>
      <c r="AL122" s="1750"/>
      <c r="AM122" s="1750"/>
      <c r="AN122" s="1750"/>
      <c r="AO122" s="1750"/>
      <c r="AP122" s="1750"/>
      <c r="AQ122" s="1750"/>
    </row>
    <row r="123" spans="1:44" ht="17.25" customHeight="1">
      <c r="A123" s="1737"/>
      <c r="B123" s="1750"/>
      <c r="C123" s="1742"/>
      <c r="D123" s="23985"/>
      <c r="E123" s="23986"/>
      <c r="F123" s="23983"/>
      <c r="G123" s="23988"/>
      <c r="H123" s="23985"/>
      <c r="I123" s="23985"/>
      <c r="J123" s="24016"/>
      <c r="K123" s="23988"/>
      <c r="L123" s="23981"/>
      <c r="M123" s="23981"/>
      <c r="N123" s="24012"/>
      <c r="O123" s="23962"/>
      <c r="P123" s="253"/>
      <c r="Q123" s="254"/>
      <c r="R123" s="254" t="s">
        <v>370</v>
      </c>
      <c r="S123" s="1743"/>
      <c r="T123" s="1743"/>
      <c r="U123" s="1743"/>
      <c r="V123" s="1743"/>
      <c r="W123" s="1359"/>
      <c r="Y123" s="1185"/>
      <c r="Z123" s="1185"/>
      <c r="AA123" s="1185"/>
      <c r="AB123" s="1185"/>
      <c r="AC123" s="1185"/>
      <c r="AD123" s="1185"/>
      <c r="AE123" s="1185"/>
      <c r="AF123" s="1185"/>
      <c r="AG123" s="1185"/>
      <c r="AH123" s="1185"/>
      <c r="AI123" s="1185"/>
      <c r="AJ123" s="1185"/>
      <c r="AK123" s="1185"/>
      <c r="AL123" s="1750"/>
      <c r="AM123" s="1750"/>
      <c r="AN123" s="1750"/>
      <c r="AO123" s="1750"/>
      <c r="AP123" s="1750"/>
      <c r="AQ123" s="1750"/>
    </row>
    <row r="124" spans="1:44" ht="17.25" customHeight="1">
      <c r="A124" s="1737"/>
      <c r="B124" s="1750"/>
      <c r="C124" s="1739"/>
      <c r="D124" s="23985"/>
      <c r="E124" s="23986"/>
      <c r="F124" s="23983"/>
      <c r="G124" s="23988"/>
      <c r="H124" s="23985"/>
      <c r="I124" s="23985"/>
      <c r="J124" s="24016"/>
      <c r="K124" s="23988"/>
      <c r="L124" s="23958" t="s">
        <v>96</v>
      </c>
      <c r="M124" s="23958" t="s">
        <v>82</v>
      </c>
      <c r="N124" s="24010" t="str">
        <f>IF(Z124="","",INDEX(TERRITORY_MR_LIST,MATCH(Z124,TERRITORY_LIST_ID,0)))</f>
        <v>Территория 4</v>
      </c>
      <c r="O124" s="24018" t="s">
        <v>59</v>
      </c>
      <c r="P124" s="23958"/>
      <c r="Q124" s="23958" t="s">
        <v>218</v>
      </c>
      <c r="R124" s="24020" t="s">
        <v>379</v>
      </c>
      <c r="S124" s="24013" t="s">
        <v>6</v>
      </c>
      <c r="T124" s="1700"/>
      <c r="U124" s="1700" t="s">
        <v>218</v>
      </c>
      <c r="V124" s="1360"/>
      <c r="W124" s="24015"/>
      <c r="Y124" s="1193"/>
      <c r="Z124" s="1193" t="s">
        <v>104</v>
      </c>
      <c r="AA124" s="1193"/>
      <c r="AB124" s="1193"/>
      <c r="AC124" s="1868" t="s">
        <v>351</v>
      </c>
      <c r="AD124" s="1868" t="s">
        <v>352</v>
      </c>
      <c r="AE124" s="1193" t="s">
        <v>380</v>
      </c>
      <c r="AF124" s="1193" t="s">
        <v>381</v>
      </c>
      <c r="AG124" s="1193" t="s">
        <v>382</v>
      </c>
      <c r="AH124" s="1193" t="str">
        <f>IF($E$105=0,"",$E$105)</f>
        <v>Тариф на горячую воду (горячее водоснабжение)</v>
      </c>
      <c r="AI124" s="1193" t="str">
        <f>IF($G$105=0,"",$G$105)</f>
        <v>Горячее водоснабжение</v>
      </c>
      <c r="AJ124" s="1193" t="str">
        <f>IF($J$105=0,"",$J$105)</f>
        <v>Тариф на горячую воду с использованием закрытой системы горячего водоснабжения</v>
      </c>
      <c r="AK124" s="1193" t="str">
        <f>IF($K$124="нет","без дифференциации",IF($N$124=0,"",$N$124))</f>
        <v>Территория 4</v>
      </c>
      <c r="AL124" s="1741" t="str">
        <f>IF($O$124="нет","без дифференциации",IF($R$124=0,"",$R$124))</f>
        <v>г. Гагарин Гагаринского муниципального округа Смоленской области</v>
      </c>
      <c r="AM124" s="1741"/>
      <c r="AN124" s="1193">
        <f>$I$105</f>
        <v>1</v>
      </c>
      <c r="AO124" s="1193" t="str">
        <f>$I$105&amp;"."&amp;$M$124</f>
        <v>1.4</v>
      </c>
      <c r="AP124" s="1193" t="str">
        <f>$I$105&amp;"."&amp;$M$124&amp;"."&amp;$Q$124</f>
        <v>1.4.1</v>
      </c>
      <c r="AQ124" s="1193"/>
    </row>
    <row r="125" spans="1:44" ht="17.25" customHeight="1">
      <c r="A125" s="1737"/>
      <c r="B125" s="1750"/>
      <c r="C125" s="1742"/>
      <c r="D125" s="23985"/>
      <c r="E125" s="23986"/>
      <c r="F125" s="23983"/>
      <c r="G125" s="23988"/>
      <c r="H125" s="23985"/>
      <c r="I125" s="23985"/>
      <c r="J125" s="24016"/>
      <c r="K125" s="23988"/>
      <c r="L125" s="23958"/>
      <c r="M125" s="23958"/>
      <c r="N125" s="24010"/>
      <c r="O125" s="24019"/>
      <c r="P125" s="23958"/>
      <c r="Q125" s="23958"/>
      <c r="R125" s="24020"/>
      <c r="S125" s="24013"/>
      <c r="T125" s="1361"/>
      <c r="U125" s="1362"/>
      <c r="V125" s="1362"/>
      <c r="W125" s="24015"/>
      <c r="Y125" s="1185"/>
      <c r="Z125" s="1185"/>
      <c r="AA125" s="1185"/>
      <c r="AB125" s="1185"/>
      <c r="AC125" s="1185"/>
      <c r="AD125" s="1185"/>
      <c r="AE125" s="1185"/>
      <c r="AF125" s="1185"/>
      <c r="AG125" s="1185"/>
      <c r="AH125" s="1185"/>
      <c r="AI125" s="1185"/>
      <c r="AJ125" s="1185"/>
      <c r="AK125" s="1185"/>
      <c r="AL125" s="1750"/>
      <c r="AM125" s="1750"/>
      <c r="AN125" s="1750"/>
      <c r="AO125" s="1750"/>
      <c r="AP125" s="1750"/>
      <c r="AQ125" s="1750"/>
    </row>
    <row r="126" spans="1:44" ht="17.25" customHeight="1">
      <c r="A126" s="1737"/>
      <c r="B126" s="1750"/>
      <c r="C126" s="1739"/>
      <c r="D126" s="23985"/>
      <c r="E126" s="23986"/>
      <c r="F126" s="23983"/>
      <c r="G126" s="23988"/>
      <c r="H126" s="23985"/>
      <c r="I126" s="23985"/>
      <c r="J126" s="24016"/>
      <c r="K126" s="23988"/>
      <c r="L126" s="23985"/>
      <c r="M126" s="23985"/>
      <c r="N126" s="24011"/>
      <c r="O126" s="24019"/>
      <c r="P126" s="23958" t="s">
        <v>96</v>
      </c>
      <c r="Q126" s="23958" t="s">
        <v>95</v>
      </c>
      <c r="R126" s="24020" t="s">
        <v>383</v>
      </c>
      <c r="S126" s="24013" t="s">
        <v>6</v>
      </c>
      <c r="T126" s="1700"/>
      <c r="U126" s="1700" t="s">
        <v>218</v>
      </c>
      <c r="V126" s="1360"/>
      <c r="W126" s="24015"/>
      <c r="Y126" s="1193"/>
      <c r="Z126" s="1193"/>
      <c r="AA126" s="1193"/>
      <c r="AB126" s="1193"/>
      <c r="AC126" s="1868" t="s">
        <v>351</v>
      </c>
      <c r="AD126" s="1868" t="s">
        <v>352</v>
      </c>
      <c r="AE126" s="1868" t="s">
        <v>380</v>
      </c>
      <c r="AF126" s="1193" t="s">
        <v>384</v>
      </c>
      <c r="AG126" s="1193" t="s">
        <v>385</v>
      </c>
      <c r="AH126" s="1193" t="str">
        <f>IF($E$105=0,"",$E$105)</f>
        <v>Тариф на горячую воду (горячее водоснабжение)</v>
      </c>
      <c r="AI126" s="1193" t="str">
        <f>IF($G$105=0,"",$G$105)</f>
        <v>Горячее водоснабжение</v>
      </c>
      <c r="AJ126" s="1193" t="str">
        <f>IF($J$105=0,"",$J$105)</f>
        <v>Тариф на горячую воду с использованием закрытой системы горячего водоснабжения</v>
      </c>
      <c r="AK126" s="1193" t="str">
        <f>IF($K$124="нет","без дифференциации",IF($N$124=0,"",$N$124))</f>
        <v>Территория 4</v>
      </c>
      <c r="AL126" s="1741" t="str">
        <f>IF($O$126="нет","без дифференциации",IF($R$126=0,"",$R$126))</f>
        <v>г. Гагарин (для потребителей, нагрузки которых переведены с котельной ЗАО «Гагаринконсервмолоко»)</v>
      </c>
      <c r="AM126" s="1741"/>
      <c r="AN126" s="1193">
        <f>$I$105</f>
        <v>1</v>
      </c>
      <c r="AO126" s="1193" t="str">
        <f>$I$105&amp;"."&amp;$M$124</f>
        <v>1.4</v>
      </c>
      <c r="AP126" s="1193" t="str">
        <f>$I$105&amp;"."&amp;$M$124&amp;"."&amp;$Q$126</f>
        <v>1.4.2</v>
      </c>
      <c r="AQ126" s="1193"/>
    </row>
    <row r="127" spans="1:44" ht="17.25" customHeight="1">
      <c r="A127" s="1737"/>
      <c r="B127" s="1750"/>
      <c r="C127" s="1742"/>
      <c r="D127" s="23985"/>
      <c r="E127" s="23986"/>
      <c r="F127" s="23983"/>
      <c r="G127" s="23988"/>
      <c r="H127" s="23985"/>
      <c r="I127" s="23985"/>
      <c r="J127" s="24016"/>
      <c r="K127" s="23988"/>
      <c r="L127" s="23985"/>
      <c r="M127" s="23985"/>
      <c r="N127" s="24011"/>
      <c r="O127" s="24019"/>
      <c r="P127" s="23958"/>
      <c r="Q127" s="23958"/>
      <c r="R127" s="24020"/>
      <c r="S127" s="24013"/>
      <c r="T127" s="1361"/>
      <c r="U127" s="1362"/>
      <c r="V127" s="1362"/>
      <c r="W127" s="24015"/>
      <c r="Y127" s="1185"/>
      <c r="Z127" s="1185"/>
      <c r="AA127" s="1185"/>
      <c r="AB127" s="1185"/>
      <c r="AC127" s="1185"/>
      <c r="AD127" s="1185"/>
      <c r="AE127" s="1185"/>
      <c r="AF127" s="1185"/>
      <c r="AG127" s="1185"/>
      <c r="AH127" s="1185"/>
      <c r="AI127" s="1185"/>
      <c r="AJ127" s="1185"/>
      <c r="AK127" s="1185"/>
      <c r="AL127" s="1750"/>
      <c r="AM127" s="1750"/>
      <c r="AN127" s="1750"/>
      <c r="AO127" s="1750"/>
      <c r="AP127" s="1750"/>
      <c r="AQ127" s="1750"/>
    </row>
    <row r="128" spans="1:44" ht="17.25" customHeight="1">
      <c r="A128" s="1737"/>
      <c r="B128" s="1750"/>
      <c r="C128" s="1739"/>
      <c r="D128" s="23985"/>
      <c r="E128" s="23986"/>
      <c r="F128" s="23983"/>
      <c r="G128" s="23988"/>
      <c r="H128" s="23985"/>
      <c r="I128" s="23985"/>
      <c r="J128" s="24016"/>
      <c r="K128" s="23988"/>
      <c r="L128" s="23985"/>
      <c r="M128" s="23985"/>
      <c r="N128" s="24011"/>
      <c r="O128" s="24019"/>
      <c r="P128" s="23958" t="s">
        <v>96</v>
      </c>
      <c r="Q128" s="23958" t="s">
        <v>81</v>
      </c>
      <c r="R128" s="24020" t="s">
        <v>386</v>
      </c>
      <c r="S128" s="24013" t="s">
        <v>6</v>
      </c>
      <c r="T128" s="1700"/>
      <c r="U128" s="1700" t="s">
        <v>218</v>
      </c>
      <c r="V128" s="1360"/>
      <c r="W128" s="24015"/>
      <c r="Y128" s="1193"/>
      <c r="Z128" s="1193"/>
      <c r="AA128" s="1193"/>
      <c r="AB128" s="1193"/>
      <c r="AC128" s="1868" t="s">
        <v>351</v>
      </c>
      <c r="AD128" s="1868" t="s">
        <v>352</v>
      </c>
      <c r="AE128" s="1868" t="s">
        <v>380</v>
      </c>
      <c r="AF128" s="1193" t="s">
        <v>387</v>
      </c>
      <c r="AG128" s="1193" t="s">
        <v>388</v>
      </c>
      <c r="AH128" s="1193" t="str">
        <f>IF($E$105=0,"",$E$105)</f>
        <v>Тариф на горячую воду (горячее водоснабжение)</v>
      </c>
      <c r="AI128" s="1193" t="str">
        <f>IF($G$105=0,"",$G$105)</f>
        <v>Горячее водоснабжение</v>
      </c>
      <c r="AJ128" s="1193" t="str">
        <f>IF($J$105=0,"",$J$105)</f>
        <v>Тариф на горячую воду с использованием закрытой системы горячего водоснабжения</v>
      </c>
      <c r="AK128" s="1193" t="str">
        <f>IF($K$124="нет","без дифференциации",IF($N$124=0,"",$N$124))</f>
        <v>Территория 4</v>
      </c>
      <c r="AL128" s="1741" t="str">
        <f>IF($O$128="нет","без дифференциации",IF($R$128=0,"",$R$128))</f>
        <v>г. Гагарин, ул. Пушная</v>
      </c>
      <c r="AM128" s="1741"/>
      <c r="AN128" s="1193">
        <f>$I$105</f>
        <v>1</v>
      </c>
      <c r="AO128" s="1193" t="str">
        <f>$I$105&amp;"."&amp;$M$124</f>
        <v>1.4</v>
      </c>
      <c r="AP128" s="1193" t="str">
        <f>$I$105&amp;"."&amp;$M$124&amp;"."&amp;$Q$128</f>
        <v>1.4.3</v>
      </c>
      <c r="AQ128" s="1193"/>
    </row>
    <row r="129" spans="1:43" ht="17.25" customHeight="1">
      <c r="A129" s="1737"/>
      <c r="B129" s="1750"/>
      <c r="C129" s="1742"/>
      <c r="D129" s="23985"/>
      <c r="E129" s="23986"/>
      <c r="F129" s="23983"/>
      <c r="G129" s="23988"/>
      <c r="H129" s="23985"/>
      <c r="I129" s="23985"/>
      <c r="J129" s="24016"/>
      <c r="K129" s="23988"/>
      <c r="L129" s="23985"/>
      <c r="M129" s="23985"/>
      <c r="N129" s="24011"/>
      <c r="O129" s="24019"/>
      <c r="P129" s="23958"/>
      <c r="Q129" s="23958"/>
      <c r="R129" s="24020"/>
      <c r="S129" s="24013"/>
      <c r="T129" s="1361"/>
      <c r="U129" s="1362"/>
      <c r="V129" s="1362"/>
      <c r="W129" s="24015"/>
      <c r="Y129" s="1185"/>
      <c r="Z129" s="1185"/>
      <c r="AA129" s="1185"/>
      <c r="AB129" s="1185"/>
      <c r="AC129" s="1185"/>
      <c r="AD129" s="1185"/>
      <c r="AE129" s="1185"/>
      <c r="AF129" s="1185"/>
      <c r="AG129" s="1185"/>
      <c r="AH129" s="1185"/>
      <c r="AI129" s="1185"/>
      <c r="AJ129" s="1185"/>
      <c r="AK129" s="1185"/>
      <c r="AL129" s="1750"/>
      <c r="AM129" s="1750"/>
      <c r="AN129" s="1750"/>
      <c r="AO129" s="1750"/>
      <c r="AP129" s="1750"/>
      <c r="AQ129" s="1750"/>
    </row>
    <row r="130" spans="1:43" ht="17.25" customHeight="1">
      <c r="A130" s="1737"/>
      <c r="B130" s="1750"/>
      <c r="C130" s="1742"/>
      <c r="D130" s="23985"/>
      <c r="E130" s="23986"/>
      <c r="F130" s="23983"/>
      <c r="G130" s="23988"/>
      <c r="H130" s="23985"/>
      <c r="I130" s="23985"/>
      <c r="J130" s="24016"/>
      <c r="K130" s="23988"/>
      <c r="L130" s="23981"/>
      <c r="M130" s="23981"/>
      <c r="N130" s="24012"/>
      <c r="O130" s="23962"/>
      <c r="P130" s="253"/>
      <c r="Q130" s="254"/>
      <c r="R130" s="254" t="s">
        <v>370</v>
      </c>
      <c r="S130" s="1743"/>
      <c r="T130" s="1743"/>
      <c r="U130" s="1743"/>
      <c r="V130" s="1743"/>
      <c r="W130" s="1359"/>
      <c r="Y130" s="1185"/>
      <c r="Z130" s="1185"/>
      <c r="AA130" s="1185"/>
      <c r="AB130" s="1185"/>
      <c r="AC130" s="1185"/>
      <c r="AD130" s="1185"/>
      <c r="AE130" s="1185"/>
      <c r="AF130" s="1185"/>
      <c r="AG130" s="1185"/>
      <c r="AH130" s="1185"/>
      <c r="AI130" s="1185"/>
      <c r="AJ130" s="1185"/>
      <c r="AK130" s="1185"/>
      <c r="AL130" s="1750"/>
      <c r="AM130" s="1750"/>
      <c r="AN130" s="1750"/>
      <c r="AO130" s="1750"/>
      <c r="AP130" s="1750"/>
      <c r="AQ130" s="1750"/>
    </row>
    <row r="131" spans="1:43" ht="17.25" customHeight="1">
      <c r="A131" s="1737"/>
      <c r="B131" s="1750"/>
      <c r="C131" s="1739"/>
      <c r="D131" s="23985"/>
      <c r="E131" s="23986"/>
      <c r="F131" s="23983"/>
      <c r="G131" s="23988"/>
      <c r="H131" s="23985"/>
      <c r="I131" s="23985"/>
      <c r="J131" s="24016"/>
      <c r="K131" s="23988"/>
      <c r="L131" s="23958" t="s">
        <v>96</v>
      </c>
      <c r="M131" s="23958" t="s">
        <v>109</v>
      </c>
      <c r="N131" s="24010" t="str">
        <f>IF(Z131="","",INDEX(TERRITORY_MR_LIST,MATCH(Z131,TERRITORY_LIST_ID,0)))</f>
        <v>Территория 5</v>
      </c>
      <c r="O131" s="24018" t="s">
        <v>59</v>
      </c>
      <c r="P131" s="23958"/>
      <c r="Q131" s="23958" t="s">
        <v>218</v>
      </c>
      <c r="R131" s="24020" t="s">
        <v>389</v>
      </c>
      <c r="S131" s="24013" t="s">
        <v>6</v>
      </c>
      <c r="T131" s="1700"/>
      <c r="U131" s="1700" t="s">
        <v>218</v>
      </c>
      <c r="V131" s="1360"/>
      <c r="W131" s="24015"/>
      <c r="Y131" s="1193"/>
      <c r="Z131" s="1193" t="s">
        <v>110</v>
      </c>
      <c r="AA131" s="1193"/>
      <c r="AB131" s="1193"/>
      <c r="AC131" s="1868" t="s">
        <v>351</v>
      </c>
      <c r="AD131" s="1868" t="s">
        <v>352</v>
      </c>
      <c r="AE131" s="1193" t="s">
        <v>390</v>
      </c>
      <c r="AF131" s="1193" t="s">
        <v>391</v>
      </c>
      <c r="AG131" s="1193" t="s">
        <v>392</v>
      </c>
      <c r="AH131" s="1193" t="str">
        <f>IF($E$105=0,"",$E$105)</f>
        <v>Тариф на горячую воду (горячее водоснабжение)</v>
      </c>
      <c r="AI131" s="1193" t="str">
        <f>IF($G$105=0,"",$G$105)</f>
        <v>Горячее водоснабжение</v>
      </c>
      <c r="AJ131" s="1193" t="str">
        <f>IF($J$105=0,"",$J$105)</f>
        <v>Тариф на горячую воду с использованием закрытой системы горячего водоснабжения</v>
      </c>
      <c r="AK131" s="1193" t="str">
        <f>IF($K$131="нет","без дифференциации",IF($N$131=0,"",$N$131))</f>
        <v>Территория 5</v>
      </c>
      <c r="AL131" s="1741" t="str">
        <f>IF($O$131="нет","без дифференциации",IF($R$131=0,"",$R$131))</f>
        <v>с. Карманово Гагаринского муниципального  округа Смоленской области</v>
      </c>
      <c r="AM131" s="1741"/>
      <c r="AN131" s="1193">
        <f>$I$105</f>
        <v>1</v>
      </c>
      <c r="AO131" s="1193" t="str">
        <f>$I$105&amp;"."&amp;$M$131</f>
        <v>1.5</v>
      </c>
      <c r="AP131" s="1193" t="str">
        <f>$I$105&amp;"."&amp;$M$131&amp;"."&amp;$Q$131</f>
        <v>1.5.1</v>
      </c>
      <c r="AQ131" s="1193"/>
    </row>
    <row r="132" spans="1:43" ht="17.25" customHeight="1">
      <c r="A132" s="1737"/>
      <c r="B132" s="1750"/>
      <c r="C132" s="1742"/>
      <c r="D132" s="23985"/>
      <c r="E132" s="23986"/>
      <c r="F132" s="23983"/>
      <c r="G132" s="23988"/>
      <c r="H132" s="23985"/>
      <c r="I132" s="23985"/>
      <c r="J132" s="24016"/>
      <c r="K132" s="23988"/>
      <c r="L132" s="23958"/>
      <c r="M132" s="23958"/>
      <c r="N132" s="24010"/>
      <c r="O132" s="24019"/>
      <c r="P132" s="23958"/>
      <c r="Q132" s="23958"/>
      <c r="R132" s="24020"/>
      <c r="S132" s="24013"/>
      <c r="T132" s="1361"/>
      <c r="U132" s="1362"/>
      <c r="V132" s="1362"/>
      <c r="W132" s="24015"/>
      <c r="Y132" s="1185"/>
      <c r="Z132" s="1185"/>
      <c r="AA132" s="1185"/>
      <c r="AB132" s="1185"/>
      <c r="AC132" s="1185"/>
      <c r="AD132" s="1185"/>
      <c r="AE132" s="1185"/>
      <c r="AF132" s="1185"/>
      <c r="AG132" s="1185"/>
      <c r="AH132" s="1185"/>
      <c r="AI132" s="1185"/>
      <c r="AJ132" s="1185"/>
      <c r="AK132" s="1185"/>
      <c r="AL132" s="1750"/>
      <c r="AM132" s="1750"/>
      <c r="AN132" s="1750"/>
      <c r="AO132" s="1750"/>
      <c r="AP132" s="1750"/>
      <c r="AQ132" s="1750"/>
    </row>
    <row r="133" spans="1:43" ht="17.25" customHeight="1">
      <c r="A133" s="1737"/>
      <c r="B133" s="1750"/>
      <c r="C133" s="1742"/>
      <c r="D133" s="23985"/>
      <c r="E133" s="23986"/>
      <c r="F133" s="23983"/>
      <c r="G133" s="23988"/>
      <c r="H133" s="23985"/>
      <c r="I133" s="23985"/>
      <c r="J133" s="24016"/>
      <c r="K133" s="23988"/>
      <c r="L133" s="23981"/>
      <c r="M133" s="23981"/>
      <c r="N133" s="24012"/>
      <c r="O133" s="23962"/>
      <c r="P133" s="253"/>
      <c r="Q133" s="254"/>
      <c r="R133" s="254" t="s">
        <v>370</v>
      </c>
      <c r="S133" s="1743"/>
      <c r="T133" s="1743"/>
      <c r="U133" s="1743"/>
      <c r="V133" s="1743"/>
      <c r="W133" s="1359"/>
      <c r="Y133" s="1185"/>
      <c r="Z133" s="1185"/>
      <c r="AA133" s="1185"/>
      <c r="AB133" s="1185"/>
      <c r="AC133" s="1185"/>
      <c r="AD133" s="1185"/>
      <c r="AE133" s="1185"/>
      <c r="AF133" s="1185"/>
      <c r="AG133" s="1185"/>
      <c r="AH133" s="1185"/>
      <c r="AI133" s="1185"/>
      <c r="AJ133" s="1185"/>
      <c r="AK133" s="1185"/>
      <c r="AL133" s="1750"/>
      <c r="AM133" s="1750"/>
      <c r="AN133" s="1750"/>
      <c r="AO133" s="1750"/>
      <c r="AP133" s="1750"/>
      <c r="AQ133" s="1750"/>
    </row>
    <row r="134" spans="1:43" ht="17.25" customHeight="1">
      <c r="A134" s="1737"/>
      <c r="B134" s="1750"/>
      <c r="C134" s="1739"/>
      <c r="D134" s="23985"/>
      <c r="E134" s="23986"/>
      <c r="F134" s="23983"/>
      <c r="G134" s="23988"/>
      <c r="H134" s="23985"/>
      <c r="I134" s="23985"/>
      <c r="J134" s="24016"/>
      <c r="K134" s="23988"/>
      <c r="L134" s="23958" t="s">
        <v>96</v>
      </c>
      <c r="M134" s="23958" t="s">
        <v>83</v>
      </c>
      <c r="N134" s="24010" t="str">
        <f>IF(Z134="","",INDEX(TERRITORY_MR_LIST,MATCH(Z134,TERRITORY_LIST_ID,0)))</f>
        <v>Территория 6</v>
      </c>
      <c r="O134" s="24018" t="s">
        <v>59</v>
      </c>
      <c r="P134" s="23958"/>
      <c r="Q134" s="23958" t="s">
        <v>218</v>
      </c>
      <c r="R134" s="24020" t="s">
        <v>393</v>
      </c>
      <c r="S134" s="24013" t="s">
        <v>6</v>
      </c>
      <c r="T134" s="1700"/>
      <c r="U134" s="1700" t="s">
        <v>218</v>
      </c>
      <c r="V134" s="1360"/>
      <c r="W134" s="24015"/>
      <c r="Y134" s="1193"/>
      <c r="Z134" s="1193" t="s">
        <v>114</v>
      </c>
      <c r="AA134" s="1193"/>
      <c r="AB134" s="1193"/>
      <c r="AC134" s="1868" t="s">
        <v>351</v>
      </c>
      <c r="AD134" s="1868" t="s">
        <v>352</v>
      </c>
      <c r="AE134" s="1193" t="s">
        <v>394</v>
      </c>
      <c r="AF134" s="1193" t="s">
        <v>395</v>
      </c>
      <c r="AG134" s="1193" t="s">
        <v>396</v>
      </c>
      <c r="AH134" s="1193" t="str">
        <f>IF($E$105=0,"",$E$105)</f>
        <v>Тариф на горячую воду (горячее водоснабжение)</v>
      </c>
      <c r="AI134" s="1193" t="str">
        <f>IF($G$105=0,"",$G$105)</f>
        <v>Горячее водоснабжение</v>
      </c>
      <c r="AJ134" s="1193" t="str">
        <f>IF($J$105=0,"",$J$105)</f>
        <v>Тариф на горячую воду с использованием закрытой системы горячего водоснабжения</v>
      </c>
      <c r="AK134" s="1193" t="str">
        <f>IF($K$134="нет","без дифференциации",IF($N$134=0,"",$N$134))</f>
        <v>Территория 6</v>
      </c>
      <c r="AL134" s="1741" t="str">
        <f>IF($O$134="нет","без дифференциации",IF($R$134=0,"",$R$134))</f>
        <v>г. Рославль Рославльского муниципального округа Смоленской области</v>
      </c>
      <c r="AM134" s="1741"/>
      <c r="AN134" s="1193">
        <f>$I$105</f>
        <v>1</v>
      </c>
      <c r="AO134" s="1193" t="str">
        <f>$I$105&amp;"."&amp;$M$134</f>
        <v>1.6</v>
      </c>
      <c r="AP134" s="1193" t="str">
        <f>$I$105&amp;"."&amp;$M$134&amp;"."&amp;$Q$134</f>
        <v>1.6.1</v>
      </c>
      <c r="AQ134" s="1193"/>
    </row>
    <row r="135" spans="1:43" ht="17.25" customHeight="1">
      <c r="A135" s="1737"/>
      <c r="B135" s="1750"/>
      <c r="C135" s="1742"/>
      <c r="D135" s="23985"/>
      <c r="E135" s="23986"/>
      <c r="F135" s="23983"/>
      <c r="G135" s="23988"/>
      <c r="H135" s="23985"/>
      <c r="I135" s="23985"/>
      <c r="J135" s="24016"/>
      <c r="K135" s="23988"/>
      <c r="L135" s="23958"/>
      <c r="M135" s="23958"/>
      <c r="N135" s="24010"/>
      <c r="O135" s="24019"/>
      <c r="P135" s="23958"/>
      <c r="Q135" s="23958"/>
      <c r="R135" s="24020"/>
      <c r="S135" s="24013"/>
      <c r="T135" s="1361"/>
      <c r="U135" s="1362"/>
      <c r="V135" s="1362"/>
      <c r="W135" s="24015"/>
      <c r="Y135" s="1185"/>
      <c r="Z135" s="1185"/>
      <c r="AA135" s="1185"/>
      <c r="AB135" s="1185"/>
      <c r="AC135" s="1185"/>
      <c r="AD135" s="1185"/>
      <c r="AE135" s="1185"/>
      <c r="AF135" s="1185"/>
      <c r="AG135" s="1185"/>
      <c r="AH135" s="1185"/>
      <c r="AI135" s="1185"/>
      <c r="AJ135" s="1185"/>
      <c r="AK135" s="1185"/>
      <c r="AL135" s="1750"/>
      <c r="AM135" s="1750"/>
      <c r="AN135" s="1750"/>
      <c r="AO135" s="1750"/>
      <c r="AP135" s="1750"/>
      <c r="AQ135" s="1750"/>
    </row>
    <row r="136" spans="1:43" ht="17.25" customHeight="1">
      <c r="A136" s="1737"/>
      <c r="B136" s="1750"/>
      <c r="C136" s="1739"/>
      <c r="D136" s="23985"/>
      <c r="E136" s="23986"/>
      <c r="F136" s="23983"/>
      <c r="G136" s="23988"/>
      <c r="H136" s="23985"/>
      <c r="I136" s="23985"/>
      <c r="J136" s="24016"/>
      <c r="K136" s="23988"/>
      <c r="L136" s="23985"/>
      <c r="M136" s="23985"/>
      <c r="N136" s="24011"/>
      <c r="O136" s="24019"/>
      <c r="P136" s="23958" t="s">
        <v>96</v>
      </c>
      <c r="Q136" s="23958" t="s">
        <v>95</v>
      </c>
      <c r="R136" s="24020" t="s">
        <v>397</v>
      </c>
      <c r="S136" s="24013" t="s">
        <v>6</v>
      </c>
      <c r="T136" s="1700"/>
      <c r="U136" s="1700" t="s">
        <v>218</v>
      </c>
      <c r="V136" s="1360"/>
      <c r="W136" s="24015"/>
      <c r="Y136" s="1193"/>
      <c r="Z136" s="1193"/>
      <c r="AA136" s="1193"/>
      <c r="AB136" s="1193"/>
      <c r="AC136" s="1868" t="s">
        <v>351</v>
      </c>
      <c r="AD136" s="1868" t="s">
        <v>352</v>
      </c>
      <c r="AE136" s="1868" t="s">
        <v>394</v>
      </c>
      <c r="AF136" s="1193" t="s">
        <v>398</v>
      </c>
      <c r="AG136" s="1193" t="s">
        <v>399</v>
      </c>
      <c r="AH136" s="1193" t="str">
        <f>IF($E$105=0,"",$E$105)</f>
        <v>Тариф на горячую воду (горячее водоснабжение)</v>
      </c>
      <c r="AI136" s="1193" t="str">
        <f>IF($G$105=0,"",$G$105)</f>
        <v>Горячее водоснабжение</v>
      </c>
      <c r="AJ136" s="1193" t="str">
        <f>IF($J$105=0,"",$J$105)</f>
        <v>Тариф на горячую воду с использованием закрытой системы горячего водоснабжения</v>
      </c>
      <c r="AK136" s="1193" t="str">
        <f>IF($K$134="нет","без дифференциации",IF($N$134=0,"",$N$134))</f>
        <v>Территория 6</v>
      </c>
      <c r="AL136" s="1741" t="str">
        <f>IF($O$136="нет","без дифференциации",IF($R$136=0,"",$R$136))</f>
        <v>г. Рославль (для объектов, находящихся на балансе ЗАО «Рославльский автоагрегатный завод АМО ЗИЛ», получающих тепловую энергию через присоединенные сети ООО «Смоленскрегионтеплоэнерго»)</v>
      </c>
      <c r="AM136" s="1741"/>
      <c r="AN136" s="1193">
        <f>$I$105</f>
        <v>1</v>
      </c>
      <c r="AO136" s="1193" t="str">
        <f>$I$105&amp;"."&amp;$M$134</f>
        <v>1.6</v>
      </c>
      <c r="AP136" s="1193" t="str">
        <f>$I$105&amp;"."&amp;$M$134&amp;"."&amp;$Q$136</f>
        <v>1.6.2</v>
      </c>
      <c r="AQ136" s="1193"/>
    </row>
    <row r="137" spans="1:43" ht="48" customHeight="1">
      <c r="A137" s="1737"/>
      <c r="B137" s="1750"/>
      <c r="C137" s="1742"/>
      <c r="D137" s="23985"/>
      <c r="E137" s="23986"/>
      <c r="F137" s="23983"/>
      <c r="G137" s="23988"/>
      <c r="H137" s="23985"/>
      <c r="I137" s="23985"/>
      <c r="J137" s="24016"/>
      <c r="K137" s="23988"/>
      <c r="L137" s="23985"/>
      <c r="M137" s="23985"/>
      <c r="N137" s="24011"/>
      <c r="O137" s="24019"/>
      <c r="P137" s="23958"/>
      <c r="Q137" s="23958"/>
      <c r="R137" s="24020"/>
      <c r="S137" s="24013"/>
      <c r="T137" s="1361"/>
      <c r="U137" s="1362"/>
      <c r="V137" s="1362"/>
      <c r="W137" s="24015"/>
      <c r="Y137" s="1185"/>
      <c r="Z137" s="1185"/>
      <c r="AA137" s="1185"/>
      <c r="AB137" s="1185"/>
      <c r="AC137" s="1185"/>
      <c r="AD137" s="1185"/>
      <c r="AE137" s="1185"/>
      <c r="AF137" s="1185"/>
      <c r="AG137" s="1185"/>
      <c r="AH137" s="1185"/>
      <c r="AI137" s="1185"/>
      <c r="AJ137" s="1185"/>
      <c r="AK137" s="1185"/>
      <c r="AL137" s="1750"/>
      <c r="AM137" s="1750"/>
      <c r="AN137" s="1750"/>
      <c r="AO137" s="1750"/>
      <c r="AP137" s="1750"/>
      <c r="AQ137" s="1750"/>
    </row>
    <row r="138" spans="1:43" ht="17.25" customHeight="1">
      <c r="A138" s="1737"/>
      <c r="B138" s="1750"/>
      <c r="C138" s="1739"/>
      <c r="D138" s="23985"/>
      <c r="E138" s="23986"/>
      <c r="F138" s="23983"/>
      <c r="G138" s="23988"/>
      <c r="H138" s="23985"/>
      <c r="I138" s="23985"/>
      <c r="J138" s="24016"/>
      <c r="K138" s="23988"/>
      <c r="L138" s="23985"/>
      <c r="M138" s="23985"/>
      <c r="N138" s="24011"/>
      <c r="O138" s="24019"/>
      <c r="P138" s="23958" t="s">
        <v>96</v>
      </c>
      <c r="Q138" s="23958" t="s">
        <v>81</v>
      </c>
      <c r="R138" s="24020" t="s">
        <v>400</v>
      </c>
      <c r="S138" s="24013" t="s">
        <v>6</v>
      </c>
      <c r="T138" s="1700"/>
      <c r="U138" s="1700" t="s">
        <v>218</v>
      </c>
      <c r="V138" s="1360"/>
      <c r="W138" s="24015"/>
      <c r="Y138" s="1193"/>
      <c r="Z138" s="1193"/>
      <c r="AA138" s="1193"/>
      <c r="AB138" s="1193"/>
      <c r="AC138" s="1868" t="s">
        <v>351</v>
      </c>
      <c r="AD138" s="1868" t="s">
        <v>352</v>
      </c>
      <c r="AE138" s="1868" t="s">
        <v>394</v>
      </c>
      <c r="AF138" s="1193" t="s">
        <v>401</v>
      </c>
      <c r="AG138" s="1193" t="s">
        <v>402</v>
      </c>
      <c r="AH138" s="1193" t="str">
        <f>IF($E$105=0,"",$E$105)</f>
        <v>Тариф на горячую воду (горячее водоснабжение)</v>
      </c>
      <c r="AI138" s="1193" t="str">
        <f>IF($G$105=0,"",$G$105)</f>
        <v>Горячее водоснабжение</v>
      </c>
      <c r="AJ138" s="1193" t="str">
        <f>IF($J$105=0,"",$J$105)</f>
        <v>Тариф на горячую воду с использованием закрытой системы горячего водоснабжения</v>
      </c>
      <c r="AK138" s="1193" t="str">
        <f>IF($K$134="нет","без дифференциации",IF($N$134=0,"",$N$134))</f>
        <v>Территория 6</v>
      </c>
      <c r="AL138" s="1741" t="str">
        <f>IF($O$138="нет","без дифференциации",IF($R$138=0,"",$R$138))</f>
        <v>Население, проживающее по адресу: г. Рославль, ул. Мичурина, д. 177, 179, 181, 189, 191, 193, 193а, 195, 195а; 4-й Смоленский пер. д. 49, корпус 1, 2</v>
      </c>
      <c r="AM138" s="1741"/>
      <c r="AN138" s="1193">
        <f>$I$105</f>
        <v>1</v>
      </c>
      <c r="AO138" s="1193" t="str">
        <f>$I$105&amp;"."&amp;$M$134</f>
        <v>1.6</v>
      </c>
      <c r="AP138" s="1193" t="str">
        <f>$I$105&amp;"."&amp;$M$134&amp;"."&amp;$Q$138</f>
        <v>1.6.3</v>
      </c>
      <c r="AQ138" s="1193"/>
    </row>
    <row r="139" spans="1:43" ht="39.75" customHeight="1">
      <c r="A139" s="1737"/>
      <c r="B139" s="1750"/>
      <c r="C139" s="1742"/>
      <c r="D139" s="23985"/>
      <c r="E139" s="23986"/>
      <c r="F139" s="23983"/>
      <c r="G139" s="23988"/>
      <c r="H139" s="23985"/>
      <c r="I139" s="23985"/>
      <c r="J139" s="24016"/>
      <c r="K139" s="23988"/>
      <c r="L139" s="23985"/>
      <c r="M139" s="23985"/>
      <c r="N139" s="24011"/>
      <c r="O139" s="24019"/>
      <c r="P139" s="23958"/>
      <c r="Q139" s="23958"/>
      <c r="R139" s="24020"/>
      <c r="S139" s="24013"/>
      <c r="T139" s="1361"/>
      <c r="U139" s="1362"/>
      <c r="V139" s="1362"/>
      <c r="W139" s="24015"/>
      <c r="Y139" s="1185"/>
      <c r="Z139" s="1185"/>
      <c r="AA139" s="1185"/>
      <c r="AB139" s="1185"/>
      <c r="AC139" s="1185"/>
      <c r="AD139" s="1185"/>
      <c r="AE139" s="1185"/>
      <c r="AF139" s="1185"/>
      <c r="AG139" s="1185"/>
      <c r="AH139" s="1185"/>
      <c r="AI139" s="1185"/>
      <c r="AJ139" s="1185"/>
      <c r="AK139" s="1185"/>
      <c r="AL139" s="1750"/>
      <c r="AM139" s="1750"/>
      <c r="AN139" s="1750"/>
      <c r="AO139" s="1750"/>
      <c r="AP139" s="1750"/>
      <c r="AQ139" s="1750"/>
    </row>
    <row r="140" spans="1:43" ht="17.25" customHeight="1">
      <c r="A140" s="1737"/>
      <c r="B140" s="1750"/>
      <c r="C140" s="1742"/>
      <c r="D140" s="23985"/>
      <c r="E140" s="23986"/>
      <c r="F140" s="23983"/>
      <c r="G140" s="23988"/>
      <c r="H140" s="23985"/>
      <c r="I140" s="23985"/>
      <c r="J140" s="24016"/>
      <c r="K140" s="23988"/>
      <c r="L140" s="23981"/>
      <c r="M140" s="23981"/>
      <c r="N140" s="24012"/>
      <c r="O140" s="23962"/>
      <c r="P140" s="253"/>
      <c r="Q140" s="254"/>
      <c r="R140" s="254" t="s">
        <v>370</v>
      </c>
      <c r="S140" s="1743"/>
      <c r="T140" s="1743"/>
      <c r="U140" s="1743"/>
      <c r="V140" s="1743"/>
      <c r="W140" s="1359"/>
      <c r="Y140" s="1185"/>
      <c r="Z140" s="1185"/>
      <c r="AA140" s="1185"/>
      <c r="AB140" s="1185"/>
      <c r="AC140" s="1185"/>
      <c r="AD140" s="1185"/>
      <c r="AE140" s="1185"/>
      <c r="AF140" s="1185"/>
      <c r="AG140" s="1185"/>
      <c r="AH140" s="1185"/>
      <c r="AI140" s="1185"/>
      <c r="AJ140" s="1185"/>
      <c r="AK140" s="1185"/>
      <c r="AL140" s="1750"/>
      <c r="AM140" s="1750"/>
      <c r="AN140" s="1750"/>
      <c r="AO140" s="1750"/>
      <c r="AP140" s="1750"/>
      <c r="AQ140" s="1750"/>
    </row>
    <row r="141" spans="1:43" ht="17.25" customHeight="1">
      <c r="A141" s="1737"/>
      <c r="B141" s="1750"/>
      <c r="C141" s="1739"/>
      <c r="D141" s="23985"/>
      <c r="E141" s="23986"/>
      <c r="F141" s="23983"/>
      <c r="G141" s="23988"/>
      <c r="H141" s="23985"/>
      <c r="I141" s="23985"/>
      <c r="J141" s="24016"/>
      <c r="K141" s="23988"/>
      <c r="L141" s="23958" t="s">
        <v>96</v>
      </c>
      <c r="M141" s="23958" t="s">
        <v>84</v>
      </c>
      <c r="N141" s="24010" t="str">
        <f>IF(Z141="","",INDEX(TERRITORY_MR_LIST,MATCH(Z141,TERRITORY_LIST_ID,0)))</f>
        <v>Территория 7</v>
      </c>
      <c r="O141" s="24018" t="s">
        <v>59</v>
      </c>
      <c r="P141" s="23958"/>
      <c r="Q141" s="23958" t="s">
        <v>218</v>
      </c>
      <c r="R141" s="24020" t="s">
        <v>403</v>
      </c>
      <c r="S141" s="24013" t="s">
        <v>6</v>
      </c>
      <c r="T141" s="1700"/>
      <c r="U141" s="1700" t="s">
        <v>218</v>
      </c>
      <c r="V141" s="1360"/>
      <c r="W141" s="24015"/>
      <c r="Y141" s="1193"/>
      <c r="Z141" s="1193" t="s">
        <v>119</v>
      </c>
      <c r="AA141" s="1193"/>
      <c r="AB141" s="1193"/>
      <c r="AC141" s="1868" t="s">
        <v>351</v>
      </c>
      <c r="AD141" s="1868" t="s">
        <v>352</v>
      </c>
      <c r="AE141" s="1193" t="s">
        <v>404</v>
      </c>
      <c r="AF141" s="1193" t="s">
        <v>405</v>
      </c>
      <c r="AG141" s="1193" t="s">
        <v>406</v>
      </c>
      <c r="AH141" s="1193" t="str">
        <f>IF($E$105=0,"",$E$105)</f>
        <v>Тариф на горячую воду (горячее водоснабжение)</v>
      </c>
      <c r="AI141" s="1193" t="str">
        <f>IF($G$105=0,"",$G$105)</f>
        <v>Горячее водоснабжение</v>
      </c>
      <c r="AJ141" s="1193" t="str">
        <f>IF($J$105=0,"",$J$105)</f>
        <v>Тариф на горячую воду с использованием закрытой системы горячего водоснабжения</v>
      </c>
      <c r="AK141" s="1193" t="str">
        <f>IF($K$141="нет","без дифференциации",IF($N$141=0,"",$N$141))</f>
        <v>Территория 7</v>
      </c>
      <c r="AL141" s="1741" t="str">
        <f>IF($O$141="нет","без дифференциации",IF($R$141=0,"",$R$141))</f>
        <v>с. Остер Рославльского муниципального округа Смоленской области</v>
      </c>
      <c r="AM141" s="1741"/>
      <c r="AN141" s="1193">
        <f>$I$105</f>
        <v>1</v>
      </c>
      <c r="AO141" s="1193" t="str">
        <f>$I$105&amp;"."&amp;$M$141</f>
        <v>1.7</v>
      </c>
      <c r="AP141" s="1193" t="str">
        <f>$I$105&amp;"."&amp;$M$141&amp;"."&amp;$Q$141</f>
        <v>1.7.1</v>
      </c>
      <c r="AQ141" s="1193"/>
    </row>
    <row r="142" spans="1:43" ht="17.25" customHeight="1">
      <c r="A142" s="1737"/>
      <c r="B142" s="1750"/>
      <c r="C142" s="1742"/>
      <c r="D142" s="23985"/>
      <c r="E142" s="23986"/>
      <c r="F142" s="23983"/>
      <c r="G142" s="23988"/>
      <c r="H142" s="23985"/>
      <c r="I142" s="23985"/>
      <c r="J142" s="24016"/>
      <c r="K142" s="23988"/>
      <c r="L142" s="23958"/>
      <c r="M142" s="23958"/>
      <c r="N142" s="24010"/>
      <c r="O142" s="24019"/>
      <c r="P142" s="23958"/>
      <c r="Q142" s="23958"/>
      <c r="R142" s="24020"/>
      <c r="S142" s="24013"/>
      <c r="T142" s="1361"/>
      <c r="U142" s="1362"/>
      <c r="V142" s="1362"/>
      <c r="W142" s="24015"/>
      <c r="Y142" s="1185"/>
      <c r="Z142" s="1185"/>
      <c r="AA142" s="1185"/>
      <c r="AB142" s="1185"/>
      <c r="AC142" s="1185"/>
      <c r="AD142" s="1185"/>
      <c r="AE142" s="1185"/>
      <c r="AF142" s="1185"/>
      <c r="AG142" s="1185"/>
      <c r="AH142" s="1185"/>
      <c r="AI142" s="1185"/>
      <c r="AJ142" s="1185"/>
      <c r="AK142" s="1185"/>
      <c r="AL142" s="1750"/>
      <c r="AM142" s="1750"/>
      <c r="AN142" s="1750"/>
      <c r="AO142" s="1750"/>
      <c r="AP142" s="1750"/>
      <c r="AQ142" s="1750"/>
    </row>
    <row r="143" spans="1:43" ht="17.25" customHeight="1">
      <c r="A143" s="1737"/>
      <c r="B143" s="1750"/>
      <c r="C143" s="1742"/>
      <c r="D143" s="23985"/>
      <c r="E143" s="23986"/>
      <c r="F143" s="23983"/>
      <c r="G143" s="23988"/>
      <c r="H143" s="23985"/>
      <c r="I143" s="23985"/>
      <c r="J143" s="24016"/>
      <c r="K143" s="23988"/>
      <c r="L143" s="23981"/>
      <c r="M143" s="23981"/>
      <c r="N143" s="24012"/>
      <c r="O143" s="23962"/>
      <c r="P143" s="253"/>
      <c r="Q143" s="254"/>
      <c r="R143" s="254" t="s">
        <v>370</v>
      </c>
      <c r="S143" s="1743"/>
      <c r="T143" s="1743"/>
      <c r="U143" s="1743"/>
      <c r="V143" s="1743"/>
      <c r="W143" s="1359"/>
      <c r="Y143" s="1185"/>
      <c r="Z143" s="1185"/>
      <c r="AA143" s="1185"/>
      <c r="AB143" s="1185"/>
      <c r="AC143" s="1185"/>
      <c r="AD143" s="1185"/>
      <c r="AE143" s="1185"/>
      <c r="AF143" s="1185"/>
      <c r="AG143" s="1185"/>
      <c r="AH143" s="1185"/>
      <c r="AI143" s="1185"/>
      <c r="AJ143" s="1185"/>
      <c r="AK143" s="1185"/>
      <c r="AL143" s="1750"/>
      <c r="AM143" s="1750"/>
      <c r="AN143" s="1750"/>
      <c r="AO143" s="1750"/>
      <c r="AP143" s="1750"/>
      <c r="AQ143" s="1750"/>
    </row>
    <row r="144" spans="1:43" ht="17.25" customHeight="1">
      <c r="A144" s="1737"/>
      <c r="B144" s="1750"/>
      <c r="C144" s="1739"/>
      <c r="D144" s="23985"/>
      <c r="E144" s="23986"/>
      <c r="F144" s="23983"/>
      <c r="G144" s="23988"/>
      <c r="H144" s="23985"/>
      <c r="I144" s="23985"/>
      <c r="J144" s="24016"/>
      <c r="K144" s="23988"/>
      <c r="L144" s="23958" t="s">
        <v>96</v>
      </c>
      <c r="M144" s="23958" t="s">
        <v>90</v>
      </c>
      <c r="N144" s="24010" t="str">
        <f>IF(Z144="","",INDEX(TERRITORY_MR_LIST,MATCH(Z144,TERRITORY_LIST_ID,0)))</f>
        <v>Территория 8</v>
      </c>
      <c r="O144" s="24018" t="s">
        <v>59</v>
      </c>
      <c r="P144" s="23958"/>
      <c r="Q144" s="23958" t="s">
        <v>218</v>
      </c>
      <c r="R144" s="24020" t="s">
        <v>407</v>
      </c>
      <c r="S144" s="24013" t="s">
        <v>6</v>
      </c>
      <c r="T144" s="1700"/>
      <c r="U144" s="1700" t="s">
        <v>218</v>
      </c>
      <c r="V144" s="1360"/>
      <c r="W144" s="24015"/>
      <c r="Y144" s="1193"/>
      <c r="Z144" s="1193" t="s">
        <v>123</v>
      </c>
      <c r="AA144" s="1193"/>
      <c r="AB144" s="1193"/>
      <c r="AC144" s="1868" t="s">
        <v>351</v>
      </c>
      <c r="AD144" s="1868" t="s">
        <v>352</v>
      </c>
      <c r="AE144" s="1193" t="s">
        <v>408</v>
      </c>
      <c r="AF144" s="1193" t="s">
        <v>409</v>
      </c>
      <c r="AG144" s="1193" t="s">
        <v>410</v>
      </c>
      <c r="AH144" s="1193" t="str">
        <f>IF($E$105=0,"",$E$105)</f>
        <v>Тариф на горячую воду (горячее водоснабжение)</v>
      </c>
      <c r="AI144" s="1193" t="str">
        <f>IF($G$105=0,"",$G$105)</f>
        <v>Горячее водоснабжение</v>
      </c>
      <c r="AJ144" s="1193" t="str">
        <f>IF($J$105=0,"",$J$105)</f>
        <v>Тариф на горячую воду с использованием закрытой системы горячего водоснабжения</v>
      </c>
      <c r="AK144" s="1193" t="str">
        <f>IF($K$144="нет","без дифференциации",IF($N$144=0,"",$N$144))</f>
        <v>Территория 8</v>
      </c>
      <c r="AL144" s="1741" t="str">
        <f>IF($O$144="нет","без дифференциации",IF($R$144=0,"",$R$144))</f>
        <v>г. Починок Починковского муниципального округа Смоленской области</v>
      </c>
      <c r="AM144" s="1741"/>
      <c r="AN144" s="1193">
        <f>$I$105</f>
        <v>1</v>
      </c>
      <c r="AO144" s="1193" t="str">
        <f>$I$105&amp;"."&amp;$M$144</f>
        <v>1.8</v>
      </c>
      <c r="AP144" s="1193" t="str">
        <f>$I$105&amp;"."&amp;$M$144&amp;"."&amp;$Q$144</f>
        <v>1.8.1</v>
      </c>
      <c r="AQ144" s="1193"/>
    </row>
    <row r="145" spans="1:43" ht="17.25" customHeight="1">
      <c r="A145" s="1737"/>
      <c r="B145" s="1750"/>
      <c r="C145" s="1742"/>
      <c r="D145" s="23985"/>
      <c r="E145" s="23986"/>
      <c r="F145" s="23983"/>
      <c r="G145" s="23988"/>
      <c r="H145" s="23985"/>
      <c r="I145" s="23985"/>
      <c r="J145" s="24016"/>
      <c r="K145" s="23988"/>
      <c r="L145" s="23958"/>
      <c r="M145" s="23958"/>
      <c r="N145" s="24010"/>
      <c r="O145" s="24019"/>
      <c r="P145" s="23958"/>
      <c r="Q145" s="23958"/>
      <c r="R145" s="24020"/>
      <c r="S145" s="24013"/>
      <c r="T145" s="1361"/>
      <c r="U145" s="1362"/>
      <c r="V145" s="1362"/>
      <c r="W145" s="24015"/>
      <c r="Y145" s="1185"/>
      <c r="Z145" s="1185"/>
      <c r="AA145" s="1185"/>
      <c r="AB145" s="1185"/>
      <c r="AC145" s="1185"/>
      <c r="AD145" s="1185"/>
      <c r="AE145" s="1185"/>
      <c r="AF145" s="1185"/>
      <c r="AG145" s="1185"/>
      <c r="AH145" s="1185"/>
      <c r="AI145" s="1185"/>
      <c r="AJ145" s="1185"/>
      <c r="AK145" s="1185"/>
      <c r="AL145" s="1750"/>
      <c r="AM145" s="1750"/>
      <c r="AN145" s="1750"/>
      <c r="AO145" s="1750"/>
      <c r="AP145" s="1750"/>
      <c r="AQ145" s="1750"/>
    </row>
    <row r="146" spans="1:43" ht="17.25" customHeight="1">
      <c r="A146" s="1737"/>
      <c r="B146" s="1750"/>
      <c r="C146" s="1742"/>
      <c r="D146" s="23985"/>
      <c r="E146" s="23986"/>
      <c r="F146" s="23983"/>
      <c r="G146" s="23988"/>
      <c r="H146" s="23985"/>
      <c r="I146" s="23985"/>
      <c r="J146" s="24016"/>
      <c r="K146" s="23988"/>
      <c r="L146" s="23981"/>
      <c r="M146" s="23981"/>
      <c r="N146" s="24012"/>
      <c r="O146" s="23962"/>
      <c r="P146" s="253"/>
      <c r="Q146" s="254"/>
      <c r="R146" s="254" t="s">
        <v>370</v>
      </c>
      <c r="S146" s="1743"/>
      <c r="T146" s="1743"/>
      <c r="U146" s="1743"/>
      <c r="V146" s="1743"/>
      <c r="W146" s="1359"/>
      <c r="Y146" s="1185"/>
      <c r="Z146" s="1185"/>
      <c r="AA146" s="1185"/>
      <c r="AB146" s="1185"/>
      <c r="AC146" s="1185"/>
      <c r="AD146" s="1185"/>
      <c r="AE146" s="1185"/>
      <c r="AF146" s="1185"/>
      <c r="AG146" s="1185"/>
      <c r="AH146" s="1185"/>
      <c r="AI146" s="1185"/>
      <c r="AJ146" s="1185"/>
      <c r="AK146" s="1185"/>
      <c r="AL146" s="1750"/>
      <c r="AM146" s="1750"/>
      <c r="AN146" s="1750"/>
      <c r="AO146" s="1750"/>
      <c r="AP146" s="1750"/>
      <c r="AQ146" s="1750"/>
    </row>
    <row r="147" spans="1:43" ht="17.25" customHeight="1">
      <c r="A147" s="1737"/>
      <c r="B147" s="1750"/>
      <c r="C147" s="1739"/>
      <c r="D147" s="23985"/>
      <c r="E147" s="23986"/>
      <c r="F147" s="23983"/>
      <c r="G147" s="23988"/>
      <c r="H147" s="23985"/>
      <c r="I147" s="23985"/>
      <c r="J147" s="24016"/>
      <c r="K147" s="23988"/>
      <c r="L147" s="23958" t="s">
        <v>96</v>
      </c>
      <c r="M147" s="23958" t="s">
        <v>128</v>
      </c>
      <c r="N147" s="24010" t="str">
        <f>IF(Z147="","",INDEX(TERRITORY_MR_LIST,MATCH(Z147,TERRITORY_LIST_ID,0)))</f>
        <v>Территория 9</v>
      </c>
      <c r="O147" s="24018" t="s">
        <v>59</v>
      </c>
      <c r="P147" s="23958"/>
      <c r="Q147" s="23958" t="s">
        <v>218</v>
      </c>
      <c r="R147" s="24020" t="s">
        <v>411</v>
      </c>
      <c r="S147" s="24013" t="s">
        <v>6</v>
      </c>
      <c r="T147" s="1700"/>
      <c r="U147" s="1700" t="s">
        <v>218</v>
      </c>
      <c r="V147" s="1360"/>
      <c r="W147" s="24015"/>
      <c r="Y147" s="1193"/>
      <c r="Z147" s="1193" t="s">
        <v>129</v>
      </c>
      <c r="AA147" s="1193"/>
      <c r="AB147" s="1193"/>
      <c r="AC147" s="1868" t="s">
        <v>351</v>
      </c>
      <c r="AD147" s="1868" t="s">
        <v>352</v>
      </c>
      <c r="AE147" s="1193" t="s">
        <v>412</v>
      </c>
      <c r="AF147" s="1193" t="s">
        <v>413</v>
      </c>
      <c r="AG147" s="1193" t="s">
        <v>414</v>
      </c>
      <c r="AH147" s="1193" t="str">
        <f>IF($E$105=0,"",$E$105)</f>
        <v>Тариф на горячую воду (горячее водоснабжение)</v>
      </c>
      <c r="AI147" s="1193" t="str">
        <f>IF($G$105=0,"",$G$105)</f>
        <v>Горячее водоснабжение</v>
      </c>
      <c r="AJ147" s="1193" t="str">
        <f>IF($J$105=0,"",$J$105)</f>
        <v>Тариф на горячую воду с использованием закрытой системы горячего водоснабжения</v>
      </c>
      <c r="AK147" s="1193" t="str">
        <f>IF($K$147="нет","без дифференциации",IF($N$147=0,"",$N$147))</f>
        <v>Территория 9</v>
      </c>
      <c r="AL147" s="1741" t="str">
        <f>IF($O$147="нет","без дифференциации",IF($R$147=0,"",$R$147))</f>
        <v>д. Лосня Починковского муниципального округа Смоленской области</v>
      </c>
      <c r="AM147" s="1741"/>
      <c r="AN147" s="1193">
        <f>$I$105</f>
        <v>1</v>
      </c>
      <c r="AO147" s="1193" t="str">
        <f>$I$105&amp;"."&amp;$M$147</f>
        <v>1.9</v>
      </c>
      <c r="AP147" s="1193" t="str">
        <f>$I$105&amp;"."&amp;$M$147&amp;"."&amp;$Q$147</f>
        <v>1.9.1</v>
      </c>
      <c r="AQ147" s="1193"/>
    </row>
    <row r="148" spans="1:43" ht="17.25" customHeight="1">
      <c r="A148" s="1737"/>
      <c r="B148" s="1750"/>
      <c r="C148" s="1742"/>
      <c r="D148" s="23985"/>
      <c r="E148" s="23986"/>
      <c r="F148" s="23983"/>
      <c r="G148" s="23988"/>
      <c r="H148" s="23985"/>
      <c r="I148" s="23985"/>
      <c r="J148" s="24016"/>
      <c r="K148" s="23988"/>
      <c r="L148" s="23958"/>
      <c r="M148" s="23958"/>
      <c r="N148" s="24010"/>
      <c r="O148" s="24019"/>
      <c r="P148" s="23958"/>
      <c r="Q148" s="23958"/>
      <c r="R148" s="24020"/>
      <c r="S148" s="24013"/>
      <c r="T148" s="1361"/>
      <c r="U148" s="1362"/>
      <c r="V148" s="1362"/>
      <c r="W148" s="24015"/>
      <c r="Y148" s="1185"/>
      <c r="Z148" s="1185"/>
      <c r="AA148" s="1185"/>
      <c r="AB148" s="1185"/>
      <c r="AC148" s="1185"/>
      <c r="AD148" s="1185"/>
      <c r="AE148" s="1185"/>
      <c r="AF148" s="1185"/>
      <c r="AG148" s="1185"/>
      <c r="AH148" s="1185"/>
      <c r="AI148" s="1185"/>
      <c r="AJ148" s="1185"/>
      <c r="AK148" s="1185"/>
      <c r="AL148" s="1750"/>
      <c r="AM148" s="1750"/>
      <c r="AN148" s="1750"/>
      <c r="AO148" s="1750"/>
      <c r="AP148" s="1750"/>
      <c r="AQ148" s="1750"/>
    </row>
    <row r="149" spans="1:43" ht="17.25" customHeight="1">
      <c r="A149" s="1737"/>
      <c r="B149" s="1750"/>
      <c r="C149" s="1742"/>
      <c r="D149" s="23985"/>
      <c r="E149" s="23986"/>
      <c r="F149" s="23983"/>
      <c r="G149" s="23988"/>
      <c r="H149" s="23985"/>
      <c r="I149" s="23985"/>
      <c r="J149" s="24016"/>
      <c r="K149" s="23988"/>
      <c r="L149" s="23981"/>
      <c r="M149" s="23981"/>
      <c r="N149" s="24012"/>
      <c r="O149" s="23962"/>
      <c r="P149" s="253"/>
      <c r="Q149" s="254"/>
      <c r="R149" s="254" t="s">
        <v>370</v>
      </c>
      <c r="S149" s="1743"/>
      <c r="T149" s="1743"/>
      <c r="U149" s="1743"/>
      <c r="V149" s="1743"/>
      <c r="W149" s="1359"/>
      <c r="Y149" s="1185"/>
      <c r="Z149" s="1185"/>
      <c r="AA149" s="1185"/>
      <c r="AB149" s="1185"/>
      <c r="AC149" s="1185"/>
      <c r="AD149" s="1185"/>
      <c r="AE149" s="1185"/>
      <c r="AF149" s="1185"/>
      <c r="AG149" s="1185"/>
      <c r="AH149" s="1185"/>
      <c r="AI149" s="1185"/>
      <c r="AJ149" s="1185"/>
      <c r="AK149" s="1185"/>
      <c r="AL149" s="1750"/>
      <c r="AM149" s="1750"/>
      <c r="AN149" s="1750"/>
      <c r="AO149" s="1750"/>
      <c r="AP149" s="1750"/>
      <c r="AQ149" s="1750"/>
    </row>
    <row r="150" spans="1:43" ht="17.25" customHeight="1">
      <c r="A150" s="1737"/>
      <c r="B150" s="1750"/>
      <c r="C150" s="1739"/>
      <c r="D150" s="23985"/>
      <c r="E150" s="23986"/>
      <c r="F150" s="23983"/>
      <c r="G150" s="23988"/>
      <c r="H150" s="23985"/>
      <c r="I150" s="23985"/>
      <c r="J150" s="24016"/>
      <c r="K150" s="23988"/>
      <c r="L150" s="23958" t="s">
        <v>96</v>
      </c>
      <c r="M150" s="23958" t="s">
        <v>133</v>
      </c>
      <c r="N150" s="24010" t="str">
        <f>IF(Z150="","",INDEX(TERRITORY_MR_LIST,MATCH(Z150,TERRITORY_LIST_ID,0)))</f>
        <v>Территория 10</v>
      </c>
      <c r="O150" s="24018" t="s">
        <v>59</v>
      </c>
      <c r="P150" s="23958"/>
      <c r="Q150" s="23958" t="s">
        <v>218</v>
      </c>
      <c r="R150" s="24020" t="s">
        <v>415</v>
      </c>
      <c r="S150" s="24013" t="s">
        <v>6</v>
      </c>
      <c r="T150" s="1700"/>
      <c r="U150" s="1700" t="s">
        <v>218</v>
      </c>
      <c r="V150" s="1360"/>
      <c r="W150" s="24015"/>
      <c r="Y150" s="1193"/>
      <c r="Z150" s="1193" t="s">
        <v>134</v>
      </c>
      <c r="AA150" s="1193"/>
      <c r="AB150" s="1193"/>
      <c r="AC150" s="1868" t="s">
        <v>351</v>
      </c>
      <c r="AD150" s="1868" t="s">
        <v>352</v>
      </c>
      <c r="AE150" s="1193" t="s">
        <v>416</v>
      </c>
      <c r="AF150" s="1193" t="s">
        <v>417</v>
      </c>
      <c r="AG150" s="1193" t="s">
        <v>418</v>
      </c>
      <c r="AH150" s="1193" t="str">
        <f>IF($E$105=0,"",$E$105)</f>
        <v>Тариф на горячую воду (горячее водоснабжение)</v>
      </c>
      <c r="AI150" s="1193" t="str">
        <f>IF($G$105=0,"",$G$105)</f>
        <v>Горячее водоснабжение</v>
      </c>
      <c r="AJ150" s="1193" t="str">
        <f>IF($J$105=0,"",$J$105)</f>
        <v>Тариф на горячую воду с использованием закрытой системы горячего водоснабжения</v>
      </c>
      <c r="AK150" s="1193" t="str">
        <f>IF($K$150="нет","без дифференциации",IF($N$150=0,"",$N$150))</f>
        <v>Территория 10</v>
      </c>
      <c r="AL150" s="1741" t="str">
        <f>IF($O$150="нет","без дифференциации",IF($R$150=0,"",$R$150))</f>
        <v>д. Бояды Починковского муниципального  округа Смоленской области</v>
      </c>
      <c r="AM150" s="1741"/>
      <c r="AN150" s="1193">
        <f>$I$105</f>
        <v>1</v>
      </c>
      <c r="AO150" s="1193" t="str">
        <f>$I$105&amp;"."&amp;$M$150</f>
        <v>1.10</v>
      </c>
      <c r="AP150" s="1193" t="str">
        <f>$I$105&amp;"."&amp;$M$150&amp;"."&amp;$Q$150</f>
        <v>1.10.1</v>
      </c>
      <c r="AQ150" s="1193"/>
    </row>
    <row r="151" spans="1:43" ht="17.25" customHeight="1">
      <c r="A151" s="1737"/>
      <c r="B151" s="1750"/>
      <c r="C151" s="1742"/>
      <c r="D151" s="23985"/>
      <c r="E151" s="23986"/>
      <c r="F151" s="23983"/>
      <c r="G151" s="23988"/>
      <c r="H151" s="23985"/>
      <c r="I151" s="23985"/>
      <c r="J151" s="24016"/>
      <c r="K151" s="23988"/>
      <c r="L151" s="23958"/>
      <c r="M151" s="23958"/>
      <c r="N151" s="24010"/>
      <c r="O151" s="24019"/>
      <c r="P151" s="23958"/>
      <c r="Q151" s="23958"/>
      <c r="R151" s="24020"/>
      <c r="S151" s="24013"/>
      <c r="T151" s="1361"/>
      <c r="U151" s="1362"/>
      <c r="V151" s="1362"/>
      <c r="W151" s="24015"/>
      <c r="Y151" s="1185"/>
      <c r="Z151" s="1185"/>
      <c r="AA151" s="1185"/>
      <c r="AB151" s="1185"/>
      <c r="AC151" s="1185"/>
      <c r="AD151" s="1185"/>
      <c r="AE151" s="1185"/>
      <c r="AF151" s="1185"/>
      <c r="AG151" s="1185"/>
      <c r="AH151" s="1185"/>
      <c r="AI151" s="1185"/>
      <c r="AJ151" s="1185"/>
      <c r="AK151" s="1185"/>
      <c r="AL151" s="1750"/>
      <c r="AM151" s="1750"/>
      <c r="AN151" s="1750"/>
      <c r="AO151" s="1750"/>
      <c r="AP151" s="1750"/>
      <c r="AQ151" s="1750"/>
    </row>
    <row r="152" spans="1:43" ht="17.25" customHeight="1">
      <c r="A152" s="1737"/>
      <c r="B152" s="1750"/>
      <c r="C152" s="1742"/>
      <c r="D152" s="23985"/>
      <c r="E152" s="23986"/>
      <c r="F152" s="23983"/>
      <c r="G152" s="23988"/>
      <c r="H152" s="23985"/>
      <c r="I152" s="23985"/>
      <c r="J152" s="24016"/>
      <c r="K152" s="23988"/>
      <c r="L152" s="23981"/>
      <c r="M152" s="23981"/>
      <c r="N152" s="24012"/>
      <c r="O152" s="23962"/>
      <c r="P152" s="253"/>
      <c r="Q152" s="254"/>
      <c r="R152" s="254" t="s">
        <v>370</v>
      </c>
      <c r="S152" s="1743"/>
      <c r="T152" s="1743"/>
      <c r="U152" s="1743"/>
      <c r="V152" s="1743"/>
      <c r="W152" s="1359"/>
      <c r="Y152" s="1185"/>
      <c r="Z152" s="1185"/>
      <c r="AA152" s="1185"/>
      <c r="AB152" s="1185"/>
      <c r="AC152" s="1185"/>
      <c r="AD152" s="1185"/>
      <c r="AE152" s="1185"/>
      <c r="AF152" s="1185"/>
      <c r="AG152" s="1185"/>
      <c r="AH152" s="1185"/>
      <c r="AI152" s="1185"/>
      <c r="AJ152" s="1185"/>
      <c r="AK152" s="1185"/>
      <c r="AL152" s="1750"/>
      <c r="AM152" s="1750"/>
      <c r="AN152" s="1750"/>
      <c r="AO152" s="1750"/>
      <c r="AP152" s="1750"/>
      <c r="AQ152" s="1750"/>
    </row>
    <row r="153" spans="1:43" ht="17.25" customHeight="1">
      <c r="A153" s="1737"/>
      <c r="B153" s="1750"/>
      <c r="C153" s="1739"/>
      <c r="D153" s="23985"/>
      <c r="E153" s="23986"/>
      <c r="F153" s="23983"/>
      <c r="G153" s="23988"/>
      <c r="H153" s="23985"/>
      <c r="I153" s="23985"/>
      <c r="J153" s="24016"/>
      <c r="K153" s="23988"/>
      <c r="L153" s="23958" t="s">
        <v>96</v>
      </c>
      <c r="M153" s="23958" t="s">
        <v>138</v>
      </c>
      <c r="N153" s="24010" t="str">
        <f>IF(Z153="","",INDEX(TERRITORY_MR_LIST,MATCH(Z153,TERRITORY_LIST_ID,0)))</f>
        <v>Территория 11</v>
      </c>
      <c r="O153" s="24018" t="s">
        <v>59</v>
      </c>
      <c r="P153" s="23958"/>
      <c r="Q153" s="23958" t="s">
        <v>218</v>
      </c>
      <c r="R153" s="24020" t="s">
        <v>419</v>
      </c>
      <c r="S153" s="24013" t="s">
        <v>6</v>
      </c>
      <c r="T153" s="1700"/>
      <c r="U153" s="1700" t="s">
        <v>218</v>
      </c>
      <c r="V153" s="1360"/>
      <c r="W153" s="24015"/>
      <c r="Y153" s="1193"/>
      <c r="Z153" s="1193" t="s">
        <v>139</v>
      </c>
      <c r="AA153" s="1193"/>
      <c r="AB153" s="1193"/>
      <c r="AC153" s="1868" t="s">
        <v>351</v>
      </c>
      <c r="AD153" s="1868" t="s">
        <v>352</v>
      </c>
      <c r="AE153" s="1193" t="s">
        <v>420</v>
      </c>
      <c r="AF153" s="1193" t="s">
        <v>421</v>
      </c>
      <c r="AG153" s="1193" t="s">
        <v>422</v>
      </c>
      <c r="AH153" s="1193" t="str">
        <f>IF($E$105=0,"",$E$105)</f>
        <v>Тариф на горячую воду (горячее водоснабжение)</v>
      </c>
      <c r="AI153" s="1193" t="str">
        <f>IF($G$105=0,"",$G$105)</f>
        <v>Горячее водоснабжение</v>
      </c>
      <c r="AJ153" s="1193" t="str">
        <f>IF($J$105=0,"",$J$105)</f>
        <v>Тариф на горячую воду с использованием закрытой системы горячего водоснабжения</v>
      </c>
      <c r="AK153" s="1193" t="str">
        <f>IF($K$153="нет","без дифференциации",IF($N$153=0,"",$N$153))</f>
        <v>Территория 11</v>
      </c>
      <c r="AL153" s="1741" t="str">
        <f>IF($O$153="нет","без дифференциации",IF($R$153=0,"",$R$153))</f>
        <v>г. Сафоново, д. Клинка  Сафоновского муниципального округа Смоленской области</v>
      </c>
      <c r="AM153" s="1741"/>
      <c r="AN153" s="1193">
        <f>$I$105</f>
        <v>1</v>
      </c>
      <c r="AO153" s="1193" t="str">
        <f>$I$105&amp;"."&amp;$M$153</f>
        <v>1.11</v>
      </c>
      <c r="AP153" s="1193" t="str">
        <f>$I$105&amp;"."&amp;$M$153&amp;"."&amp;$Q$153</f>
        <v>1.11.1</v>
      </c>
      <c r="AQ153" s="1193"/>
    </row>
    <row r="154" spans="1:43" ht="17.25" customHeight="1">
      <c r="A154" s="1737"/>
      <c r="B154" s="1750"/>
      <c r="C154" s="1742"/>
      <c r="D154" s="23985"/>
      <c r="E154" s="23986"/>
      <c r="F154" s="23983"/>
      <c r="G154" s="23988"/>
      <c r="H154" s="23985"/>
      <c r="I154" s="23985"/>
      <c r="J154" s="24016"/>
      <c r="K154" s="23988"/>
      <c r="L154" s="23958"/>
      <c r="M154" s="23958"/>
      <c r="N154" s="24010"/>
      <c r="O154" s="24019"/>
      <c r="P154" s="23958"/>
      <c r="Q154" s="23958"/>
      <c r="R154" s="24020"/>
      <c r="S154" s="24013"/>
      <c r="T154" s="1361"/>
      <c r="U154" s="1362"/>
      <c r="V154" s="1362"/>
      <c r="W154" s="24015"/>
      <c r="Y154" s="1185"/>
      <c r="Z154" s="1185"/>
      <c r="AA154" s="1185"/>
      <c r="AB154" s="1185"/>
      <c r="AC154" s="1185"/>
      <c r="AD154" s="1185"/>
      <c r="AE154" s="1185"/>
      <c r="AF154" s="1185"/>
      <c r="AG154" s="1185"/>
      <c r="AH154" s="1185"/>
      <c r="AI154" s="1185"/>
      <c r="AJ154" s="1185"/>
      <c r="AK154" s="1185"/>
      <c r="AL154" s="1750"/>
      <c r="AM154" s="1750"/>
      <c r="AN154" s="1750"/>
      <c r="AO154" s="1750"/>
      <c r="AP154" s="1750"/>
      <c r="AQ154" s="1750"/>
    </row>
    <row r="155" spans="1:43" ht="17.25" customHeight="1">
      <c r="A155" s="1737"/>
      <c r="B155" s="1750"/>
      <c r="C155" s="1742"/>
      <c r="D155" s="23985"/>
      <c r="E155" s="23986"/>
      <c r="F155" s="23983"/>
      <c r="G155" s="23988"/>
      <c r="H155" s="23985"/>
      <c r="I155" s="23985"/>
      <c r="J155" s="24016"/>
      <c r="K155" s="23988"/>
      <c r="L155" s="23981"/>
      <c r="M155" s="23981"/>
      <c r="N155" s="24012"/>
      <c r="O155" s="23962"/>
      <c r="P155" s="253"/>
      <c r="Q155" s="254"/>
      <c r="R155" s="254" t="s">
        <v>370</v>
      </c>
      <c r="S155" s="1743"/>
      <c r="T155" s="1743"/>
      <c r="U155" s="1743"/>
      <c r="V155" s="1743"/>
      <c r="W155" s="1359"/>
      <c r="Y155" s="1185"/>
      <c r="Z155" s="1185"/>
      <c r="AA155" s="1185"/>
      <c r="AB155" s="1185"/>
      <c r="AC155" s="1185"/>
      <c r="AD155" s="1185"/>
      <c r="AE155" s="1185"/>
      <c r="AF155" s="1185"/>
      <c r="AG155" s="1185"/>
      <c r="AH155" s="1185"/>
      <c r="AI155" s="1185"/>
      <c r="AJ155" s="1185"/>
      <c r="AK155" s="1185"/>
      <c r="AL155" s="1750"/>
      <c r="AM155" s="1750"/>
      <c r="AN155" s="1750"/>
      <c r="AO155" s="1750"/>
      <c r="AP155" s="1750"/>
      <c r="AQ155" s="1750"/>
    </row>
    <row r="156" spans="1:43" ht="17.25" customHeight="1">
      <c r="A156" s="1737"/>
      <c r="B156" s="1750"/>
      <c r="C156" s="1739"/>
      <c r="D156" s="23985"/>
      <c r="E156" s="23986"/>
      <c r="F156" s="23983"/>
      <c r="G156" s="23988"/>
      <c r="H156" s="23985"/>
      <c r="I156" s="23985"/>
      <c r="J156" s="24016"/>
      <c r="K156" s="23988"/>
      <c r="L156" s="23958" t="s">
        <v>96</v>
      </c>
      <c r="M156" s="23958" t="s">
        <v>147</v>
      </c>
      <c r="N156" s="24010" t="str">
        <f>IF(Z156="","",INDEX(TERRITORY_MR_LIST,MATCH(Z156,TERRITORY_LIST_ID,0)))</f>
        <v>Территория 12</v>
      </c>
      <c r="O156" s="24018" t="s">
        <v>59</v>
      </c>
      <c r="P156" s="23958"/>
      <c r="Q156" s="23958" t="s">
        <v>218</v>
      </c>
      <c r="R156" s="24020" t="s">
        <v>423</v>
      </c>
      <c r="S156" s="24013" t="s">
        <v>6</v>
      </c>
      <c r="T156" s="1700"/>
      <c r="U156" s="1700" t="s">
        <v>218</v>
      </c>
      <c r="V156" s="1360"/>
      <c r="W156" s="24015"/>
      <c r="Y156" s="1193"/>
      <c r="Z156" s="1193" t="s">
        <v>148</v>
      </c>
      <c r="AA156" s="1193"/>
      <c r="AB156" s="1193"/>
      <c r="AC156" s="1868" t="s">
        <v>351</v>
      </c>
      <c r="AD156" s="1868" t="s">
        <v>352</v>
      </c>
      <c r="AE156" s="1193" t="s">
        <v>424</v>
      </c>
      <c r="AF156" s="1193" t="s">
        <v>425</v>
      </c>
      <c r="AG156" s="1193" t="s">
        <v>426</v>
      </c>
      <c r="AH156" s="1193" t="str">
        <f>IF($E$105=0,"",$E$105)</f>
        <v>Тариф на горячую воду (горячее водоснабжение)</v>
      </c>
      <c r="AI156" s="1193" t="str">
        <f>IF($G$105=0,"",$G$105)</f>
        <v>Горячее водоснабжение</v>
      </c>
      <c r="AJ156" s="1193" t="str">
        <f>IF($J$105=0,"",$J$105)</f>
        <v>Тариф на горячую воду с использованием закрытой системы горячего водоснабжения</v>
      </c>
      <c r="AK156" s="1193" t="str">
        <f>IF($K$156="нет","без дифференциации",IF($N$156=0,"",$N$156))</f>
        <v>Территория 12</v>
      </c>
      <c r="AL156" s="1741" t="str">
        <f>IF($O$156="нет","без дифференциации",IF($R$156=0,"",$R$156))</f>
        <v>г. Сафоново (для потребителей, теплоснабжение которых осуществляется от котельной по ул. Советская, д. 78)</v>
      </c>
      <c r="AM156" s="1741"/>
      <c r="AN156" s="1193">
        <f>$I$105</f>
        <v>1</v>
      </c>
      <c r="AO156" s="1193" t="str">
        <f>$I$105&amp;"."&amp;$M$156</f>
        <v>1.12</v>
      </c>
      <c r="AP156" s="1193" t="str">
        <f>$I$105&amp;"."&amp;$M$156&amp;"."&amp;$Q$156</f>
        <v>1.12.1</v>
      </c>
      <c r="AQ156" s="1193"/>
    </row>
    <row r="157" spans="1:43" ht="17.25" customHeight="1">
      <c r="A157" s="1737"/>
      <c r="B157" s="1750"/>
      <c r="C157" s="1742"/>
      <c r="D157" s="23985"/>
      <c r="E157" s="23986"/>
      <c r="F157" s="23983"/>
      <c r="G157" s="23988"/>
      <c r="H157" s="23985"/>
      <c r="I157" s="23985"/>
      <c r="J157" s="24016"/>
      <c r="K157" s="23988"/>
      <c r="L157" s="23958"/>
      <c r="M157" s="23958"/>
      <c r="N157" s="24010"/>
      <c r="O157" s="24019"/>
      <c r="P157" s="23958"/>
      <c r="Q157" s="23958"/>
      <c r="R157" s="24020"/>
      <c r="S157" s="24013"/>
      <c r="T157" s="1361"/>
      <c r="U157" s="1362"/>
      <c r="V157" s="1362"/>
      <c r="W157" s="24015"/>
      <c r="Y157" s="1185"/>
      <c r="Z157" s="1185"/>
      <c r="AA157" s="1185"/>
      <c r="AB157" s="1185"/>
      <c r="AC157" s="1185"/>
      <c r="AD157" s="1185"/>
      <c r="AE157" s="1185"/>
      <c r="AF157" s="1185"/>
      <c r="AG157" s="1185"/>
      <c r="AH157" s="1185"/>
      <c r="AI157" s="1185"/>
      <c r="AJ157" s="1185"/>
      <c r="AK157" s="1185"/>
      <c r="AL157" s="1750"/>
      <c r="AM157" s="1750"/>
      <c r="AN157" s="1750"/>
      <c r="AO157" s="1750"/>
      <c r="AP157" s="1750"/>
      <c r="AQ157" s="1750"/>
    </row>
    <row r="158" spans="1:43" ht="17.25" customHeight="1">
      <c r="A158" s="1737"/>
      <c r="B158" s="1750"/>
      <c r="C158" s="1739"/>
      <c r="D158" s="23985"/>
      <c r="E158" s="23986"/>
      <c r="F158" s="23983"/>
      <c r="G158" s="23988"/>
      <c r="H158" s="23985"/>
      <c r="I158" s="23985"/>
      <c r="J158" s="24016"/>
      <c r="K158" s="23988"/>
      <c r="L158" s="23985"/>
      <c r="M158" s="23985"/>
      <c r="N158" s="24011"/>
      <c r="O158" s="24019"/>
      <c r="P158" s="23958" t="s">
        <v>96</v>
      </c>
      <c r="Q158" s="23958" t="s">
        <v>95</v>
      </c>
      <c r="R158" s="24020" t="s">
        <v>427</v>
      </c>
      <c r="S158" s="24013" t="s">
        <v>6</v>
      </c>
      <c r="T158" s="1700"/>
      <c r="U158" s="1700" t="s">
        <v>218</v>
      </c>
      <c r="V158" s="1360"/>
      <c r="W158" s="24015"/>
      <c r="Y158" s="1193"/>
      <c r="Z158" s="1193"/>
      <c r="AA158" s="1193"/>
      <c r="AB158" s="1193"/>
      <c r="AC158" s="1868" t="s">
        <v>351</v>
      </c>
      <c r="AD158" s="1868" t="s">
        <v>352</v>
      </c>
      <c r="AE158" s="1868" t="s">
        <v>424</v>
      </c>
      <c r="AF158" s="1193" t="s">
        <v>428</v>
      </c>
      <c r="AG158" s="1193" t="s">
        <v>429</v>
      </c>
      <c r="AH158" s="1193" t="str">
        <f>IF($E$105=0,"",$E$105)</f>
        <v>Тариф на горячую воду (горячее водоснабжение)</v>
      </c>
      <c r="AI158" s="1193" t="str">
        <f>IF($G$105=0,"",$G$105)</f>
        <v>Горячее водоснабжение</v>
      </c>
      <c r="AJ158" s="1193" t="str">
        <f>IF($J$105=0,"",$J$105)</f>
        <v>Тариф на горячую воду с использованием закрытой системы горячего водоснабжения</v>
      </c>
      <c r="AK158" s="1193" t="str">
        <f>IF($K$156="нет","без дифференциации",IF($N$156=0,"",$N$156))</f>
        <v>Территория 12</v>
      </c>
      <c r="AL158" s="1741" t="str">
        <f>IF($O$158="нет","без дифференциации",IF($R$158=0,"",$R$158))</f>
        <v>г. Сафоново (для потребителей, теплоснабжение которых осуществляется от котельной по ул. Первомайская)</v>
      </c>
      <c r="AM158" s="1741"/>
      <c r="AN158" s="1193">
        <f>$I$105</f>
        <v>1</v>
      </c>
      <c r="AO158" s="1193" t="str">
        <f>$I$105&amp;"."&amp;$M$156</f>
        <v>1.12</v>
      </c>
      <c r="AP158" s="1193" t="str">
        <f>$I$105&amp;"."&amp;$M$156&amp;"."&amp;$Q$158</f>
        <v>1.12.2</v>
      </c>
      <c r="AQ158" s="1193"/>
    </row>
    <row r="159" spans="1:43" ht="17.25" customHeight="1">
      <c r="A159" s="1737"/>
      <c r="B159" s="1750"/>
      <c r="C159" s="1742"/>
      <c r="D159" s="23985"/>
      <c r="E159" s="23986"/>
      <c r="F159" s="23983"/>
      <c r="G159" s="23988"/>
      <c r="H159" s="23985"/>
      <c r="I159" s="23985"/>
      <c r="J159" s="24016"/>
      <c r="K159" s="23988"/>
      <c r="L159" s="23985"/>
      <c r="M159" s="23985"/>
      <c r="N159" s="24011"/>
      <c r="O159" s="24019"/>
      <c r="P159" s="23958"/>
      <c r="Q159" s="23958"/>
      <c r="R159" s="24020"/>
      <c r="S159" s="24013"/>
      <c r="T159" s="1361"/>
      <c r="U159" s="1362"/>
      <c r="V159" s="1362"/>
      <c r="W159" s="24015"/>
      <c r="Y159" s="1185"/>
      <c r="Z159" s="1185"/>
      <c r="AA159" s="1185"/>
      <c r="AB159" s="1185"/>
      <c r="AC159" s="1185"/>
      <c r="AD159" s="1185"/>
      <c r="AE159" s="1185"/>
      <c r="AF159" s="1185"/>
      <c r="AG159" s="1185"/>
      <c r="AH159" s="1185"/>
      <c r="AI159" s="1185"/>
      <c r="AJ159" s="1185"/>
      <c r="AK159" s="1185"/>
      <c r="AL159" s="1750"/>
      <c r="AM159" s="1750"/>
      <c r="AN159" s="1750"/>
      <c r="AO159" s="1750"/>
      <c r="AP159" s="1750"/>
      <c r="AQ159" s="1750"/>
    </row>
    <row r="160" spans="1:43" ht="17.25" customHeight="1">
      <c r="A160" s="1737"/>
      <c r="B160" s="1750"/>
      <c r="C160" s="1742"/>
      <c r="D160" s="23985"/>
      <c r="E160" s="23986"/>
      <c r="F160" s="23983"/>
      <c r="G160" s="23988"/>
      <c r="H160" s="23985"/>
      <c r="I160" s="23985"/>
      <c r="J160" s="24016"/>
      <c r="K160" s="23988"/>
      <c r="L160" s="23981"/>
      <c r="M160" s="23981"/>
      <c r="N160" s="24012"/>
      <c r="O160" s="23962"/>
      <c r="P160" s="253"/>
      <c r="Q160" s="254"/>
      <c r="R160" s="254" t="s">
        <v>370</v>
      </c>
      <c r="S160" s="1743"/>
      <c r="T160" s="1743"/>
      <c r="U160" s="1743"/>
      <c r="V160" s="1743"/>
      <c r="W160" s="1359"/>
      <c r="Y160" s="1185"/>
      <c r="Z160" s="1185"/>
      <c r="AA160" s="1185"/>
      <c r="AB160" s="1185"/>
      <c r="AC160" s="1185"/>
      <c r="AD160" s="1185"/>
      <c r="AE160" s="1185"/>
      <c r="AF160" s="1185"/>
      <c r="AG160" s="1185"/>
      <c r="AH160" s="1185"/>
      <c r="AI160" s="1185"/>
      <c r="AJ160" s="1185"/>
      <c r="AK160" s="1185"/>
      <c r="AL160" s="1750"/>
      <c r="AM160" s="1750"/>
      <c r="AN160" s="1750"/>
      <c r="AO160" s="1750"/>
      <c r="AP160" s="1750"/>
      <c r="AQ160" s="1750"/>
    </row>
    <row r="161" spans="1:43" ht="17.25" customHeight="1">
      <c r="A161" s="1737"/>
      <c r="B161" s="1750"/>
      <c r="C161" s="1739"/>
      <c r="D161" s="23985"/>
      <c r="E161" s="23986"/>
      <c r="F161" s="23983"/>
      <c r="G161" s="23988"/>
      <c r="H161" s="23985"/>
      <c r="I161" s="23985"/>
      <c r="J161" s="24016"/>
      <c r="K161" s="23988"/>
      <c r="L161" s="23958" t="s">
        <v>96</v>
      </c>
      <c r="M161" s="23958" t="s">
        <v>101</v>
      </c>
      <c r="N161" s="24010" t="str">
        <f>IF(Z161="","",INDEX(TERRITORY_MR_LIST,MATCH(Z161,TERRITORY_LIST_ID,0)))</f>
        <v>Территория 13</v>
      </c>
      <c r="O161" s="24018" t="s">
        <v>59</v>
      </c>
      <c r="P161" s="23958"/>
      <c r="Q161" s="23958" t="s">
        <v>218</v>
      </c>
      <c r="R161" s="24020" t="s">
        <v>430</v>
      </c>
      <c r="S161" s="24013" t="s">
        <v>6</v>
      </c>
      <c r="T161" s="1700"/>
      <c r="U161" s="1700" t="s">
        <v>218</v>
      </c>
      <c r="V161" s="1360"/>
      <c r="W161" s="24015"/>
      <c r="Y161" s="1193"/>
      <c r="Z161" s="1193" t="s">
        <v>149</v>
      </c>
      <c r="AA161" s="1193"/>
      <c r="AB161" s="1193"/>
      <c r="AC161" s="1868" t="s">
        <v>351</v>
      </c>
      <c r="AD161" s="1868" t="s">
        <v>352</v>
      </c>
      <c r="AE161" s="1193" t="s">
        <v>431</v>
      </c>
      <c r="AF161" s="1193" t="s">
        <v>432</v>
      </c>
      <c r="AG161" s="1193" t="s">
        <v>433</v>
      </c>
      <c r="AH161" s="1193" t="str">
        <f>IF($E$105=0,"",$E$105)</f>
        <v>Тариф на горячую воду (горячее водоснабжение)</v>
      </c>
      <c r="AI161" s="1193" t="str">
        <f>IF($G$105=0,"",$G$105)</f>
        <v>Горячее водоснабжение</v>
      </c>
      <c r="AJ161" s="1193" t="str">
        <f>IF($J$105=0,"",$J$105)</f>
        <v>Тариф на горячую воду с использованием закрытой системы горячего водоснабжения</v>
      </c>
      <c r="AK161" s="1193" t="str">
        <f>IF($K$161="нет","без дифференциации",IF($N$161=0,"",$N$161))</f>
        <v>Территория 13</v>
      </c>
      <c r="AL161" s="1741" t="str">
        <f>IF($O$161="нет","без дифференциации",IF($R$161=0,"",$R$161))</f>
        <v xml:space="preserve">г. Ельня Ельнинского муниципального округа Смоленской области </v>
      </c>
      <c r="AM161" s="1741"/>
      <c r="AN161" s="1193">
        <f>$I$105</f>
        <v>1</v>
      </c>
      <c r="AO161" s="1193" t="str">
        <f>$I$105&amp;"."&amp;$M$161</f>
        <v>1.13</v>
      </c>
      <c r="AP161" s="1193" t="str">
        <f>$I$105&amp;"."&amp;$M$161&amp;"."&amp;$Q$161</f>
        <v>1.13.1</v>
      </c>
      <c r="AQ161" s="1193"/>
    </row>
    <row r="162" spans="1:43" ht="17.25" customHeight="1">
      <c r="A162" s="1737"/>
      <c r="B162" s="1750"/>
      <c r="C162" s="1742"/>
      <c r="D162" s="23985"/>
      <c r="E162" s="23986"/>
      <c r="F162" s="23983"/>
      <c r="G162" s="23988"/>
      <c r="H162" s="23985"/>
      <c r="I162" s="23985"/>
      <c r="J162" s="24016"/>
      <c r="K162" s="23988"/>
      <c r="L162" s="23958"/>
      <c r="M162" s="23958"/>
      <c r="N162" s="24010"/>
      <c r="O162" s="24019"/>
      <c r="P162" s="23958"/>
      <c r="Q162" s="23958"/>
      <c r="R162" s="24020"/>
      <c r="S162" s="24013"/>
      <c r="T162" s="1361"/>
      <c r="U162" s="1362"/>
      <c r="V162" s="1362"/>
      <c r="W162" s="24015"/>
      <c r="Y162" s="1185"/>
      <c r="Z162" s="1185"/>
      <c r="AA162" s="1185"/>
      <c r="AB162" s="1185"/>
      <c r="AC162" s="1185"/>
      <c r="AD162" s="1185"/>
      <c r="AE162" s="1185"/>
      <c r="AF162" s="1185"/>
      <c r="AG162" s="1185"/>
      <c r="AH162" s="1185"/>
      <c r="AI162" s="1185"/>
      <c r="AJ162" s="1185"/>
      <c r="AK162" s="1185"/>
      <c r="AL162" s="1750"/>
      <c r="AM162" s="1750"/>
      <c r="AN162" s="1750"/>
      <c r="AO162" s="1750"/>
      <c r="AP162" s="1750"/>
      <c r="AQ162" s="1750"/>
    </row>
    <row r="163" spans="1:43" ht="17.25" customHeight="1">
      <c r="A163" s="1737"/>
      <c r="B163" s="1750"/>
      <c r="C163" s="1742"/>
      <c r="D163" s="23985"/>
      <c r="E163" s="23986"/>
      <c r="F163" s="23983"/>
      <c r="G163" s="23988"/>
      <c r="H163" s="23985"/>
      <c r="I163" s="23985"/>
      <c r="J163" s="24016"/>
      <c r="K163" s="23988"/>
      <c r="L163" s="23981"/>
      <c r="M163" s="23981"/>
      <c r="N163" s="24012"/>
      <c r="O163" s="23962"/>
      <c r="P163" s="253"/>
      <c r="Q163" s="254"/>
      <c r="R163" s="254" t="s">
        <v>370</v>
      </c>
      <c r="S163" s="1743"/>
      <c r="T163" s="1743"/>
      <c r="U163" s="1743"/>
      <c r="V163" s="1743"/>
      <c r="W163" s="1359"/>
      <c r="Y163" s="1185"/>
      <c r="Z163" s="1185"/>
      <c r="AA163" s="1185"/>
      <c r="AB163" s="1185"/>
      <c r="AC163" s="1185"/>
      <c r="AD163" s="1185"/>
      <c r="AE163" s="1185"/>
      <c r="AF163" s="1185"/>
      <c r="AG163" s="1185"/>
      <c r="AH163" s="1185"/>
      <c r="AI163" s="1185"/>
      <c r="AJ163" s="1185"/>
      <c r="AK163" s="1185"/>
      <c r="AL163" s="1750"/>
      <c r="AM163" s="1750"/>
      <c r="AN163" s="1750"/>
      <c r="AO163" s="1750"/>
      <c r="AP163" s="1750"/>
      <c r="AQ163" s="1750"/>
    </row>
    <row r="164" spans="1:43" ht="17.25" customHeight="1">
      <c r="A164" s="1737"/>
      <c r="B164" s="1750"/>
      <c r="C164" s="1739"/>
      <c r="D164" s="23985"/>
      <c r="E164" s="23986"/>
      <c r="F164" s="23983"/>
      <c r="G164" s="23988"/>
      <c r="H164" s="23985"/>
      <c r="I164" s="23985"/>
      <c r="J164" s="24016"/>
      <c r="K164" s="23988"/>
      <c r="L164" s="23958" t="s">
        <v>96</v>
      </c>
      <c r="M164" s="23958" t="s">
        <v>154</v>
      </c>
      <c r="N164" s="24010" t="str">
        <f>IF(Z164="","",INDEX(TERRITORY_MR_LIST,MATCH(Z164,TERRITORY_LIST_ID,0)))</f>
        <v>Территория 14</v>
      </c>
      <c r="O164" s="24018" t="s">
        <v>59</v>
      </c>
      <c r="P164" s="23958"/>
      <c r="Q164" s="23958" t="s">
        <v>218</v>
      </c>
      <c r="R164" s="24020" t="s">
        <v>434</v>
      </c>
      <c r="S164" s="24013" t="s">
        <v>6</v>
      </c>
      <c r="T164" s="1700"/>
      <c r="U164" s="1700" t="s">
        <v>218</v>
      </c>
      <c r="V164" s="1360"/>
      <c r="W164" s="24015"/>
      <c r="Y164" s="1193"/>
      <c r="Z164" s="1193" t="s">
        <v>155</v>
      </c>
      <c r="AA164" s="1193"/>
      <c r="AB164" s="1193"/>
      <c r="AC164" s="1868" t="s">
        <v>351</v>
      </c>
      <c r="AD164" s="1868" t="s">
        <v>352</v>
      </c>
      <c r="AE164" s="1193" t="s">
        <v>435</v>
      </c>
      <c r="AF164" s="1193" t="s">
        <v>436</v>
      </c>
      <c r="AG164" s="1193" t="s">
        <v>437</v>
      </c>
      <c r="AH164" s="1193" t="str">
        <f>IF($E$105=0,"",$E$105)</f>
        <v>Тариф на горячую воду (горячее водоснабжение)</v>
      </c>
      <c r="AI164" s="1193" t="str">
        <f>IF($G$105=0,"",$G$105)</f>
        <v>Горячее водоснабжение</v>
      </c>
      <c r="AJ164" s="1193" t="str">
        <f>IF($J$105=0,"",$J$105)</f>
        <v>Тариф на горячую воду с использованием закрытой системы горячего водоснабжения</v>
      </c>
      <c r="AK164" s="1193" t="str">
        <f>IF($K$164="нет","без дифференциации",IF($N$164=0,"",$N$164))</f>
        <v>Территория 14</v>
      </c>
      <c r="AL164" s="1741" t="str">
        <f>IF($O$164="нет","без дифференциации",IF($R$164=0,"",$R$164))</f>
        <v>г. Сычевка Сычевского округа Смоленской области</v>
      </c>
      <c r="AM164" s="1741"/>
      <c r="AN164" s="1193">
        <f>$I$105</f>
        <v>1</v>
      </c>
      <c r="AO164" s="1193" t="str">
        <f>$I$105&amp;"."&amp;$M$164</f>
        <v>1.14</v>
      </c>
      <c r="AP164" s="1193" t="str">
        <f>$I$105&amp;"."&amp;$M$164&amp;"."&amp;$Q$164</f>
        <v>1.14.1</v>
      </c>
      <c r="AQ164" s="1193"/>
    </row>
    <row r="165" spans="1:43" ht="17.25" customHeight="1">
      <c r="A165" s="1737"/>
      <c r="B165" s="1750"/>
      <c r="C165" s="1742"/>
      <c r="D165" s="23985"/>
      <c r="E165" s="23986"/>
      <c r="F165" s="23983"/>
      <c r="G165" s="23988"/>
      <c r="H165" s="23985"/>
      <c r="I165" s="23985"/>
      <c r="J165" s="24016"/>
      <c r="K165" s="23988"/>
      <c r="L165" s="23958"/>
      <c r="M165" s="23958"/>
      <c r="N165" s="24010"/>
      <c r="O165" s="24019"/>
      <c r="P165" s="23958"/>
      <c r="Q165" s="23958"/>
      <c r="R165" s="24020"/>
      <c r="S165" s="24013"/>
      <c r="T165" s="1361"/>
      <c r="U165" s="1362"/>
      <c r="V165" s="1362"/>
      <c r="W165" s="24015"/>
      <c r="Y165" s="1185"/>
      <c r="Z165" s="1185"/>
      <c r="AA165" s="1185"/>
      <c r="AB165" s="1185"/>
      <c r="AC165" s="1185"/>
      <c r="AD165" s="1185"/>
      <c r="AE165" s="1185"/>
      <c r="AF165" s="1185"/>
      <c r="AG165" s="1185"/>
      <c r="AH165" s="1185"/>
      <c r="AI165" s="1185"/>
      <c r="AJ165" s="1185"/>
      <c r="AK165" s="1185"/>
      <c r="AL165" s="1750"/>
      <c r="AM165" s="1750"/>
      <c r="AN165" s="1750"/>
      <c r="AO165" s="1750"/>
      <c r="AP165" s="1750"/>
      <c r="AQ165" s="1750"/>
    </row>
    <row r="166" spans="1:43" ht="17.25" customHeight="1">
      <c r="A166" s="1737"/>
      <c r="B166" s="1750"/>
      <c r="C166" s="1742"/>
      <c r="D166" s="23985"/>
      <c r="E166" s="23986"/>
      <c r="F166" s="23983"/>
      <c r="G166" s="23988"/>
      <c r="H166" s="23985"/>
      <c r="I166" s="23985"/>
      <c r="J166" s="24016"/>
      <c r="K166" s="23988"/>
      <c r="L166" s="23981"/>
      <c r="M166" s="23981"/>
      <c r="N166" s="24012"/>
      <c r="O166" s="23962"/>
      <c r="P166" s="253"/>
      <c r="Q166" s="254"/>
      <c r="R166" s="254" t="s">
        <v>370</v>
      </c>
      <c r="S166" s="1743"/>
      <c r="T166" s="1743"/>
      <c r="U166" s="1743"/>
      <c r="V166" s="1743"/>
      <c r="W166" s="1359"/>
      <c r="Y166" s="1185"/>
      <c r="Z166" s="1185"/>
      <c r="AA166" s="1185"/>
      <c r="AB166" s="1185"/>
      <c r="AC166" s="1185"/>
      <c r="AD166" s="1185"/>
      <c r="AE166" s="1185"/>
      <c r="AF166" s="1185"/>
      <c r="AG166" s="1185"/>
      <c r="AH166" s="1185"/>
      <c r="AI166" s="1185"/>
      <c r="AJ166" s="1185"/>
      <c r="AK166" s="1185"/>
      <c r="AL166" s="1750"/>
      <c r="AM166" s="1750"/>
      <c r="AN166" s="1750"/>
      <c r="AO166" s="1750"/>
      <c r="AP166" s="1750"/>
      <c r="AQ166" s="1750"/>
    </row>
    <row r="167" spans="1:43" ht="17.25" customHeight="1">
      <c r="A167" s="1737"/>
      <c r="B167" s="1750"/>
      <c r="C167" s="1739"/>
      <c r="D167" s="23985"/>
      <c r="E167" s="23986"/>
      <c r="F167" s="23983"/>
      <c r="G167" s="23988"/>
      <c r="H167" s="23985"/>
      <c r="I167" s="23985"/>
      <c r="J167" s="24016"/>
      <c r="K167" s="23988"/>
      <c r="L167" s="23958" t="s">
        <v>96</v>
      </c>
      <c r="M167" s="23958" t="s">
        <v>160</v>
      </c>
      <c r="N167" s="24010" t="str">
        <f>IF(Z167="","",INDEX(TERRITORY_MR_LIST,MATCH(Z167,TERRITORY_LIST_ID,0)))</f>
        <v>Территория 15</v>
      </c>
      <c r="O167" s="24018" t="s">
        <v>59</v>
      </c>
      <c r="P167" s="23958"/>
      <c r="Q167" s="23958" t="s">
        <v>218</v>
      </c>
      <c r="R167" s="24020" t="s">
        <v>438</v>
      </c>
      <c r="S167" s="24013" t="s">
        <v>6</v>
      </c>
      <c r="T167" s="1700"/>
      <c r="U167" s="1700" t="s">
        <v>218</v>
      </c>
      <c r="V167" s="1360"/>
      <c r="W167" s="24015"/>
      <c r="Y167" s="1193"/>
      <c r="Z167" s="1193" t="s">
        <v>161</v>
      </c>
      <c r="AA167" s="1193"/>
      <c r="AB167" s="1193"/>
      <c r="AC167" s="1868" t="s">
        <v>351</v>
      </c>
      <c r="AD167" s="1868" t="s">
        <v>352</v>
      </c>
      <c r="AE167" s="1193" t="s">
        <v>439</v>
      </c>
      <c r="AF167" s="1193" t="s">
        <v>440</v>
      </c>
      <c r="AG167" s="1193" t="s">
        <v>441</v>
      </c>
      <c r="AH167" s="1193" t="str">
        <f>IF($E$105=0,"",$E$105)</f>
        <v>Тариф на горячую воду (горячее водоснабжение)</v>
      </c>
      <c r="AI167" s="1193" t="str">
        <f>IF($G$105=0,"",$G$105)</f>
        <v>Горячее водоснабжение</v>
      </c>
      <c r="AJ167" s="1193" t="str">
        <f>IF($J$105=0,"",$J$105)</f>
        <v>Тариф на горячую воду с использованием закрытой системы горячего водоснабжения</v>
      </c>
      <c r="AK167" s="1193" t="str">
        <f>IF($K$167="нет","без дифференциации",IF($N$167=0,"",$N$167))</f>
        <v>Территория 15</v>
      </c>
      <c r="AL167" s="1741" t="str">
        <f>IF($O$167="нет","без дифференциации",IF($R$167=0,"",$R$167))</f>
        <v>пгт.Холм-Жирковское Холм-Жирковского округа Смоленской области</v>
      </c>
      <c r="AM167" s="1741"/>
      <c r="AN167" s="1193">
        <f>$I$105</f>
        <v>1</v>
      </c>
      <c r="AO167" s="1193" t="str">
        <f>$I$105&amp;"."&amp;$M$167</f>
        <v>1.15</v>
      </c>
      <c r="AP167" s="1193" t="str">
        <f>$I$105&amp;"."&amp;$M$167&amp;"."&amp;$Q$167</f>
        <v>1.15.1</v>
      </c>
      <c r="AQ167" s="1193"/>
    </row>
    <row r="168" spans="1:43" ht="17.25" customHeight="1">
      <c r="A168" s="1737"/>
      <c r="B168" s="1750"/>
      <c r="C168" s="1742"/>
      <c r="D168" s="23985"/>
      <c r="E168" s="23986"/>
      <c r="F168" s="23983"/>
      <c r="G168" s="23988"/>
      <c r="H168" s="23985"/>
      <c r="I168" s="23985"/>
      <c r="J168" s="24016"/>
      <c r="K168" s="23988"/>
      <c r="L168" s="23958"/>
      <c r="M168" s="23958"/>
      <c r="N168" s="24010"/>
      <c r="O168" s="24019"/>
      <c r="P168" s="23958"/>
      <c r="Q168" s="23958"/>
      <c r="R168" s="24020"/>
      <c r="S168" s="24013"/>
      <c r="T168" s="1361"/>
      <c r="U168" s="1362"/>
      <c r="V168" s="1362"/>
      <c r="W168" s="24015"/>
      <c r="Y168" s="1185"/>
      <c r="Z168" s="1185"/>
      <c r="AA168" s="1185"/>
      <c r="AB168" s="1185"/>
      <c r="AC168" s="1185"/>
      <c r="AD168" s="1185"/>
      <c r="AE168" s="1185"/>
      <c r="AF168" s="1185"/>
      <c r="AG168" s="1185"/>
      <c r="AH168" s="1185"/>
      <c r="AI168" s="1185"/>
      <c r="AJ168" s="1185"/>
      <c r="AK168" s="1185"/>
      <c r="AL168" s="1750"/>
      <c r="AM168" s="1750"/>
      <c r="AN168" s="1750"/>
      <c r="AO168" s="1750"/>
      <c r="AP168" s="1750"/>
      <c r="AQ168" s="1750"/>
    </row>
    <row r="169" spans="1:43" ht="17.25" customHeight="1">
      <c r="A169" s="1737"/>
      <c r="B169" s="1750"/>
      <c r="C169" s="1742"/>
      <c r="D169" s="23985"/>
      <c r="E169" s="23986"/>
      <c r="F169" s="23983"/>
      <c r="G169" s="23988"/>
      <c r="H169" s="23985"/>
      <c r="I169" s="23985"/>
      <c r="J169" s="24016"/>
      <c r="K169" s="23988"/>
      <c r="L169" s="23981"/>
      <c r="M169" s="23981"/>
      <c r="N169" s="24012"/>
      <c r="O169" s="23962"/>
      <c r="P169" s="253"/>
      <c r="Q169" s="254"/>
      <c r="R169" s="254" t="s">
        <v>370</v>
      </c>
      <c r="S169" s="1743"/>
      <c r="T169" s="1743"/>
      <c r="U169" s="1743"/>
      <c r="V169" s="1743"/>
      <c r="W169" s="1359"/>
      <c r="Y169" s="1185"/>
      <c r="Z169" s="1185"/>
      <c r="AA169" s="1185"/>
      <c r="AB169" s="1185"/>
      <c r="AC169" s="1185"/>
      <c r="AD169" s="1185"/>
      <c r="AE169" s="1185"/>
      <c r="AF169" s="1185"/>
      <c r="AG169" s="1185"/>
      <c r="AH169" s="1185"/>
      <c r="AI169" s="1185"/>
      <c r="AJ169" s="1185"/>
      <c r="AK169" s="1185"/>
      <c r="AL169" s="1750"/>
      <c r="AM169" s="1750"/>
      <c r="AN169" s="1750"/>
      <c r="AO169" s="1750"/>
      <c r="AP169" s="1750"/>
      <c r="AQ169" s="1750"/>
    </row>
    <row r="170" spans="1:43" ht="17.25" customHeight="1">
      <c r="A170" s="1737"/>
      <c r="B170" s="1750"/>
      <c r="C170" s="1739"/>
      <c r="D170" s="23985"/>
      <c r="E170" s="23986"/>
      <c r="F170" s="23983"/>
      <c r="G170" s="23988"/>
      <c r="H170" s="23985"/>
      <c r="I170" s="23985"/>
      <c r="J170" s="24016"/>
      <c r="K170" s="23988"/>
      <c r="L170" s="23958" t="s">
        <v>96</v>
      </c>
      <c r="M170" s="23958" t="s">
        <v>105</v>
      </c>
      <c r="N170" s="24010" t="str">
        <f>IF(Z170="","",INDEX(TERRITORY_MR_LIST,MATCH(Z170,TERRITORY_LIST_ID,0)))</f>
        <v>Территория 16</v>
      </c>
      <c r="O170" s="24018" t="s">
        <v>59</v>
      </c>
      <c r="P170" s="23958"/>
      <c r="Q170" s="23958" t="s">
        <v>218</v>
      </c>
      <c r="R170" s="24020" t="s">
        <v>442</v>
      </c>
      <c r="S170" s="24013" t="s">
        <v>6</v>
      </c>
      <c r="T170" s="1700"/>
      <c r="U170" s="1700" t="s">
        <v>218</v>
      </c>
      <c r="V170" s="1360"/>
      <c r="W170" s="24015"/>
      <c r="Y170" s="1193"/>
      <c r="Z170" s="1193" t="s">
        <v>166</v>
      </c>
      <c r="AA170" s="1193"/>
      <c r="AB170" s="1193"/>
      <c r="AC170" s="1868" t="s">
        <v>351</v>
      </c>
      <c r="AD170" s="1868" t="s">
        <v>352</v>
      </c>
      <c r="AE170" s="1193" t="s">
        <v>443</v>
      </c>
      <c r="AF170" s="1193" t="s">
        <v>444</v>
      </c>
      <c r="AG170" s="1193" t="s">
        <v>445</v>
      </c>
      <c r="AH170" s="1193" t="str">
        <f>IF($E$105=0,"",$E$105)</f>
        <v>Тариф на горячую воду (горячее водоснабжение)</v>
      </c>
      <c r="AI170" s="1193" t="str">
        <f>IF($G$105=0,"",$G$105)</f>
        <v>Горячее водоснабжение</v>
      </c>
      <c r="AJ170" s="1193" t="str">
        <f>IF($J$105=0,"",$J$105)</f>
        <v>Тариф на горячую воду с использованием закрытой системы горячего водоснабжения</v>
      </c>
      <c r="AK170" s="1193" t="str">
        <f>IF($K$170="нет","без дифференциации",IF($N$170=0,"",$N$170))</f>
        <v>Территория 16</v>
      </c>
      <c r="AL170" s="1741" t="str">
        <f>IF($O$170="нет","без дифференциации",IF($R$170=0,"",$R$170))</f>
        <v>г. Ярцево Ярцевского муниципального  округа Смоленской области</v>
      </c>
      <c r="AM170" s="1741"/>
      <c r="AN170" s="1193">
        <f>$I$105</f>
        <v>1</v>
      </c>
      <c r="AO170" s="1193" t="str">
        <f>$I$105&amp;"."&amp;$M$170</f>
        <v>1.16</v>
      </c>
      <c r="AP170" s="1193" t="str">
        <f>$I$105&amp;"."&amp;$M$170&amp;"."&amp;$Q$170</f>
        <v>1.16.1</v>
      </c>
      <c r="AQ170" s="1193"/>
    </row>
    <row r="171" spans="1:43" ht="17.25" customHeight="1">
      <c r="A171" s="1737"/>
      <c r="B171" s="1750"/>
      <c r="C171" s="1742"/>
      <c r="D171" s="23985"/>
      <c r="E171" s="23986"/>
      <c r="F171" s="23983"/>
      <c r="G171" s="23988"/>
      <c r="H171" s="23985"/>
      <c r="I171" s="23985"/>
      <c r="J171" s="24016"/>
      <c r="K171" s="23988"/>
      <c r="L171" s="23958"/>
      <c r="M171" s="23958"/>
      <c r="N171" s="24010"/>
      <c r="O171" s="24019"/>
      <c r="P171" s="23958"/>
      <c r="Q171" s="23958"/>
      <c r="R171" s="24020"/>
      <c r="S171" s="24013"/>
      <c r="T171" s="1361"/>
      <c r="U171" s="1362"/>
      <c r="V171" s="1362"/>
      <c r="W171" s="24015"/>
      <c r="Y171" s="1185"/>
      <c r="Z171" s="1185"/>
      <c r="AA171" s="1185"/>
      <c r="AB171" s="1185"/>
      <c r="AC171" s="1185"/>
      <c r="AD171" s="1185"/>
      <c r="AE171" s="1185"/>
      <c r="AF171" s="1185"/>
      <c r="AG171" s="1185"/>
      <c r="AH171" s="1185"/>
      <c r="AI171" s="1185"/>
      <c r="AJ171" s="1185"/>
      <c r="AK171" s="1185"/>
      <c r="AL171" s="1750"/>
      <c r="AM171" s="1750"/>
      <c r="AN171" s="1750"/>
      <c r="AO171" s="1750"/>
      <c r="AP171" s="1750"/>
      <c r="AQ171" s="1750"/>
    </row>
    <row r="172" spans="1:43" ht="17.25" customHeight="1">
      <c r="A172" s="1737"/>
      <c r="B172" s="1750"/>
      <c r="C172" s="1742"/>
      <c r="D172" s="23985"/>
      <c r="E172" s="23986"/>
      <c r="F172" s="23983"/>
      <c r="G172" s="23988"/>
      <c r="H172" s="23985"/>
      <c r="I172" s="23985"/>
      <c r="J172" s="24016"/>
      <c r="K172" s="23988"/>
      <c r="L172" s="23981"/>
      <c r="M172" s="23981"/>
      <c r="N172" s="24012"/>
      <c r="O172" s="23962"/>
      <c r="P172" s="253"/>
      <c r="Q172" s="254"/>
      <c r="R172" s="254" t="s">
        <v>370</v>
      </c>
      <c r="S172" s="1743"/>
      <c r="T172" s="1743"/>
      <c r="U172" s="1743"/>
      <c r="V172" s="1743"/>
      <c r="W172" s="1359"/>
      <c r="Y172" s="1185"/>
      <c r="Z172" s="1185"/>
      <c r="AA172" s="1185"/>
      <c r="AB172" s="1185"/>
      <c r="AC172" s="1185"/>
      <c r="AD172" s="1185"/>
      <c r="AE172" s="1185"/>
      <c r="AF172" s="1185"/>
      <c r="AG172" s="1185"/>
      <c r="AH172" s="1185"/>
      <c r="AI172" s="1185"/>
      <c r="AJ172" s="1185"/>
      <c r="AK172" s="1185"/>
      <c r="AL172" s="1750"/>
      <c r="AM172" s="1750"/>
      <c r="AN172" s="1750"/>
      <c r="AO172" s="1750"/>
      <c r="AP172" s="1750"/>
      <c r="AQ172" s="1750"/>
    </row>
    <row r="173" spans="1:43" ht="37.5" customHeight="1">
      <c r="A173" s="1737"/>
      <c r="B173" s="1750"/>
      <c r="C173" s="1739"/>
      <c r="D173" s="23985"/>
      <c r="E173" s="23986"/>
      <c r="F173" s="23983"/>
      <c r="G173" s="23988"/>
      <c r="H173" s="23985"/>
      <c r="I173" s="23985"/>
      <c r="J173" s="24016"/>
      <c r="K173" s="23988"/>
      <c r="L173" s="23958" t="s">
        <v>96</v>
      </c>
      <c r="M173" s="23958" t="s">
        <v>171</v>
      </c>
      <c r="N173" s="24010" t="str">
        <f>IF(Z173="","",INDEX(TERRITORY_MR_LIST,MATCH(Z173,TERRITORY_LIST_ID,0)))</f>
        <v>Территория 17</v>
      </c>
      <c r="O173" s="24018" t="s">
        <v>59</v>
      </c>
      <c r="P173" s="23958"/>
      <c r="Q173" s="23958" t="s">
        <v>218</v>
      </c>
      <c r="R173" s="24020" t="s">
        <v>446</v>
      </c>
      <c r="S173" s="24013" t="s">
        <v>6</v>
      </c>
      <c r="T173" s="1700"/>
      <c r="U173" s="1700" t="s">
        <v>218</v>
      </c>
      <c r="V173" s="1360"/>
      <c r="W173" s="24015"/>
      <c r="Y173" s="1193"/>
      <c r="Z173" s="1193" t="s">
        <v>172</v>
      </c>
      <c r="AA173" s="1193"/>
      <c r="AB173" s="1193"/>
      <c r="AC173" s="1868" t="s">
        <v>351</v>
      </c>
      <c r="AD173" s="1868" t="s">
        <v>352</v>
      </c>
      <c r="AE173" s="1193" t="s">
        <v>447</v>
      </c>
      <c r="AF173" s="1193" t="s">
        <v>448</v>
      </c>
      <c r="AG173" s="1193" t="s">
        <v>449</v>
      </c>
      <c r="AH173" s="1193" t="str">
        <f>IF($E$105=0,"",$E$105)</f>
        <v>Тариф на горячую воду (горячее водоснабжение)</v>
      </c>
      <c r="AI173" s="1193" t="str">
        <f>IF($G$105=0,"",$G$105)</f>
        <v>Горячее водоснабжение</v>
      </c>
      <c r="AJ173" s="1193" t="str">
        <f>IF($J$105=0,"",$J$105)</f>
        <v>Тариф на горячую воду с использованием закрытой системы горячего водоснабжения</v>
      </c>
      <c r="AK173" s="1193" t="str">
        <f>IF($K$173="нет","без дифференциации",IF($N$173=0,"",$N$173))</f>
        <v>Территория 17</v>
      </c>
      <c r="AL173" s="1741" t="str">
        <f>IF($O$173="нет","без дифференциации",IF($R$173=0,"",$R$173))</f>
        <v>г. Дорогобуж (для потребителей, теплоснабжение которых осуществляется от котельной №1 расположенной по адресу: дер. Ново-Михайловское Дорогобужского муниципального округа)</v>
      </c>
      <c r="AM173" s="1741"/>
      <c r="AN173" s="1193">
        <f>$I$105</f>
        <v>1</v>
      </c>
      <c r="AO173" s="1193" t="str">
        <f>$I$105&amp;"."&amp;$M$173</f>
        <v>1.17</v>
      </c>
      <c r="AP173" s="1193" t="str">
        <f>$I$105&amp;"."&amp;$M$173&amp;"."&amp;$Q$173</f>
        <v>1.17.1</v>
      </c>
      <c r="AQ173" s="1193"/>
    </row>
    <row r="174" spans="1:43" ht="33" customHeight="1">
      <c r="A174" s="1737"/>
      <c r="B174" s="1750"/>
      <c r="C174" s="1742"/>
      <c r="D174" s="23985"/>
      <c r="E174" s="23986"/>
      <c r="F174" s="23983"/>
      <c r="G174" s="23988"/>
      <c r="H174" s="23985"/>
      <c r="I174" s="23985"/>
      <c r="J174" s="24016"/>
      <c r="K174" s="23988"/>
      <c r="L174" s="23958"/>
      <c r="M174" s="23958"/>
      <c r="N174" s="24010"/>
      <c r="O174" s="24019"/>
      <c r="P174" s="23958"/>
      <c r="Q174" s="23958"/>
      <c r="R174" s="24020"/>
      <c r="S174" s="24013"/>
      <c r="T174" s="1361"/>
      <c r="U174" s="1362"/>
      <c r="V174" s="1362"/>
      <c r="W174" s="24015"/>
      <c r="Y174" s="1185"/>
      <c r="Z174" s="1185"/>
      <c r="AA174" s="1185"/>
      <c r="AB174" s="1185"/>
      <c r="AC174" s="1185"/>
      <c r="AD174" s="1185"/>
      <c r="AE174" s="1185"/>
      <c r="AF174" s="1185"/>
      <c r="AG174" s="1185"/>
      <c r="AH174" s="1185"/>
      <c r="AI174" s="1185"/>
      <c r="AJ174" s="1185"/>
      <c r="AK174" s="1185"/>
      <c r="AL174" s="1750"/>
      <c r="AM174" s="1750"/>
      <c r="AN174" s="1750"/>
      <c r="AO174" s="1750"/>
      <c r="AP174" s="1750"/>
      <c r="AQ174" s="1750"/>
    </row>
    <row r="175" spans="1:43" ht="17.25" customHeight="1">
      <c r="A175" s="1737"/>
      <c r="B175" s="1750"/>
      <c r="C175" s="1742"/>
      <c r="D175" s="23985"/>
      <c r="E175" s="23986"/>
      <c r="F175" s="23983"/>
      <c r="G175" s="23988"/>
      <c r="H175" s="23985"/>
      <c r="I175" s="23985"/>
      <c r="J175" s="24016"/>
      <c r="K175" s="23988"/>
      <c r="L175" s="23981"/>
      <c r="M175" s="23981"/>
      <c r="N175" s="24012"/>
      <c r="O175" s="23962"/>
      <c r="P175" s="253"/>
      <c r="Q175" s="254"/>
      <c r="R175" s="254" t="s">
        <v>370</v>
      </c>
      <c r="S175" s="1743"/>
      <c r="T175" s="1743"/>
      <c r="U175" s="1743"/>
      <c r="V175" s="1743"/>
      <c r="W175" s="1359"/>
      <c r="Y175" s="1185"/>
      <c r="Z175" s="1185"/>
      <c r="AA175" s="1185"/>
      <c r="AB175" s="1185"/>
      <c r="AC175" s="1185"/>
      <c r="AD175" s="1185"/>
      <c r="AE175" s="1185"/>
      <c r="AF175" s="1185"/>
      <c r="AG175" s="1185"/>
      <c r="AH175" s="1185"/>
      <c r="AI175" s="1185"/>
      <c r="AJ175" s="1185"/>
      <c r="AK175" s="1185"/>
      <c r="AL175" s="1750"/>
      <c r="AM175" s="1750"/>
      <c r="AN175" s="1750"/>
      <c r="AO175" s="1750"/>
      <c r="AP175" s="1750"/>
      <c r="AQ175" s="1750"/>
    </row>
    <row r="176" spans="1:43" ht="17.25" customHeight="1">
      <c r="A176" s="1737"/>
      <c r="B176" s="1750"/>
      <c r="C176" s="1739"/>
      <c r="D176" s="23985"/>
      <c r="E176" s="23986"/>
      <c r="F176" s="23983"/>
      <c r="G176" s="23988"/>
      <c r="H176" s="23985"/>
      <c r="I176" s="23985"/>
      <c r="J176" s="24016"/>
      <c r="K176" s="23988"/>
      <c r="L176" s="23958" t="s">
        <v>96</v>
      </c>
      <c r="M176" s="23958" t="s">
        <v>111</v>
      </c>
      <c r="N176" s="24010" t="str">
        <f>IF(Z176="","",INDEX(TERRITORY_MR_LIST,MATCH(Z176,TERRITORY_LIST_ID,0)))</f>
        <v>Территория 18</v>
      </c>
      <c r="O176" s="24018" t="s">
        <v>59</v>
      </c>
      <c r="P176" s="23958"/>
      <c r="Q176" s="23958" t="s">
        <v>218</v>
      </c>
      <c r="R176" s="24020" t="s">
        <v>450</v>
      </c>
      <c r="S176" s="24013" t="s">
        <v>6</v>
      </c>
      <c r="T176" s="1700"/>
      <c r="U176" s="1700" t="s">
        <v>218</v>
      </c>
      <c r="V176" s="1360"/>
      <c r="W176" s="24015"/>
      <c r="Y176" s="1193"/>
      <c r="Z176" s="1193" t="s">
        <v>177</v>
      </c>
      <c r="AA176" s="1193"/>
      <c r="AB176" s="1193"/>
      <c r="AC176" s="1868" t="s">
        <v>351</v>
      </c>
      <c r="AD176" s="1868" t="s">
        <v>352</v>
      </c>
      <c r="AE176" s="1193" t="s">
        <v>451</v>
      </c>
      <c r="AF176" s="1193" t="s">
        <v>452</v>
      </c>
      <c r="AG176" s="1193" t="s">
        <v>453</v>
      </c>
      <c r="AH176" s="1193" t="str">
        <f>IF($E$105=0,"",$E$105)</f>
        <v>Тариф на горячую воду (горячее водоснабжение)</v>
      </c>
      <c r="AI176" s="1193" t="str">
        <f>IF($G$105=0,"",$G$105)</f>
        <v>Горячее водоснабжение</v>
      </c>
      <c r="AJ176" s="1193" t="str">
        <f>IF($J$105=0,"",$J$105)</f>
        <v>Тариф на горячую воду с использованием закрытой системы горячего водоснабжения</v>
      </c>
      <c r="AK176" s="1193" t="str">
        <f>IF($K$176="нет","без дифференциации",IF($N$176=0,"",$N$176))</f>
        <v>Территория 18</v>
      </c>
      <c r="AL176" s="1741" t="str">
        <f>IF($O$176="нет","без дифференциации",IF($R$176=0,"",$R$176))</f>
        <v>дер. Богородицкое, Смоленский муниципальный округ</v>
      </c>
      <c r="AM176" s="1741"/>
      <c r="AN176" s="1193">
        <f>$I$105</f>
        <v>1</v>
      </c>
      <c r="AO176" s="1193" t="str">
        <f>$I$105&amp;"."&amp;$M$176</f>
        <v>1.18</v>
      </c>
      <c r="AP176" s="1193" t="str">
        <f>$I$105&amp;"."&amp;$M$176&amp;"."&amp;$Q$176</f>
        <v>1.18.1</v>
      </c>
      <c r="AQ176" s="1193"/>
    </row>
    <row r="177" spans="1:43" ht="17.25" customHeight="1">
      <c r="A177" s="1737"/>
      <c r="B177" s="1750"/>
      <c r="C177" s="1742"/>
      <c r="D177" s="23985"/>
      <c r="E177" s="23986"/>
      <c r="F177" s="23983"/>
      <c r="G177" s="23988"/>
      <c r="H177" s="23985"/>
      <c r="I177" s="23985"/>
      <c r="J177" s="24016"/>
      <c r="K177" s="23988"/>
      <c r="L177" s="23958"/>
      <c r="M177" s="23958"/>
      <c r="N177" s="24010"/>
      <c r="O177" s="24019"/>
      <c r="P177" s="23958"/>
      <c r="Q177" s="23958"/>
      <c r="R177" s="24020"/>
      <c r="S177" s="24013"/>
      <c r="T177" s="1361"/>
      <c r="U177" s="1362"/>
      <c r="V177" s="1362"/>
      <c r="W177" s="24015"/>
      <c r="Y177" s="1185"/>
      <c r="Z177" s="1185"/>
      <c r="AA177" s="1185"/>
      <c r="AB177" s="1185"/>
      <c r="AC177" s="1185"/>
      <c r="AD177" s="1185"/>
      <c r="AE177" s="1185"/>
      <c r="AF177" s="1185"/>
      <c r="AG177" s="1185"/>
      <c r="AH177" s="1185"/>
      <c r="AI177" s="1185"/>
      <c r="AJ177" s="1185"/>
      <c r="AK177" s="1185"/>
      <c r="AL177" s="1750"/>
      <c r="AM177" s="1750"/>
      <c r="AN177" s="1750"/>
      <c r="AO177" s="1750"/>
      <c r="AP177" s="1750"/>
      <c r="AQ177" s="1750"/>
    </row>
    <row r="178" spans="1:43" ht="17.25" customHeight="1">
      <c r="A178" s="1737"/>
      <c r="B178" s="1750"/>
      <c r="C178" s="1742"/>
      <c r="D178" s="23985"/>
      <c r="E178" s="23986"/>
      <c r="F178" s="23983"/>
      <c r="G178" s="23988"/>
      <c r="H178" s="23985"/>
      <c r="I178" s="23985"/>
      <c r="J178" s="24016"/>
      <c r="K178" s="23988"/>
      <c r="L178" s="23981"/>
      <c r="M178" s="23981"/>
      <c r="N178" s="24012"/>
      <c r="O178" s="23962"/>
      <c r="P178" s="253"/>
      <c r="Q178" s="254"/>
      <c r="R178" s="254" t="s">
        <v>370</v>
      </c>
      <c r="S178" s="1743"/>
      <c r="T178" s="1743"/>
      <c r="U178" s="1743"/>
      <c r="V178" s="1743"/>
      <c r="W178" s="1359"/>
      <c r="Y178" s="1185"/>
      <c r="Z178" s="1185"/>
      <c r="AA178" s="1185"/>
      <c r="AB178" s="1185"/>
      <c r="AC178" s="1185"/>
      <c r="AD178" s="1185"/>
      <c r="AE178" s="1185"/>
      <c r="AF178" s="1185"/>
      <c r="AG178" s="1185"/>
      <c r="AH178" s="1185"/>
      <c r="AI178" s="1185"/>
      <c r="AJ178" s="1185"/>
      <c r="AK178" s="1185"/>
      <c r="AL178" s="1750"/>
      <c r="AM178" s="1750"/>
      <c r="AN178" s="1750"/>
      <c r="AO178" s="1750"/>
      <c r="AP178" s="1750"/>
      <c r="AQ178" s="1750"/>
    </row>
    <row r="179" spans="1:43" ht="17.25" customHeight="1">
      <c r="A179" s="1737"/>
      <c r="B179" s="1750"/>
      <c r="C179" s="1739"/>
      <c r="D179" s="23985"/>
      <c r="E179" s="23986"/>
      <c r="F179" s="23983"/>
      <c r="G179" s="23988"/>
      <c r="H179" s="23985"/>
      <c r="I179" s="23985"/>
      <c r="J179" s="24016"/>
      <c r="K179" s="23988"/>
      <c r="L179" s="23958" t="s">
        <v>96</v>
      </c>
      <c r="M179" s="23958" t="s">
        <v>182</v>
      </c>
      <c r="N179" s="24010" t="str">
        <f>IF(Z179="","",INDEX(TERRITORY_MR_LIST,MATCH(Z179,TERRITORY_LIST_ID,0)))</f>
        <v>Территория 19</v>
      </c>
      <c r="O179" s="24018" t="s">
        <v>59</v>
      </c>
      <c r="P179" s="23958"/>
      <c r="Q179" s="23958" t="s">
        <v>218</v>
      </c>
      <c r="R179" s="24020" t="s">
        <v>454</v>
      </c>
      <c r="S179" s="24013" t="s">
        <v>6</v>
      </c>
      <c r="T179" s="1700"/>
      <c r="U179" s="1700" t="s">
        <v>218</v>
      </c>
      <c r="V179" s="1360"/>
      <c r="W179" s="24015"/>
      <c r="Y179" s="1193"/>
      <c r="Z179" s="1193" t="s">
        <v>183</v>
      </c>
      <c r="AA179" s="1193"/>
      <c r="AB179" s="1193"/>
      <c r="AC179" s="1868" t="s">
        <v>351</v>
      </c>
      <c r="AD179" s="1868" t="s">
        <v>352</v>
      </c>
      <c r="AE179" s="1193" t="s">
        <v>455</v>
      </c>
      <c r="AF179" s="1193" t="s">
        <v>456</v>
      </c>
      <c r="AG179" s="1193" t="s">
        <v>457</v>
      </c>
      <c r="AH179" s="1193" t="str">
        <f>IF($E$105=0,"",$E$105)</f>
        <v>Тариф на горячую воду (горячее водоснабжение)</v>
      </c>
      <c r="AI179" s="1193" t="str">
        <f>IF($G$105=0,"",$G$105)</f>
        <v>Горячее водоснабжение</v>
      </c>
      <c r="AJ179" s="1193" t="str">
        <f>IF($J$105=0,"",$J$105)</f>
        <v>Тариф на горячую воду с использованием закрытой системы горячего водоснабжения</v>
      </c>
      <c r="AK179" s="1193" t="str">
        <f>IF($K$179="нет","без дифференциации",IF($N$179=0,"",$N$179))</f>
        <v>Территория 19</v>
      </c>
      <c r="AL179" s="1741" t="str">
        <f>IF($O$179="нет","без дифференциации",IF($R$179=0,"",$R$179))</f>
        <v>дер. Сметанино, Смоленский муниципальный округ</v>
      </c>
      <c r="AM179" s="1741"/>
      <c r="AN179" s="1193">
        <f>$I$105</f>
        <v>1</v>
      </c>
      <c r="AO179" s="1193" t="str">
        <f>$I$105&amp;"."&amp;$M$179</f>
        <v>1.19</v>
      </c>
      <c r="AP179" s="1193" t="str">
        <f>$I$105&amp;"."&amp;$M$179&amp;"."&amp;$Q$179</f>
        <v>1.19.1</v>
      </c>
      <c r="AQ179" s="1193"/>
    </row>
    <row r="180" spans="1:43" ht="17.25" customHeight="1">
      <c r="A180" s="1737"/>
      <c r="B180" s="1750"/>
      <c r="C180" s="1742"/>
      <c r="D180" s="23985"/>
      <c r="E180" s="23986"/>
      <c r="F180" s="23983"/>
      <c r="G180" s="23988"/>
      <c r="H180" s="23985"/>
      <c r="I180" s="23985"/>
      <c r="J180" s="24016"/>
      <c r="K180" s="23988"/>
      <c r="L180" s="23958"/>
      <c r="M180" s="23958"/>
      <c r="N180" s="24010"/>
      <c r="O180" s="24019"/>
      <c r="P180" s="23958"/>
      <c r="Q180" s="23958"/>
      <c r="R180" s="24020"/>
      <c r="S180" s="24013"/>
      <c r="T180" s="1361"/>
      <c r="U180" s="1362"/>
      <c r="V180" s="1362"/>
      <c r="W180" s="24015"/>
      <c r="Y180" s="1185"/>
      <c r="Z180" s="1185"/>
      <c r="AA180" s="1185"/>
      <c r="AB180" s="1185"/>
      <c r="AC180" s="1185"/>
      <c r="AD180" s="1185"/>
      <c r="AE180" s="1185"/>
      <c r="AF180" s="1185"/>
      <c r="AG180" s="1185"/>
      <c r="AH180" s="1185"/>
      <c r="AI180" s="1185"/>
      <c r="AJ180" s="1185"/>
      <c r="AK180" s="1185"/>
      <c r="AL180" s="1750"/>
      <c r="AM180" s="1750"/>
      <c r="AN180" s="1750"/>
      <c r="AO180" s="1750"/>
      <c r="AP180" s="1750"/>
      <c r="AQ180" s="1750"/>
    </row>
    <row r="181" spans="1:43" ht="17.25" customHeight="1">
      <c r="A181" s="1737"/>
      <c r="B181" s="1750"/>
      <c r="C181" s="1742"/>
      <c r="D181" s="23985"/>
      <c r="E181" s="23986"/>
      <c r="F181" s="23983"/>
      <c r="G181" s="23988"/>
      <c r="H181" s="23985"/>
      <c r="I181" s="23985"/>
      <c r="J181" s="24016"/>
      <c r="K181" s="23988"/>
      <c r="L181" s="23981"/>
      <c r="M181" s="23981"/>
      <c r="N181" s="24012"/>
      <c r="O181" s="23962"/>
      <c r="P181" s="253"/>
      <c r="Q181" s="254"/>
      <c r="R181" s="254" t="s">
        <v>370</v>
      </c>
      <c r="S181" s="1743"/>
      <c r="T181" s="1743"/>
      <c r="U181" s="1743"/>
      <c r="V181" s="1743"/>
      <c r="W181" s="1359"/>
      <c r="Y181" s="1185"/>
      <c r="Z181" s="1185"/>
      <c r="AA181" s="1185"/>
      <c r="AB181" s="1185"/>
      <c r="AC181" s="1185"/>
      <c r="AD181" s="1185"/>
      <c r="AE181" s="1185"/>
      <c r="AF181" s="1185"/>
      <c r="AG181" s="1185"/>
      <c r="AH181" s="1185"/>
      <c r="AI181" s="1185"/>
      <c r="AJ181" s="1185"/>
      <c r="AK181" s="1185"/>
      <c r="AL181" s="1750"/>
      <c r="AM181" s="1750"/>
      <c r="AN181" s="1750"/>
      <c r="AO181" s="1750"/>
      <c r="AP181" s="1750"/>
      <c r="AQ181" s="1750"/>
    </row>
    <row r="182" spans="1:43" ht="17.25" customHeight="1">
      <c r="A182" s="1737"/>
      <c r="B182" s="1750"/>
      <c r="C182" s="1739"/>
      <c r="D182" s="23985"/>
      <c r="E182" s="23986"/>
      <c r="F182" s="23983"/>
      <c r="G182" s="23988"/>
      <c r="H182" s="23985"/>
      <c r="I182" s="23985"/>
      <c r="J182" s="24016"/>
      <c r="K182" s="23988"/>
      <c r="L182" s="23958" t="s">
        <v>96</v>
      </c>
      <c r="M182" s="23958" t="s">
        <v>187</v>
      </c>
      <c r="N182" s="24010" t="str">
        <f>IF(Z182="","",INDEX(TERRITORY_MR_LIST,MATCH(Z182,TERRITORY_LIST_ID,0)))</f>
        <v>Территория 20</v>
      </c>
      <c r="O182" s="24018" t="s">
        <v>59</v>
      </c>
      <c r="P182" s="23958"/>
      <c r="Q182" s="23958" t="s">
        <v>218</v>
      </c>
      <c r="R182" s="24020" t="s">
        <v>458</v>
      </c>
      <c r="S182" s="24013" t="s">
        <v>6</v>
      </c>
      <c r="T182" s="1700"/>
      <c r="U182" s="1700" t="s">
        <v>218</v>
      </c>
      <c r="V182" s="1360"/>
      <c r="W182" s="24015"/>
      <c r="Y182" s="1193"/>
      <c r="Z182" s="1193" t="s">
        <v>188</v>
      </c>
      <c r="AA182" s="1193"/>
      <c r="AB182" s="1193"/>
      <c r="AC182" s="1868" t="s">
        <v>351</v>
      </c>
      <c r="AD182" s="1868" t="s">
        <v>352</v>
      </c>
      <c r="AE182" s="1193" t="s">
        <v>459</v>
      </c>
      <c r="AF182" s="1193" t="s">
        <v>460</v>
      </c>
      <c r="AG182" s="1193" t="s">
        <v>461</v>
      </c>
      <c r="AH182" s="1193" t="str">
        <f>IF($E$105=0,"",$E$105)</f>
        <v>Тариф на горячую воду (горячее водоснабжение)</v>
      </c>
      <c r="AI182" s="1193" t="str">
        <f>IF($G$105=0,"",$G$105)</f>
        <v>Горячее водоснабжение</v>
      </c>
      <c r="AJ182" s="1193" t="str">
        <f>IF($J$105=0,"",$J$105)</f>
        <v>Тариф на горячую воду с использованием закрытой системы горячего водоснабжения</v>
      </c>
      <c r="AK182" s="1193" t="str">
        <f>IF($K$182="нет","без дифференциации",IF($N$182=0,"",$N$182))</f>
        <v>Территория 20</v>
      </c>
      <c r="AL182" s="1741" t="str">
        <f>IF($O$182="нет","без дифференциации",IF($R$182=0,"",$R$182))</f>
        <v>с. Талашкино, Смоленский муниципальный округ</v>
      </c>
      <c r="AM182" s="1741"/>
      <c r="AN182" s="1193">
        <f>$I$105</f>
        <v>1</v>
      </c>
      <c r="AO182" s="1193" t="str">
        <f>$I$105&amp;"."&amp;$M$182</f>
        <v>1.20</v>
      </c>
      <c r="AP182" s="1193" t="str">
        <f>$I$105&amp;"."&amp;$M$182&amp;"."&amp;$Q$182</f>
        <v>1.20.1</v>
      </c>
      <c r="AQ182" s="1193"/>
    </row>
    <row r="183" spans="1:43" ht="17.25" customHeight="1">
      <c r="A183" s="1737"/>
      <c r="B183" s="1750"/>
      <c r="C183" s="1742"/>
      <c r="D183" s="23985"/>
      <c r="E183" s="23986"/>
      <c r="F183" s="23983"/>
      <c r="G183" s="23988"/>
      <c r="H183" s="23985"/>
      <c r="I183" s="23985"/>
      <c r="J183" s="24016"/>
      <c r="K183" s="23988"/>
      <c r="L183" s="23958"/>
      <c r="M183" s="23958"/>
      <c r="N183" s="24010"/>
      <c r="O183" s="24019"/>
      <c r="P183" s="23958"/>
      <c r="Q183" s="23958"/>
      <c r="R183" s="24020"/>
      <c r="S183" s="24013"/>
      <c r="T183" s="1361"/>
      <c r="U183" s="1362"/>
      <c r="V183" s="1362"/>
      <c r="W183" s="24015"/>
      <c r="Y183" s="1185"/>
      <c r="Z183" s="1185"/>
      <c r="AA183" s="1185"/>
      <c r="AB183" s="1185"/>
      <c r="AC183" s="1185"/>
      <c r="AD183" s="1185"/>
      <c r="AE183" s="1185"/>
      <c r="AF183" s="1185"/>
      <c r="AG183" s="1185"/>
      <c r="AH183" s="1185"/>
      <c r="AI183" s="1185"/>
      <c r="AJ183" s="1185"/>
      <c r="AK183" s="1185"/>
      <c r="AL183" s="1750"/>
      <c r="AM183" s="1750"/>
      <c r="AN183" s="1750"/>
      <c r="AO183" s="1750"/>
      <c r="AP183" s="1750"/>
      <c r="AQ183" s="1750"/>
    </row>
    <row r="184" spans="1:43" ht="17.25" customHeight="1">
      <c r="A184" s="1737"/>
      <c r="B184" s="1750"/>
      <c r="C184" s="1742"/>
      <c r="D184" s="23985"/>
      <c r="E184" s="23986"/>
      <c r="F184" s="23983"/>
      <c r="G184" s="23988"/>
      <c r="H184" s="23985"/>
      <c r="I184" s="23985"/>
      <c r="J184" s="24016"/>
      <c r="K184" s="23988"/>
      <c r="L184" s="23981"/>
      <c r="M184" s="23981"/>
      <c r="N184" s="24012"/>
      <c r="O184" s="23962"/>
      <c r="P184" s="253"/>
      <c r="Q184" s="254"/>
      <c r="R184" s="254" t="s">
        <v>370</v>
      </c>
      <c r="S184" s="1743"/>
      <c r="T184" s="1743"/>
      <c r="U184" s="1743"/>
      <c r="V184" s="1743"/>
      <c r="W184" s="1359"/>
      <c r="Y184" s="1185"/>
      <c r="Z184" s="1185"/>
      <c r="AA184" s="1185"/>
      <c r="AB184" s="1185"/>
      <c r="AC184" s="1185"/>
      <c r="AD184" s="1185"/>
      <c r="AE184" s="1185"/>
      <c r="AF184" s="1185"/>
      <c r="AG184" s="1185"/>
      <c r="AH184" s="1185"/>
      <c r="AI184" s="1185"/>
      <c r="AJ184" s="1185"/>
      <c r="AK184" s="1185"/>
      <c r="AL184" s="1750"/>
      <c r="AM184" s="1750"/>
      <c r="AN184" s="1750"/>
      <c r="AO184" s="1750"/>
      <c r="AP184" s="1750"/>
      <c r="AQ184" s="1750"/>
    </row>
    <row r="185" spans="1:43" ht="17.25" customHeight="1">
      <c r="A185" s="1737"/>
      <c r="B185" s="1750"/>
      <c r="C185" s="1739"/>
      <c r="D185" s="23985"/>
      <c r="E185" s="23986"/>
      <c r="F185" s="23983"/>
      <c r="G185" s="23988"/>
      <c r="H185" s="23985"/>
      <c r="I185" s="23985"/>
      <c r="J185" s="24016"/>
      <c r="K185" s="23988"/>
      <c r="L185" s="23958" t="s">
        <v>96</v>
      </c>
      <c r="M185" s="23958" t="s">
        <v>192</v>
      </c>
      <c r="N185" s="24010" t="str">
        <f>IF(Z185="","",INDEX(TERRITORY_MR_LIST,MATCH(Z185,TERRITORY_LIST_ID,0)))</f>
        <v>Территория 21</v>
      </c>
      <c r="O185" s="24018" t="s">
        <v>59</v>
      </c>
      <c r="P185" s="23958"/>
      <c r="Q185" s="23958" t="s">
        <v>218</v>
      </c>
      <c r="R185" s="24020" t="s">
        <v>462</v>
      </c>
      <c r="S185" s="24013" t="s">
        <v>6</v>
      </c>
      <c r="T185" s="1700"/>
      <c r="U185" s="1700" t="s">
        <v>218</v>
      </c>
      <c r="V185" s="1360"/>
      <c r="W185" s="24015"/>
      <c r="Y185" s="1193"/>
      <c r="Z185" s="1193" t="s">
        <v>193</v>
      </c>
      <c r="AA185" s="1193"/>
      <c r="AB185" s="1193"/>
      <c r="AC185" s="1868" t="s">
        <v>351</v>
      </c>
      <c r="AD185" s="1868" t="s">
        <v>352</v>
      </c>
      <c r="AE185" s="1193" t="s">
        <v>463</v>
      </c>
      <c r="AF185" s="1193" t="s">
        <v>464</v>
      </c>
      <c r="AG185" s="1193" t="s">
        <v>465</v>
      </c>
      <c r="AH185" s="1193" t="str">
        <f>IF($E$105=0,"",$E$105)</f>
        <v>Тариф на горячую воду (горячее водоснабжение)</v>
      </c>
      <c r="AI185" s="1193" t="str">
        <f>IF($G$105=0,"",$G$105)</f>
        <v>Горячее водоснабжение</v>
      </c>
      <c r="AJ185" s="1193" t="str">
        <f>IF($J$105=0,"",$J$105)</f>
        <v>Тариф на горячую воду с использованием закрытой системы горячего водоснабжения</v>
      </c>
      <c r="AK185" s="1193" t="str">
        <f>IF($K$185="нет","без дифференциации",IF($N$185=0,"",$N$185))</f>
        <v>Территория 21</v>
      </c>
      <c r="AL185" s="1741" t="str">
        <f>IF($O$185="нет","без дифференциации",IF($R$185=0,"",$R$185))</f>
        <v>для котельной, расположенной по адресу: дер. Кощино Смоленского муниципального округа</v>
      </c>
      <c r="AM185" s="1741"/>
      <c r="AN185" s="1193">
        <f>$I$105</f>
        <v>1</v>
      </c>
      <c r="AO185" s="1193" t="str">
        <f>$I$105&amp;"."&amp;$M$185</f>
        <v>1.21</v>
      </c>
      <c r="AP185" s="1193" t="str">
        <f>$I$105&amp;"."&amp;$M$185&amp;"."&amp;$Q$185</f>
        <v>1.21.1</v>
      </c>
      <c r="AQ185" s="1193"/>
    </row>
    <row r="186" spans="1:43" ht="17.25" customHeight="1">
      <c r="A186" s="1737"/>
      <c r="B186" s="1750"/>
      <c r="C186" s="1742"/>
      <c r="D186" s="23985"/>
      <c r="E186" s="23986"/>
      <c r="F186" s="23983"/>
      <c r="G186" s="23988"/>
      <c r="H186" s="23985"/>
      <c r="I186" s="23985"/>
      <c r="J186" s="24016"/>
      <c r="K186" s="23988"/>
      <c r="L186" s="23958"/>
      <c r="M186" s="23958"/>
      <c r="N186" s="24010"/>
      <c r="O186" s="24019"/>
      <c r="P186" s="23958"/>
      <c r="Q186" s="23958"/>
      <c r="R186" s="24020"/>
      <c r="S186" s="24013"/>
      <c r="T186" s="1361"/>
      <c r="U186" s="1362"/>
      <c r="V186" s="1362"/>
      <c r="W186" s="24015"/>
      <c r="Y186" s="1185"/>
      <c r="Z186" s="1185"/>
      <c r="AA186" s="1185"/>
      <c r="AB186" s="1185"/>
      <c r="AC186" s="1185"/>
      <c r="AD186" s="1185"/>
      <c r="AE186" s="1185"/>
      <c r="AF186" s="1185"/>
      <c r="AG186" s="1185"/>
      <c r="AH186" s="1185"/>
      <c r="AI186" s="1185"/>
      <c r="AJ186" s="1185"/>
      <c r="AK186" s="1185"/>
      <c r="AL186" s="1750"/>
      <c r="AM186" s="1750"/>
      <c r="AN186" s="1750"/>
      <c r="AO186" s="1750"/>
      <c r="AP186" s="1750"/>
      <c r="AQ186" s="1750"/>
    </row>
    <row r="187" spans="1:43" ht="17.25" customHeight="1">
      <c r="A187" s="1737"/>
      <c r="B187" s="1750"/>
      <c r="C187" s="1742"/>
      <c r="D187" s="23985"/>
      <c r="E187" s="23986"/>
      <c r="F187" s="23983"/>
      <c r="G187" s="23988"/>
      <c r="H187" s="23985"/>
      <c r="I187" s="23985"/>
      <c r="J187" s="24016"/>
      <c r="K187" s="23988"/>
      <c r="L187" s="23981"/>
      <c r="M187" s="23981"/>
      <c r="N187" s="24012"/>
      <c r="O187" s="23962"/>
      <c r="P187" s="253"/>
      <c r="Q187" s="254"/>
      <c r="R187" s="254" t="s">
        <v>370</v>
      </c>
      <c r="S187" s="1743"/>
      <c r="T187" s="1743"/>
      <c r="U187" s="1743"/>
      <c r="V187" s="1743"/>
      <c r="W187" s="1359"/>
      <c r="Y187" s="1185"/>
      <c r="Z187" s="1185"/>
      <c r="AA187" s="1185"/>
      <c r="AB187" s="1185"/>
      <c r="AC187" s="1185"/>
      <c r="AD187" s="1185"/>
      <c r="AE187" s="1185"/>
      <c r="AF187" s="1185"/>
      <c r="AG187" s="1185"/>
      <c r="AH187" s="1185"/>
      <c r="AI187" s="1185"/>
      <c r="AJ187" s="1185"/>
      <c r="AK187" s="1185"/>
      <c r="AL187" s="1750"/>
      <c r="AM187" s="1750"/>
      <c r="AN187" s="1750"/>
      <c r="AO187" s="1750"/>
      <c r="AP187" s="1750"/>
      <c r="AQ187" s="1750"/>
    </row>
    <row r="188" spans="1:43" ht="17.25" customHeight="1">
      <c r="A188" s="1737"/>
      <c r="B188" s="1750"/>
      <c r="C188" s="1739"/>
      <c r="D188" s="23985"/>
      <c r="E188" s="23986"/>
      <c r="F188" s="23983"/>
      <c r="G188" s="23988"/>
      <c r="H188" s="23985"/>
      <c r="I188" s="23985"/>
      <c r="J188" s="24016"/>
      <c r="K188" s="23988"/>
      <c r="L188" s="23958" t="s">
        <v>96</v>
      </c>
      <c r="M188" s="23958" t="s">
        <v>197</v>
      </c>
      <c r="N188" s="24010" t="str">
        <f>IF(Z188="","",INDEX(TERRITORY_MR_LIST,MATCH(Z188,TERRITORY_LIST_ID,0)))</f>
        <v>Территория 22</v>
      </c>
      <c r="O188" s="24018" t="s">
        <v>59</v>
      </c>
      <c r="P188" s="23958"/>
      <c r="Q188" s="23958" t="s">
        <v>218</v>
      </c>
      <c r="R188" s="24020" t="s">
        <v>466</v>
      </c>
      <c r="S188" s="24013" t="s">
        <v>6</v>
      </c>
      <c r="T188" s="1700"/>
      <c r="U188" s="1700" t="s">
        <v>218</v>
      </c>
      <c r="V188" s="1360"/>
      <c r="W188" s="24015"/>
      <c r="Y188" s="1193"/>
      <c r="Z188" s="1193" t="s">
        <v>198</v>
      </c>
      <c r="AA188" s="1193"/>
      <c r="AB188" s="1193"/>
      <c r="AC188" s="1868" t="s">
        <v>351</v>
      </c>
      <c r="AD188" s="1868" t="s">
        <v>352</v>
      </c>
      <c r="AE188" s="1193" t="s">
        <v>467</v>
      </c>
      <c r="AF188" s="1193" t="s">
        <v>468</v>
      </c>
      <c r="AG188" s="1193" t="s">
        <v>469</v>
      </c>
      <c r="AH188" s="1193" t="str">
        <f>IF($E$105=0,"",$E$105)</f>
        <v>Тариф на горячую воду (горячее водоснабжение)</v>
      </c>
      <c r="AI188" s="1193" t="str">
        <f>IF($G$105=0,"",$G$105)</f>
        <v>Горячее водоснабжение</v>
      </c>
      <c r="AJ188" s="1193" t="str">
        <f>IF($J$105=0,"",$J$105)</f>
        <v>Тариф на горячую воду с использованием закрытой системы горячего водоснабжения</v>
      </c>
      <c r="AK188" s="1193" t="str">
        <f>IF($K$188="нет","без дифференциации",IF($N$188=0,"",$N$188))</f>
        <v>Территория 22</v>
      </c>
      <c r="AL188" s="1741" t="str">
        <f>IF($O$188="нет","без дифференциации",IF($R$188=0,"",$R$188))</f>
        <v xml:space="preserve">для потребителей г. Дорогобужа Дорогобужского муниципального округа </v>
      </c>
      <c r="AM188" s="1741"/>
      <c r="AN188" s="1193">
        <f>$I$105</f>
        <v>1</v>
      </c>
      <c r="AO188" s="1193" t="str">
        <f>$I$105&amp;"."&amp;$M$188</f>
        <v>1.22</v>
      </c>
      <c r="AP188" s="1193" t="str">
        <f>$I$105&amp;"."&amp;$M$188&amp;"."&amp;$Q$188</f>
        <v>1.22.1</v>
      </c>
      <c r="AQ188" s="1193"/>
    </row>
    <row r="189" spans="1:43" ht="17.25" customHeight="1">
      <c r="A189" s="1737"/>
      <c r="B189" s="1750"/>
      <c r="C189" s="1742"/>
      <c r="D189" s="23985"/>
      <c r="E189" s="23986"/>
      <c r="F189" s="23983"/>
      <c r="G189" s="23988"/>
      <c r="H189" s="23985"/>
      <c r="I189" s="23985"/>
      <c r="J189" s="24016"/>
      <c r="K189" s="23988"/>
      <c r="L189" s="23958"/>
      <c r="M189" s="23958"/>
      <c r="N189" s="24010"/>
      <c r="O189" s="24019"/>
      <c r="P189" s="23958"/>
      <c r="Q189" s="23958"/>
      <c r="R189" s="24020"/>
      <c r="S189" s="24013"/>
      <c r="T189" s="1361"/>
      <c r="U189" s="1362"/>
      <c r="V189" s="1362"/>
      <c r="W189" s="24015"/>
      <c r="Y189" s="1185"/>
      <c r="Z189" s="1185"/>
      <c r="AA189" s="1185"/>
      <c r="AB189" s="1185"/>
      <c r="AC189" s="1185"/>
      <c r="AD189" s="1185"/>
      <c r="AE189" s="1185"/>
      <c r="AF189" s="1185"/>
      <c r="AG189" s="1185"/>
      <c r="AH189" s="1185"/>
      <c r="AI189" s="1185"/>
      <c r="AJ189" s="1185"/>
      <c r="AK189" s="1185"/>
      <c r="AL189" s="1750"/>
      <c r="AM189" s="1750"/>
      <c r="AN189" s="1750"/>
      <c r="AO189" s="1750"/>
      <c r="AP189" s="1750"/>
      <c r="AQ189" s="1750"/>
    </row>
    <row r="190" spans="1:43" ht="17.25" customHeight="1">
      <c r="A190" s="1737"/>
      <c r="B190" s="1750"/>
      <c r="C190" s="1742"/>
      <c r="D190" s="23985"/>
      <c r="E190" s="23986"/>
      <c r="F190" s="23983"/>
      <c r="G190" s="23988"/>
      <c r="H190" s="23985"/>
      <c r="I190" s="23985"/>
      <c r="J190" s="24016"/>
      <c r="K190" s="23988"/>
      <c r="L190" s="23981"/>
      <c r="M190" s="23981"/>
      <c r="N190" s="24012"/>
      <c r="O190" s="23962"/>
      <c r="P190" s="253"/>
      <c r="Q190" s="254"/>
      <c r="R190" s="254" t="s">
        <v>370</v>
      </c>
      <c r="S190" s="1743"/>
      <c r="T190" s="1743"/>
      <c r="U190" s="1743"/>
      <c r="V190" s="1743"/>
      <c r="W190" s="1359"/>
      <c r="Y190" s="1185"/>
      <c r="Z190" s="1185"/>
      <c r="AA190" s="1185"/>
      <c r="AB190" s="1185"/>
      <c r="AC190" s="1185"/>
      <c r="AD190" s="1185"/>
      <c r="AE190" s="1185"/>
      <c r="AF190" s="1185"/>
      <c r="AG190" s="1185"/>
      <c r="AH190" s="1185"/>
      <c r="AI190" s="1185"/>
      <c r="AJ190" s="1185"/>
      <c r="AK190" s="1185"/>
      <c r="AL190" s="1750"/>
      <c r="AM190" s="1750"/>
      <c r="AN190" s="1750"/>
      <c r="AO190" s="1750"/>
      <c r="AP190" s="1750"/>
      <c r="AQ190" s="1750"/>
    </row>
    <row r="191" spans="1:43" ht="17.25" customHeight="1">
      <c r="A191" s="1737"/>
      <c r="B191" s="1750"/>
      <c r="C191" s="1739"/>
      <c r="D191" s="23985"/>
      <c r="E191" s="23986"/>
      <c r="F191" s="23983"/>
      <c r="G191" s="23988"/>
      <c r="H191" s="23985"/>
      <c r="I191" s="23985"/>
      <c r="J191" s="24016"/>
      <c r="K191" s="23988"/>
      <c r="L191" s="23958" t="s">
        <v>96</v>
      </c>
      <c r="M191" s="23958" t="s">
        <v>202</v>
      </c>
      <c r="N191" s="24010" t="str">
        <f>IF(Z191="","",INDEX(TERRITORY_MR_LIST,MATCH(Z191,TERRITORY_LIST_ID,0)))</f>
        <v>Территория 23</v>
      </c>
      <c r="O191" s="24018" t="s">
        <v>59</v>
      </c>
      <c r="P191" s="23958"/>
      <c r="Q191" s="23958" t="s">
        <v>218</v>
      </c>
      <c r="R191" s="24020" t="s">
        <v>470</v>
      </c>
      <c r="S191" s="24013" t="s">
        <v>6</v>
      </c>
      <c r="T191" s="1700"/>
      <c r="U191" s="1700" t="s">
        <v>218</v>
      </c>
      <c r="V191" s="1360"/>
      <c r="W191" s="24015"/>
      <c r="Y191" s="1193"/>
      <c r="Z191" s="1193" t="s">
        <v>203</v>
      </c>
      <c r="AA191" s="1193"/>
      <c r="AB191" s="1193"/>
      <c r="AC191" s="1868" t="s">
        <v>351</v>
      </c>
      <c r="AD191" s="1868" t="s">
        <v>352</v>
      </c>
      <c r="AE191" s="1193" t="s">
        <v>471</v>
      </c>
      <c r="AF191" s="1193" t="s">
        <v>472</v>
      </c>
      <c r="AG191" s="1193" t="s">
        <v>473</v>
      </c>
      <c r="AH191" s="1193" t="str">
        <f>IF($E$105=0,"",$E$105)</f>
        <v>Тариф на горячую воду (горячее водоснабжение)</v>
      </c>
      <c r="AI191" s="1193" t="str">
        <f>IF($G$105=0,"",$G$105)</f>
        <v>Горячее водоснабжение</v>
      </c>
      <c r="AJ191" s="1193" t="str">
        <f>IF($J$105=0,"",$J$105)</f>
        <v>Тариф на горячую воду с использованием закрытой системы горячего водоснабжения</v>
      </c>
      <c r="AK191" s="1193" t="str">
        <f>IF($K$191="нет","без дифференциации",IF($N$191=0,"",$N$191))</f>
        <v>Территория 23</v>
      </c>
      <c r="AL191" s="1741" t="str">
        <f>IF($O$191="нет","без дифференциации",IF($R$191=0,"",$R$191))</f>
        <v>для потребителей дер. Гусино Краснинского муниципального округа  Смоленской области</v>
      </c>
      <c r="AM191" s="1741"/>
      <c r="AN191" s="1193">
        <f>$I$105</f>
        <v>1</v>
      </c>
      <c r="AO191" s="1193" t="str">
        <f>$I$105&amp;"."&amp;$M$191</f>
        <v>1.23</v>
      </c>
      <c r="AP191" s="1193" t="str">
        <f>$I$105&amp;"."&amp;$M$191&amp;"."&amp;$Q$191</f>
        <v>1.23.1</v>
      </c>
      <c r="AQ191" s="1193"/>
    </row>
    <row r="192" spans="1:43" ht="17.25" customHeight="1">
      <c r="A192" s="1737"/>
      <c r="B192" s="1750"/>
      <c r="C192" s="1742"/>
      <c r="D192" s="23985"/>
      <c r="E192" s="23986"/>
      <c r="F192" s="23983"/>
      <c r="G192" s="23988"/>
      <c r="H192" s="23985"/>
      <c r="I192" s="23985"/>
      <c r="J192" s="24016"/>
      <c r="K192" s="23988"/>
      <c r="L192" s="23958"/>
      <c r="M192" s="23958"/>
      <c r="N192" s="24010"/>
      <c r="O192" s="24019"/>
      <c r="P192" s="23958"/>
      <c r="Q192" s="23958"/>
      <c r="R192" s="24020"/>
      <c r="S192" s="24013"/>
      <c r="T192" s="1361"/>
      <c r="U192" s="1362"/>
      <c r="V192" s="1362"/>
      <c r="W192" s="24015"/>
      <c r="Y192" s="1185"/>
      <c r="Z192" s="1185"/>
      <c r="AA192" s="1185"/>
      <c r="AB192" s="1185"/>
      <c r="AC192" s="1185"/>
      <c r="AD192" s="1185"/>
      <c r="AE192" s="1185"/>
      <c r="AF192" s="1185"/>
      <c r="AG192" s="1185"/>
      <c r="AH192" s="1185"/>
      <c r="AI192" s="1185"/>
      <c r="AJ192" s="1185"/>
      <c r="AK192" s="1185"/>
      <c r="AL192" s="1750"/>
      <c r="AM192" s="1750"/>
      <c r="AN192" s="1750"/>
      <c r="AO192" s="1750"/>
      <c r="AP192" s="1750"/>
      <c r="AQ192" s="1750"/>
    </row>
    <row r="193" spans="1:44" ht="17.25" customHeight="1">
      <c r="A193" s="1737"/>
      <c r="B193" s="1750"/>
      <c r="C193" s="1742"/>
      <c r="D193" s="23985"/>
      <c r="E193" s="23986"/>
      <c r="F193" s="23983"/>
      <c r="G193" s="23988"/>
      <c r="H193" s="23985"/>
      <c r="I193" s="23985"/>
      <c r="J193" s="24016"/>
      <c r="K193" s="23988"/>
      <c r="L193" s="23981"/>
      <c r="M193" s="23981"/>
      <c r="N193" s="24012"/>
      <c r="O193" s="23962"/>
      <c r="P193" s="253"/>
      <c r="Q193" s="254"/>
      <c r="R193" s="254" t="s">
        <v>370</v>
      </c>
      <c r="S193" s="1743"/>
      <c r="T193" s="1743"/>
      <c r="U193" s="1743"/>
      <c r="V193" s="1743"/>
      <c r="W193" s="1359"/>
      <c r="Y193" s="1185"/>
      <c r="Z193" s="1185"/>
      <c r="AA193" s="1185"/>
      <c r="AB193" s="1185"/>
      <c r="AC193" s="1185"/>
      <c r="AD193" s="1185"/>
      <c r="AE193" s="1185"/>
      <c r="AF193" s="1185"/>
      <c r="AG193" s="1185"/>
      <c r="AH193" s="1185"/>
      <c r="AI193" s="1185"/>
      <c r="AJ193" s="1185"/>
      <c r="AK193" s="1185"/>
      <c r="AL193" s="1750"/>
      <c r="AM193" s="1750"/>
      <c r="AN193" s="1750"/>
      <c r="AO193" s="1750"/>
      <c r="AP193" s="1750"/>
      <c r="AQ193" s="1750"/>
    </row>
    <row r="194" spans="1:44" ht="17.25" customHeight="1">
      <c r="A194" s="1737"/>
      <c r="B194" s="1750"/>
      <c r="C194" s="1739"/>
      <c r="D194" s="23985"/>
      <c r="E194" s="23986"/>
      <c r="F194" s="23983"/>
      <c r="G194" s="23988"/>
      <c r="H194" s="23985"/>
      <c r="I194" s="23985"/>
      <c r="J194" s="24016"/>
      <c r="K194" s="23988"/>
      <c r="L194" s="23958" t="s">
        <v>96</v>
      </c>
      <c r="M194" s="23958" t="s">
        <v>207</v>
      </c>
      <c r="N194" s="24010" t="str">
        <f>IF(Z194="","",INDEX(TERRITORY_MR_LIST,MATCH(Z194,TERRITORY_LIST_ID,0)))</f>
        <v>Территория 24</v>
      </c>
      <c r="O194" s="24018" t="s">
        <v>59</v>
      </c>
      <c r="P194" s="23958"/>
      <c r="Q194" s="23958" t="s">
        <v>218</v>
      </c>
      <c r="R194" s="24020" t="s">
        <v>474</v>
      </c>
      <c r="S194" s="24013" t="s">
        <v>6</v>
      </c>
      <c r="T194" s="1700"/>
      <c r="U194" s="1700" t="s">
        <v>218</v>
      </c>
      <c r="V194" s="1360"/>
      <c r="W194" s="24015"/>
      <c r="Y194" s="1193"/>
      <c r="Z194" s="1193" t="s">
        <v>208</v>
      </c>
      <c r="AA194" s="1193"/>
      <c r="AB194" s="1193"/>
      <c r="AC194" s="1868" t="s">
        <v>351</v>
      </c>
      <c r="AD194" s="1868" t="s">
        <v>352</v>
      </c>
      <c r="AE194" s="1193" t="s">
        <v>475</v>
      </c>
      <c r="AF194" s="1193" t="s">
        <v>476</v>
      </c>
      <c r="AG194" s="1193" t="s">
        <v>477</v>
      </c>
      <c r="AH194" s="1193" t="str">
        <f>IF($E$105=0,"",$E$105)</f>
        <v>Тариф на горячую воду (горячее водоснабжение)</v>
      </c>
      <c r="AI194" s="1193" t="str">
        <f>IF($G$105=0,"",$G$105)</f>
        <v>Горячее водоснабжение</v>
      </c>
      <c r="AJ194" s="1193" t="str">
        <f>IF($J$105=0,"",$J$105)</f>
        <v>Тариф на горячую воду с использованием закрытой системы горячего водоснабжения</v>
      </c>
      <c r="AK194" s="1193" t="str">
        <f>IF($K$194="нет","без дифференциации",IF($N$194=0,"",$N$194))</f>
        <v>Территория 24</v>
      </c>
      <c r="AL194" s="1741" t="str">
        <f>IF($O$194="нет","без дифференциации",IF($R$194=0,"",$R$194))</f>
        <v>для потребителей с. Первомайский Шумячского муниципального округа Смоленской области</v>
      </c>
      <c r="AM194" s="1741"/>
      <c r="AN194" s="1193">
        <f>$I$105</f>
        <v>1</v>
      </c>
      <c r="AO194" s="1193" t="str">
        <f>$I$105&amp;"."&amp;$M$194</f>
        <v>1.24</v>
      </c>
      <c r="AP194" s="1193" t="str">
        <f>$I$105&amp;"."&amp;$M$194&amp;"."&amp;$Q$194</f>
        <v>1.24.1</v>
      </c>
      <c r="AQ194" s="1193"/>
    </row>
    <row r="195" spans="1:44" ht="17.25" customHeight="1">
      <c r="A195" s="1737"/>
      <c r="B195" s="1750"/>
      <c r="C195" s="1742"/>
      <c r="D195" s="23985"/>
      <c r="E195" s="23986"/>
      <c r="F195" s="23983"/>
      <c r="G195" s="23988"/>
      <c r="H195" s="23985"/>
      <c r="I195" s="23985"/>
      <c r="J195" s="24016"/>
      <c r="K195" s="23988"/>
      <c r="L195" s="23958"/>
      <c r="M195" s="23958"/>
      <c r="N195" s="24010"/>
      <c r="O195" s="24019"/>
      <c r="P195" s="23958"/>
      <c r="Q195" s="23958"/>
      <c r="R195" s="24020"/>
      <c r="S195" s="24013"/>
      <c r="T195" s="1361"/>
      <c r="U195" s="1362"/>
      <c r="V195" s="1362"/>
      <c r="W195" s="24015"/>
      <c r="Y195" s="1185"/>
      <c r="Z195" s="1185"/>
      <c r="AA195" s="1185"/>
      <c r="AB195" s="1185"/>
      <c r="AC195" s="1185"/>
      <c r="AD195" s="1185"/>
      <c r="AE195" s="1185"/>
      <c r="AF195" s="1185"/>
      <c r="AG195" s="1185"/>
      <c r="AH195" s="1185"/>
      <c r="AI195" s="1185"/>
      <c r="AJ195" s="1185"/>
      <c r="AK195" s="1185"/>
      <c r="AL195" s="1750"/>
      <c r="AM195" s="1750"/>
      <c r="AN195" s="1750"/>
      <c r="AO195" s="1750"/>
      <c r="AP195" s="1750"/>
      <c r="AQ195" s="1750"/>
    </row>
    <row r="196" spans="1:44" ht="17.25" customHeight="1">
      <c r="A196" s="1737"/>
      <c r="B196" s="1750"/>
      <c r="C196" s="1739"/>
      <c r="D196" s="23985"/>
      <c r="E196" s="23986"/>
      <c r="F196" s="23983"/>
      <c r="G196" s="23988"/>
      <c r="H196" s="23985"/>
      <c r="I196" s="23985"/>
      <c r="J196" s="24016"/>
      <c r="K196" s="23988"/>
      <c r="L196" s="23985"/>
      <c r="M196" s="23985"/>
      <c r="N196" s="24011"/>
      <c r="O196" s="24019"/>
      <c r="P196" s="23958" t="s">
        <v>96</v>
      </c>
      <c r="Q196" s="23958" t="s">
        <v>95</v>
      </c>
      <c r="R196" s="24020" t="s">
        <v>478</v>
      </c>
      <c r="S196" s="24013" t="s">
        <v>6</v>
      </c>
      <c r="T196" s="1700"/>
      <c r="U196" s="1700" t="s">
        <v>218</v>
      </c>
      <c r="V196" s="1360"/>
      <c r="W196" s="24015"/>
      <c r="Y196" s="1193"/>
      <c r="Z196" s="1193"/>
      <c r="AA196" s="1193"/>
      <c r="AB196" s="1193"/>
      <c r="AC196" s="1868" t="s">
        <v>351</v>
      </c>
      <c r="AD196" s="1868" t="s">
        <v>352</v>
      </c>
      <c r="AE196" s="1868" t="s">
        <v>475</v>
      </c>
      <c r="AF196" s="1193" t="s">
        <v>479</v>
      </c>
      <c r="AG196" s="1193" t="s">
        <v>480</v>
      </c>
      <c r="AH196" s="1193" t="str">
        <f>IF($E$105=0,"",$E$105)</f>
        <v>Тариф на горячую воду (горячее водоснабжение)</v>
      </c>
      <c r="AI196" s="1193" t="str">
        <f>IF($G$105=0,"",$G$105)</f>
        <v>Горячее водоснабжение</v>
      </c>
      <c r="AJ196" s="1193" t="str">
        <f>IF($J$105=0,"",$J$105)</f>
        <v>Тариф на горячую воду с использованием закрытой системы горячего водоснабжения</v>
      </c>
      <c r="AK196" s="1193" t="str">
        <f>IF($K$194="нет","без дифференциации",IF($N$194=0,"",$N$194))</f>
        <v>Территория 24</v>
      </c>
      <c r="AL196" s="1741" t="str">
        <f>IF($O$196="нет","без дифференциации",IF($R$196=0,"",$R$196))</f>
        <v>для котельной №3, расположенной по адресу: пгт Шумячи, ул. Санаторная, д. 1</v>
      </c>
      <c r="AM196" s="1741"/>
      <c r="AN196" s="1193">
        <f>$I$105</f>
        <v>1</v>
      </c>
      <c r="AO196" s="1193" t="str">
        <f>$I$105&amp;"."&amp;$M$194</f>
        <v>1.24</v>
      </c>
      <c r="AP196" s="1193" t="str">
        <f>$I$105&amp;"."&amp;$M$194&amp;"."&amp;$Q$196</f>
        <v>1.24.2</v>
      </c>
      <c r="AQ196" s="1193"/>
    </row>
    <row r="197" spans="1:44" ht="17.25" customHeight="1">
      <c r="A197" s="1737"/>
      <c r="B197" s="1750"/>
      <c r="C197" s="1742"/>
      <c r="D197" s="23985"/>
      <c r="E197" s="23986"/>
      <c r="F197" s="23983"/>
      <c r="G197" s="23988"/>
      <c r="H197" s="23985"/>
      <c r="I197" s="23985"/>
      <c r="J197" s="24016"/>
      <c r="K197" s="23988"/>
      <c r="L197" s="23985"/>
      <c r="M197" s="23985"/>
      <c r="N197" s="24011"/>
      <c r="O197" s="24019"/>
      <c r="P197" s="23958"/>
      <c r="Q197" s="23958"/>
      <c r="R197" s="24020"/>
      <c r="S197" s="24013"/>
      <c r="T197" s="1361"/>
      <c r="U197" s="1362"/>
      <c r="V197" s="1362"/>
      <c r="W197" s="24015"/>
      <c r="Y197" s="1185"/>
      <c r="Z197" s="1185"/>
      <c r="AA197" s="1185"/>
      <c r="AB197" s="1185"/>
      <c r="AC197" s="1185"/>
      <c r="AD197" s="1185"/>
      <c r="AE197" s="1185"/>
      <c r="AF197" s="1185"/>
      <c r="AG197" s="1185"/>
      <c r="AH197" s="1185"/>
      <c r="AI197" s="1185"/>
      <c r="AJ197" s="1185"/>
      <c r="AK197" s="1185"/>
      <c r="AL197" s="1750"/>
      <c r="AM197" s="1750"/>
      <c r="AN197" s="1750"/>
      <c r="AO197" s="1750"/>
      <c r="AP197" s="1750"/>
      <c r="AQ197" s="1750"/>
    </row>
    <row r="198" spans="1:44" ht="17.25" customHeight="1">
      <c r="A198" s="1737"/>
      <c r="B198" s="1750"/>
      <c r="C198" s="1742"/>
      <c r="D198" s="23985"/>
      <c r="E198" s="23986"/>
      <c r="F198" s="23983"/>
      <c r="G198" s="23988"/>
      <c r="H198" s="23985"/>
      <c r="I198" s="23985"/>
      <c r="J198" s="24016"/>
      <c r="K198" s="23988"/>
      <c r="L198" s="23981"/>
      <c r="M198" s="23981"/>
      <c r="N198" s="24012"/>
      <c r="O198" s="23962"/>
      <c r="P198" s="253"/>
      <c r="Q198" s="254"/>
      <c r="R198" s="254" t="s">
        <v>370</v>
      </c>
      <c r="S198" s="1743"/>
      <c r="T198" s="1743"/>
      <c r="U198" s="1743"/>
      <c r="V198" s="1743"/>
      <c r="W198" s="1359"/>
      <c r="Y198" s="1185"/>
      <c r="Z198" s="1185"/>
      <c r="AA198" s="1185"/>
      <c r="AB198" s="1185"/>
      <c r="AC198" s="1185"/>
      <c r="AD198" s="1185"/>
      <c r="AE198" s="1185"/>
      <c r="AF198" s="1185"/>
      <c r="AG198" s="1185"/>
      <c r="AH198" s="1185"/>
      <c r="AI198" s="1185"/>
      <c r="AJ198" s="1185"/>
      <c r="AK198" s="1185"/>
      <c r="AL198" s="1750"/>
      <c r="AM198" s="1750"/>
      <c r="AN198" s="1750"/>
      <c r="AO198" s="1750"/>
      <c r="AP198" s="1750"/>
      <c r="AQ198" s="1750"/>
    </row>
    <row r="199" spans="1:44" s="1750" customFormat="1" ht="17.25" customHeight="1">
      <c r="A199" s="257"/>
      <c r="C199" s="256"/>
      <c r="D199" s="23980"/>
      <c r="E199" s="23969"/>
      <c r="F199" s="23983"/>
      <c r="G199" s="23987"/>
      <c r="H199" s="23981"/>
      <c r="I199" s="23981"/>
      <c r="J199" s="24017"/>
      <c r="K199" s="23962"/>
      <c r="L199" s="2009"/>
      <c r="M199" s="2010"/>
      <c r="N199" s="2011" t="s">
        <v>481</v>
      </c>
      <c r="O199" s="2012"/>
      <c r="P199" s="2013"/>
      <c r="Q199" s="2014"/>
      <c r="R199" s="2015"/>
      <c r="S199" s="2016"/>
      <c r="T199" s="2017"/>
      <c r="U199" s="2018"/>
      <c r="V199" s="2019"/>
      <c r="W199" s="2020"/>
      <c r="Y199" s="1185"/>
      <c r="Z199" s="1185"/>
      <c r="AA199" s="1185"/>
      <c r="AB199" s="1185"/>
      <c r="AC199" s="1185"/>
      <c r="AD199" s="1185"/>
      <c r="AE199" s="1185"/>
      <c r="AF199" s="1185"/>
      <c r="AG199" s="1185"/>
      <c r="AH199" s="1185"/>
      <c r="AI199" s="1185"/>
      <c r="AJ199" s="1185"/>
      <c r="AK199" s="1185"/>
      <c r="AL199" s="1185"/>
      <c r="AM199" s="1185"/>
      <c r="AN199" s="1185"/>
      <c r="AO199" s="1185"/>
      <c r="AP199" s="1185"/>
      <c r="AQ199" s="1185"/>
      <c r="AR199" s="1393">
        <v>0</v>
      </c>
    </row>
    <row r="200" spans="1:44" s="1750" customFormat="1" ht="17.25" customHeight="1">
      <c r="A200" s="257"/>
      <c r="C200" s="256"/>
      <c r="D200" s="23981"/>
      <c r="E200" s="23970"/>
      <c r="F200" s="23984"/>
      <c r="G200" s="23989"/>
      <c r="H200" s="2021"/>
      <c r="I200" s="2022"/>
      <c r="J200" s="2023" t="s">
        <v>482</v>
      </c>
      <c r="K200" s="2024"/>
      <c r="L200" s="2025"/>
      <c r="M200" s="2026"/>
      <c r="N200" s="2027"/>
      <c r="O200" s="2028"/>
      <c r="P200" s="2029"/>
      <c r="Q200" s="2030"/>
      <c r="R200" s="2031"/>
      <c r="S200" s="2032"/>
      <c r="T200" s="2033"/>
      <c r="U200" s="2034"/>
      <c r="V200" s="2035"/>
      <c r="W200" s="2036"/>
      <c r="Y200" s="1185"/>
      <c r="Z200" s="1185"/>
      <c r="AA200" s="1185"/>
      <c r="AB200" s="1185"/>
      <c r="AC200" s="1185"/>
      <c r="AD200" s="1185"/>
      <c r="AE200" s="1185"/>
      <c r="AF200" s="1185"/>
      <c r="AG200" s="1185"/>
      <c r="AH200" s="1185"/>
      <c r="AI200" s="1185"/>
      <c r="AJ200" s="1185"/>
      <c r="AK200" s="1185"/>
      <c r="AL200" s="1185"/>
      <c r="AM200" s="1185"/>
      <c r="AN200" s="1185"/>
      <c r="AO200" s="1185"/>
      <c r="AP200" s="1185"/>
      <c r="AQ200" s="1185"/>
      <c r="AR200" s="1393">
        <v>0</v>
      </c>
    </row>
    <row r="201" spans="1:44" s="1750" customFormat="1" ht="17.25" customHeight="1">
      <c r="A201" s="257"/>
      <c r="C201" s="146"/>
      <c r="D201" s="23980">
        <v>2</v>
      </c>
      <c r="E201" s="23969" t="s">
        <v>483</v>
      </c>
      <c r="F201" s="23982" t="s">
        <v>6</v>
      </c>
      <c r="G201" s="23969"/>
      <c r="H201" s="23971"/>
      <c r="I201" s="23973"/>
      <c r="J201" s="23975"/>
      <c r="K201" s="23967"/>
      <c r="L201" s="23967"/>
      <c r="M201" s="23967"/>
      <c r="N201" s="23978"/>
      <c r="O201" s="23967"/>
      <c r="P201" s="23967"/>
      <c r="Q201" s="23967"/>
      <c r="R201" s="23965"/>
      <c r="S201" s="23967"/>
      <c r="T201" s="1396"/>
      <c r="U201" s="1396"/>
      <c r="V201" s="1398"/>
      <c r="W201" s="1222"/>
      <c r="X201" s="1193"/>
      <c r="Y201" s="1193"/>
      <c r="Z201" s="1193"/>
      <c r="AA201" s="1193"/>
      <c r="AB201" s="1193"/>
      <c r="AC201" s="1193" t="s">
        <v>484</v>
      </c>
      <c r="AD201" s="1193" t="s">
        <v>485</v>
      </c>
      <c r="AE201" s="1193" t="s">
        <v>486</v>
      </c>
      <c r="AF201" s="1193" t="s">
        <v>487</v>
      </c>
      <c r="AG201" s="1193"/>
      <c r="AH201" s="1193" t="str">
        <f>IF($E$201=0,"",$E$201)</f>
        <v>Тариф на транспортировку горячей воды</v>
      </c>
      <c r="AI201" s="1193" t="str">
        <f>IF($G$201=0,"",$G$201)</f>
        <v/>
      </c>
      <c r="AJ201" s="1193" t="str">
        <f>IF($J$201=0,"",$J$201)</f>
        <v/>
      </c>
      <c r="AK201" s="1193" t="str">
        <f>IF($K$201="нет","без дифференциации",IF($N$201=0,"",$N$201))</f>
        <v/>
      </c>
      <c r="AL201" s="1193" t="str">
        <f>IF($O$201="нет","без дифференциации",IF($R$201=0,"",$R$201))</f>
        <v/>
      </c>
      <c r="AM201" s="1193" t="str">
        <f>IF($S$201="нет","без дифференциации",IF($V$201=0,"",$V$201))</f>
        <v/>
      </c>
      <c r="AN201" s="1670">
        <f>$I$201</f>
        <v>0</v>
      </c>
      <c r="AO201" s="1193" t="str">
        <f>$I$201&amp;"."&amp;$M$201</f>
        <v>.</v>
      </c>
      <c r="AP201" s="1185" t="str">
        <f>$I$201&amp;"."&amp;$M$201&amp;"."&amp;$Q$201</f>
        <v>..</v>
      </c>
      <c r="AQ201" s="1185" t="str">
        <f>$I$201&amp;"."&amp;$M$201&amp;"."&amp;$Q$201&amp;"."&amp;$U$201</f>
        <v>...</v>
      </c>
      <c r="AR201" s="1393">
        <v>0</v>
      </c>
    </row>
    <row r="202" spans="1:44" s="1750" customFormat="1" ht="17.25" customHeight="1">
      <c r="A202" s="257"/>
      <c r="C202" s="256"/>
      <c r="D202" s="23980"/>
      <c r="E202" s="23969"/>
      <c r="F202" s="23983"/>
      <c r="G202" s="23969"/>
      <c r="H202" s="23972"/>
      <c r="I202" s="23974"/>
      <c r="J202" s="23976"/>
      <c r="K202" s="23968"/>
      <c r="L202" s="23968"/>
      <c r="M202" s="23968"/>
      <c r="N202" s="23979"/>
      <c r="O202" s="23968"/>
      <c r="P202" s="23968"/>
      <c r="Q202" s="23968"/>
      <c r="R202" s="23966"/>
      <c r="S202" s="23968"/>
      <c r="T202" s="1223"/>
      <c r="U202" s="1223"/>
      <c r="V202" s="1223"/>
      <c r="W202" s="1224"/>
      <c r="X202" s="1185"/>
      <c r="Y202" s="1185"/>
      <c r="Z202" s="1185"/>
      <c r="AA202" s="1185"/>
      <c r="AB202" s="1185"/>
      <c r="AC202" s="1185"/>
      <c r="AD202" s="1185"/>
      <c r="AE202" s="1185"/>
      <c r="AF202" s="1185"/>
      <c r="AG202" s="1185"/>
      <c r="AH202" s="1185"/>
      <c r="AI202" s="1185"/>
      <c r="AJ202" s="1185"/>
      <c r="AK202" s="1185"/>
      <c r="AL202" s="1185"/>
      <c r="AM202" s="1185"/>
      <c r="AN202" s="1185"/>
      <c r="AO202" s="1185"/>
      <c r="AP202" s="1185"/>
      <c r="AQ202" s="1185"/>
      <c r="AR202" s="1393">
        <v>0</v>
      </c>
    </row>
    <row r="203" spans="1:44" s="1750" customFormat="1" ht="17.25" customHeight="1">
      <c r="A203" s="257"/>
      <c r="C203" s="256"/>
      <c r="D203" s="23981"/>
      <c r="E203" s="23970"/>
      <c r="F203" s="23983"/>
      <c r="G203" s="23970"/>
      <c r="H203" s="23972"/>
      <c r="I203" s="23974"/>
      <c r="J203" s="23977"/>
      <c r="K203" s="23968"/>
      <c r="L203" s="23968"/>
      <c r="M203" s="23968"/>
      <c r="N203" s="23966"/>
      <c r="O203" s="23968"/>
      <c r="P203" s="1397"/>
      <c r="Q203" s="1223"/>
      <c r="R203" s="1223"/>
      <c r="S203" s="265"/>
      <c r="T203" s="265"/>
      <c r="U203" s="265"/>
      <c r="V203" s="265"/>
      <c r="W203" s="1224"/>
      <c r="X203" s="1185"/>
      <c r="Y203" s="1185"/>
      <c r="Z203" s="1185"/>
      <c r="AA203" s="1185"/>
      <c r="AB203" s="1185"/>
      <c r="AC203" s="1185"/>
      <c r="AD203" s="1185"/>
      <c r="AE203" s="1185"/>
      <c r="AF203" s="1185"/>
      <c r="AG203" s="1185"/>
      <c r="AH203" s="1185"/>
      <c r="AI203" s="1185"/>
      <c r="AJ203" s="1185"/>
      <c r="AK203" s="1185"/>
      <c r="AL203" s="1185"/>
      <c r="AM203" s="1185"/>
      <c r="AN203" s="1185"/>
      <c r="AO203" s="1185"/>
      <c r="AP203" s="1185"/>
      <c r="AQ203" s="1185"/>
      <c r="AR203" s="1393">
        <v>0</v>
      </c>
    </row>
    <row r="204" spans="1:44" s="1750" customFormat="1" ht="17.25" customHeight="1">
      <c r="A204" s="257"/>
      <c r="C204" s="256"/>
      <c r="D204" s="23981"/>
      <c r="E204" s="23970"/>
      <c r="F204" s="23983"/>
      <c r="G204" s="23970"/>
      <c r="H204" s="23972"/>
      <c r="I204" s="23974"/>
      <c r="J204" s="23977"/>
      <c r="K204" s="23968"/>
      <c r="L204" s="1223"/>
      <c r="M204" s="1223"/>
      <c r="N204" s="1223"/>
      <c r="O204" s="1223"/>
      <c r="P204" s="1223"/>
      <c r="Q204" s="1223"/>
      <c r="R204" s="1223"/>
      <c r="S204" s="265"/>
      <c r="T204" s="265"/>
      <c r="U204" s="265"/>
      <c r="V204" s="265"/>
      <c r="W204" s="1224"/>
      <c r="X204" s="1185"/>
      <c r="Y204" s="1185"/>
      <c r="Z204" s="1185"/>
      <c r="AA204" s="1185"/>
      <c r="AB204" s="1185"/>
      <c r="AC204" s="1185"/>
      <c r="AD204" s="1185"/>
      <c r="AE204" s="1185"/>
      <c r="AF204" s="1185"/>
      <c r="AG204" s="1185"/>
      <c r="AH204" s="1185"/>
      <c r="AI204" s="1185"/>
      <c r="AJ204" s="1185"/>
      <c r="AK204" s="1185"/>
      <c r="AL204" s="1185"/>
      <c r="AM204" s="1185"/>
      <c r="AN204" s="1185"/>
      <c r="AO204" s="1185"/>
      <c r="AP204" s="1185"/>
      <c r="AQ204" s="1185"/>
      <c r="AR204" s="1393">
        <v>0</v>
      </c>
    </row>
    <row r="205" spans="1:44" s="1750" customFormat="1" ht="17.25" customHeight="1">
      <c r="A205" s="257"/>
      <c r="C205" s="256"/>
      <c r="D205" s="23981"/>
      <c r="E205" s="23970"/>
      <c r="F205" s="23984"/>
      <c r="G205" s="23970"/>
      <c r="H205" s="1225"/>
      <c r="I205" s="1226"/>
      <c r="J205" s="1226"/>
      <c r="K205" s="1226"/>
      <c r="L205" s="1226"/>
      <c r="M205" s="1226"/>
      <c r="N205" s="1226"/>
      <c r="O205" s="1226"/>
      <c r="P205" s="1226"/>
      <c r="Q205" s="1226"/>
      <c r="R205" s="1226"/>
      <c r="S205" s="1227"/>
      <c r="T205" s="1227"/>
      <c r="U205" s="1227"/>
      <c r="V205" s="1227"/>
      <c r="W205" s="1228"/>
      <c r="X205" s="1185"/>
      <c r="Y205" s="1185"/>
      <c r="Z205" s="1185"/>
      <c r="AA205" s="1185"/>
      <c r="AB205" s="1185"/>
      <c r="AC205" s="1185"/>
      <c r="AD205" s="1185"/>
      <c r="AE205" s="1185"/>
      <c r="AF205" s="1185"/>
      <c r="AG205" s="1185"/>
      <c r="AH205" s="1185"/>
      <c r="AI205" s="1185"/>
      <c r="AJ205" s="1185"/>
      <c r="AK205" s="1185"/>
      <c r="AL205" s="1185"/>
      <c r="AM205" s="1185"/>
      <c r="AN205" s="1185"/>
      <c r="AO205" s="1185"/>
      <c r="AP205" s="1185"/>
      <c r="AQ205" s="1185"/>
      <c r="AR205" s="1393">
        <v>0</v>
      </c>
    </row>
    <row r="206" spans="1:44" s="1750" customFormat="1" ht="17.25" customHeight="1">
      <c r="A206" s="257"/>
      <c r="C206" s="146"/>
      <c r="D206" s="23980">
        <v>3</v>
      </c>
      <c r="E206" s="23969" t="s">
        <v>488</v>
      </c>
      <c r="F206" s="23982" t="s">
        <v>6</v>
      </c>
      <c r="G206" s="23969"/>
      <c r="H206" s="23971"/>
      <c r="I206" s="23973"/>
      <c r="J206" s="23975"/>
      <c r="K206" s="23967"/>
      <c r="L206" s="23967"/>
      <c r="M206" s="23967"/>
      <c r="N206" s="23978"/>
      <c r="O206" s="23967"/>
      <c r="P206" s="23967"/>
      <c r="Q206" s="23967"/>
      <c r="R206" s="23965"/>
      <c r="S206" s="23967"/>
      <c r="T206" s="1837"/>
      <c r="U206" s="1837"/>
      <c r="V206" s="1839"/>
      <c r="W206" s="1222"/>
      <c r="X206" s="1193"/>
      <c r="Y206" s="1193"/>
      <c r="Z206" s="1193"/>
      <c r="AA206" s="1193"/>
      <c r="AB206" s="1193"/>
      <c r="AC206" s="1193" t="s">
        <v>489</v>
      </c>
      <c r="AD206" s="1193" t="s">
        <v>490</v>
      </c>
      <c r="AE206" s="1193" t="s">
        <v>491</v>
      </c>
      <c r="AF206" s="1193" t="s">
        <v>492</v>
      </c>
      <c r="AG206" s="1193"/>
      <c r="AH206" s="1193" t="str">
        <f>IF($E$206=0,"",$E$206)</f>
        <v>Тариф на подключение (технологическое присоединение) к централизованной системе горячего водоснабжения</v>
      </c>
      <c r="AI206" s="1193" t="str">
        <f>IF($G$206=0,"",$G$206)</f>
        <v/>
      </c>
      <c r="AJ206" s="1193" t="str">
        <f>IF($J$206=0,"",$J$206)</f>
        <v/>
      </c>
      <c r="AK206" s="1193" t="str">
        <f>IF($K$206="нет","без дифференциации",IF($N$206=0,"",$N$206))</f>
        <v/>
      </c>
      <c r="AL206" s="1193" t="str">
        <f>IF($O$206="нет","без дифференциации",IF($R$206=0,"",$R$206))</f>
        <v/>
      </c>
      <c r="AM206" s="1193" t="str">
        <f>IF($S$206="нет","без дифференциации",IF($V$206=0,"",$V$206))</f>
        <v/>
      </c>
      <c r="AN206" s="1670">
        <f>$I$206</f>
        <v>0</v>
      </c>
      <c r="AO206" s="1193" t="str">
        <f>$I$206&amp;"."&amp;$M$206</f>
        <v>.</v>
      </c>
      <c r="AP206" s="1192" t="str">
        <f>$I$206&amp;"."&amp;$M$206&amp;"."&amp;$Q$206</f>
        <v>..</v>
      </c>
      <c r="AQ206" s="1192" t="str">
        <f>$I$206&amp;"."&amp;$M$206&amp;"."&amp;$Q$206&amp;"."&amp;$U$206</f>
        <v>...</v>
      </c>
      <c r="AR206" s="1393">
        <v>0</v>
      </c>
    </row>
    <row r="207" spans="1:44" s="1750" customFormat="1" ht="17.25" customHeight="1">
      <c r="A207" s="257"/>
      <c r="C207" s="256"/>
      <c r="D207" s="23980"/>
      <c r="E207" s="23969"/>
      <c r="F207" s="23983"/>
      <c r="G207" s="23969"/>
      <c r="H207" s="23972"/>
      <c r="I207" s="23974"/>
      <c r="J207" s="23976"/>
      <c r="K207" s="23968"/>
      <c r="L207" s="23968"/>
      <c r="M207" s="23968"/>
      <c r="N207" s="23979"/>
      <c r="O207" s="23968"/>
      <c r="P207" s="23968"/>
      <c r="Q207" s="23968"/>
      <c r="R207" s="23966"/>
      <c r="S207" s="23968"/>
      <c r="T207" s="1842"/>
      <c r="U207" s="1842"/>
      <c r="V207" s="1842"/>
      <c r="W207" s="1843"/>
      <c r="X207" s="1192"/>
      <c r="Y207" s="1192"/>
      <c r="Z207" s="1192"/>
      <c r="AA207" s="1192"/>
      <c r="AB207" s="1192"/>
      <c r="AC207" s="1192"/>
      <c r="AD207" s="1192"/>
      <c r="AE207" s="1192"/>
      <c r="AF207" s="1192"/>
      <c r="AG207" s="1192"/>
      <c r="AH207" s="1192"/>
      <c r="AI207" s="1192"/>
      <c r="AJ207" s="1192"/>
      <c r="AK207" s="1192"/>
      <c r="AL207" s="1192"/>
      <c r="AM207" s="1192"/>
      <c r="AN207" s="1192"/>
      <c r="AO207" s="1192"/>
      <c r="AP207" s="1192"/>
      <c r="AQ207" s="1192"/>
      <c r="AR207" s="1393">
        <v>0</v>
      </c>
    </row>
    <row r="208" spans="1:44" s="1750" customFormat="1" ht="17.25" customHeight="1">
      <c r="A208" s="257"/>
      <c r="C208" s="256"/>
      <c r="D208" s="23981"/>
      <c r="E208" s="23970"/>
      <c r="F208" s="23983"/>
      <c r="G208" s="23970"/>
      <c r="H208" s="23972"/>
      <c r="I208" s="23974"/>
      <c r="J208" s="23977"/>
      <c r="K208" s="23968"/>
      <c r="L208" s="23968"/>
      <c r="M208" s="23968"/>
      <c r="N208" s="23966"/>
      <c r="O208" s="23968"/>
      <c r="P208" s="1838"/>
      <c r="Q208" s="1842"/>
      <c r="R208" s="1842"/>
      <c r="S208" s="265"/>
      <c r="T208" s="265"/>
      <c r="U208" s="265"/>
      <c r="V208" s="265"/>
      <c r="W208" s="1843"/>
      <c r="X208" s="1192"/>
      <c r="Y208" s="1192"/>
      <c r="Z208" s="1192"/>
      <c r="AA208" s="1192"/>
      <c r="AB208" s="1192"/>
      <c r="AC208" s="1192"/>
      <c r="AD208" s="1192"/>
      <c r="AE208" s="1192"/>
      <c r="AF208" s="1192"/>
      <c r="AG208" s="1192"/>
      <c r="AH208" s="1192"/>
      <c r="AI208" s="1192"/>
      <c r="AJ208" s="1192"/>
      <c r="AK208" s="1192"/>
      <c r="AL208" s="1192"/>
      <c r="AM208" s="1192"/>
      <c r="AN208" s="1192"/>
      <c r="AO208" s="1192"/>
      <c r="AP208" s="1192"/>
      <c r="AQ208" s="1192"/>
      <c r="AR208" s="1393">
        <v>0</v>
      </c>
    </row>
    <row r="209" spans="1:44" s="1750" customFormat="1" ht="17.25" customHeight="1">
      <c r="A209" s="257"/>
      <c r="C209" s="256"/>
      <c r="D209" s="23981"/>
      <c r="E209" s="23970"/>
      <c r="F209" s="23983"/>
      <c r="G209" s="23970"/>
      <c r="H209" s="23972"/>
      <c r="I209" s="23974"/>
      <c r="J209" s="23977"/>
      <c r="K209" s="23968"/>
      <c r="L209" s="1842"/>
      <c r="M209" s="1842"/>
      <c r="N209" s="1842"/>
      <c r="O209" s="1842"/>
      <c r="P209" s="1842"/>
      <c r="Q209" s="1842"/>
      <c r="R209" s="1842"/>
      <c r="S209" s="265"/>
      <c r="T209" s="265"/>
      <c r="U209" s="265"/>
      <c r="V209" s="265"/>
      <c r="W209" s="1843"/>
      <c r="X209" s="1192"/>
      <c r="Y209" s="1192"/>
      <c r="Z209" s="1192"/>
      <c r="AA209" s="1192"/>
      <c r="AB209" s="1192"/>
      <c r="AC209" s="1192"/>
      <c r="AD209" s="1192"/>
      <c r="AE209" s="1192"/>
      <c r="AF209" s="1192"/>
      <c r="AG209" s="1192"/>
      <c r="AH209" s="1192"/>
      <c r="AI209" s="1192"/>
      <c r="AJ209" s="1192"/>
      <c r="AK209" s="1192"/>
      <c r="AL209" s="1192"/>
      <c r="AM209" s="1192"/>
      <c r="AN209" s="1192"/>
      <c r="AO209" s="1192"/>
      <c r="AP209" s="1192"/>
      <c r="AQ209" s="1192"/>
      <c r="AR209" s="1393">
        <v>0</v>
      </c>
    </row>
    <row r="210" spans="1:44" s="1750" customFormat="1" ht="17.25" customHeight="1">
      <c r="A210" s="257"/>
      <c r="C210" s="256"/>
      <c r="D210" s="23981"/>
      <c r="E210" s="23970"/>
      <c r="F210" s="23984"/>
      <c r="G210" s="23970"/>
      <c r="H210" s="1225"/>
      <c r="I210" s="1840"/>
      <c r="J210" s="1840"/>
      <c r="K210" s="1840"/>
      <c r="L210" s="1840"/>
      <c r="M210" s="1840"/>
      <c r="N210" s="1840"/>
      <c r="O210" s="1840"/>
      <c r="P210" s="1840"/>
      <c r="Q210" s="1840"/>
      <c r="R210" s="1840"/>
      <c r="S210" s="1227"/>
      <c r="T210" s="1227"/>
      <c r="U210" s="1227"/>
      <c r="V210" s="1227"/>
      <c r="W210" s="1841"/>
      <c r="X210" s="1192"/>
      <c r="Y210" s="1192"/>
      <c r="Z210" s="1192"/>
      <c r="AA210" s="1192"/>
      <c r="AB210" s="1192"/>
      <c r="AC210" s="1192"/>
      <c r="AD210" s="1192"/>
      <c r="AE210" s="1192"/>
      <c r="AF210" s="1192"/>
      <c r="AG210" s="1192"/>
      <c r="AH210" s="1192"/>
      <c r="AI210" s="1192"/>
      <c r="AJ210" s="1192"/>
      <c r="AK210" s="1192"/>
      <c r="AL210" s="1192"/>
      <c r="AM210" s="1192"/>
      <c r="AN210" s="1192"/>
      <c r="AO210" s="1192"/>
      <c r="AP210" s="1192"/>
      <c r="AQ210" s="1192"/>
      <c r="AR210" s="1393">
        <v>0</v>
      </c>
    </row>
    <row r="211" spans="1:44" s="1750" customFormat="1" ht="11.25" hidden="1" customHeight="1">
      <c r="A211" s="213"/>
      <c r="B211" s="213"/>
      <c r="Y211" s="1185"/>
      <c r="Z211" s="1185"/>
      <c r="AA211" s="1185"/>
      <c r="AB211" s="1185"/>
      <c r="AC211" s="1185"/>
      <c r="AD211" s="1185"/>
      <c r="AE211" s="1185"/>
      <c r="AF211" s="1185"/>
      <c r="AG211" s="1185"/>
      <c r="AH211" s="1185"/>
      <c r="AI211" s="1185"/>
      <c r="AJ211" s="1185"/>
      <c r="AK211" s="1185"/>
      <c r="AL211" s="1185"/>
      <c r="AM211" s="1185"/>
      <c r="AN211" s="1185"/>
      <c r="AO211" s="1185"/>
      <c r="AP211" s="1185"/>
      <c r="AQ211" s="1185"/>
      <c r="AR211" s="1393">
        <v>0</v>
      </c>
    </row>
    <row r="212" spans="1:44" s="1750" customFormat="1" ht="17.25" hidden="1" customHeight="1">
      <c r="A212" s="257"/>
      <c r="C212" s="146"/>
      <c r="D212" s="23980">
        <v>1</v>
      </c>
      <c r="E212" s="23969" t="s">
        <v>493</v>
      </c>
      <c r="F212" s="23982" t="s">
        <v>6</v>
      </c>
      <c r="G212" s="23969"/>
      <c r="H212" s="23971"/>
      <c r="I212" s="23973"/>
      <c r="J212" s="23975"/>
      <c r="K212" s="23967"/>
      <c r="L212" s="23967"/>
      <c r="M212" s="23967"/>
      <c r="N212" s="23978"/>
      <c r="O212" s="23967"/>
      <c r="P212" s="23967"/>
      <c r="Q212" s="23967"/>
      <c r="R212" s="23965"/>
      <c r="S212" s="23967"/>
      <c r="T212" s="1396"/>
      <c r="U212" s="1396"/>
      <c r="V212" s="1398"/>
      <c r="W212" s="1222"/>
      <c r="Y212" s="1193"/>
      <c r="Z212" s="1193"/>
      <c r="AA212" s="1193"/>
      <c r="AB212" s="1193"/>
      <c r="AC212" s="1193" t="s">
        <v>494</v>
      </c>
      <c r="AD212" s="1193" t="s">
        <v>495</v>
      </c>
      <c r="AE212" s="1193" t="s">
        <v>496</v>
      </c>
      <c r="AF212" s="1193" t="s">
        <v>497</v>
      </c>
      <c r="AG212" s="1193"/>
      <c r="AH212" s="1193" t="str">
        <f>IF($E$212=0,"",$E$212)</f>
        <v>Тариф на водоотведение</v>
      </c>
      <c r="AI212" s="1193" t="str">
        <f>IF($G$212=0,"",$G$212)</f>
        <v/>
      </c>
      <c r="AJ212" s="1193" t="str">
        <f>IF($J$212=0,"",$J$212)</f>
        <v/>
      </c>
      <c r="AK212" s="1193" t="str">
        <f>IF($K$212="нет","без дифференциации",IF($N$212=0,"",$N$212))</f>
        <v/>
      </c>
      <c r="AL212" s="1193" t="str">
        <f>IF($O$212="нет","без дифференциации",IF($R$212=0,"",$R$212))</f>
        <v/>
      </c>
      <c r="AM212" s="1193" t="str">
        <f>IF($S$212="нет","без дифференциации",IF($V$212=0,"",$V$212))</f>
        <v/>
      </c>
      <c r="AN212" s="1193">
        <f>$I$212</f>
        <v>0</v>
      </c>
      <c r="AO212" s="1193" t="str">
        <f>$I$212&amp;"."&amp;$M$212</f>
        <v>.</v>
      </c>
      <c r="AP212" s="1193" t="str">
        <f>$I$212&amp;"."&amp;$M$212&amp;"."&amp;$Q$212</f>
        <v>..</v>
      </c>
      <c r="AQ212" s="1193" t="str">
        <f>$I$212&amp;"."&amp;$M$212&amp;"."&amp;$Q$212&amp;"."&amp;$U$212</f>
        <v>...</v>
      </c>
      <c r="AR212" s="1393">
        <v>0</v>
      </c>
    </row>
    <row r="213" spans="1:44" s="1750" customFormat="1" ht="17.25" hidden="1" customHeight="1">
      <c r="A213" s="257"/>
      <c r="C213" s="256"/>
      <c r="D213" s="23980"/>
      <c r="E213" s="23969"/>
      <c r="F213" s="23983"/>
      <c r="G213" s="23969"/>
      <c r="H213" s="23972"/>
      <c r="I213" s="23974"/>
      <c r="J213" s="23976"/>
      <c r="K213" s="23968"/>
      <c r="L213" s="23968"/>
      <c r="M213" s="23968"/>
      <c r="N213" s="23979"/>
      <c r="O213" s="23968"/>
      <c r="P213" s="23968"/>
      <c r="Q213" s="23968"/>
      <c r="R213" s="23966"/>
      <c r="S213" s="23968"/>
      <c r="T213" s="1223"/>
      <c r="U213" s="1223"/>
      <c r="V213" s="1223"/>
      <c r="W213" s="1224"/>
      <c r="Y213" s="1185"/>
      <c r="Z213" s="1185"/>
      <c r="AA213" s="1185"/>
      <c r="AB213" s="1185"/>
      <c r="AC213" s="1185"/>
      <c r="AD213" s="1185"/>
      <c r="AE213" s="1185"/>
      <c r="AF213" s="1185"/>
      <c r="AG213" s="1185"/>
      <c r="AH213" s="1185"/>
      <c r="AI213" s="1185"/>
      <c r="AJ213" s="1185"/>
      <c r="AK213" s="1185"/>
      <c r="AL213" s="1185"/>
      <c r="AM213" s="1185"/>
      <c r="AN213" s="1185"/>
      <c r="AO213" s="1185"/>
      <c r="AP213" s="1185"/>
      <c r="AQ213" s="1185"/>
      <c r="AR213" s="1393">
        <v>0</v>
      </c>
    </row>
    <row r="214" spans="1:44" s="1750" customFormat="1" ht="17.25" hidden="1" customHeight="1">
      <c r="A214" s="257"/>
      <c r="C214" s="146"/>
      <c r="D214" s="23980"/>
      <c r="E214" s="23969"/>
      <c r="F214" s="23983"/>
      <c r="G214" s="23969"/>
      <c r="H214" s="23972"/>
      <c r="I214" s="23974"/>
      <c r="J214" s="23977"/>
      <c r="K214" s="23968"/>
      <c r="L214" s="23968"/>
      <c r="M214" s="23968"/>
      <c r="N214" s="23966"/>
      <c r="O214" s="23968"/>
      <c r="P214" s="1397"/>
      <c r="Q214" s="1223"/>
      <c r="R214" s="1223"/>
      <c r="S214" s="265"/>
      <c r="T214" s="265"/>
      <c r="U214" s="265"/>
      <c r="V214" s="265"/>
      <c r="W214" s="1224"/>
      <c r="Y214" s="1193"/>
      <c r="Z214" s="1193"/>
      <c r="AA214" s="1193"/>
      <c r="AB214" s="1193"/>
      <c r="AC214" s="1193"/>
      <c r="AD214" s="1193"/>
      <c r="AE214" s="1193"/>
      <c r="AF214" s="1193"/>
      <c r="AG214" s="1193"/>
      <c r="AH214" s="1193"/>
      <c r="AI214" s="1193"/>
      <c r="AJ214" s="1193"/>
      <c r="AK214" s="1193"/>
      <c r="AL214" s="1193"/>
      <c r="AM214" s="1193"/>
      <c r="AN214" s="1193"/>
      <c r="AO214" s="1193"/>
      <c r="AP214" s="1193"/>
      <c r="AQ214" s="1193"/>
      <c r="AR214" s="1393">
        <v>0</v>
      </c>
    </row>
    <row r="215" spans="1:44" s="1750" customFormat="1" ht="17.25" hidden="1" customHeight="1">
      <c r="A215" s="257"/>
      <c r="C215" s="256"/>
      <c r="D215" s="23980"/>
      <c r="E215" s="23969"/>
      <c r="F215" s="23983"/>
      <c r="G215" s="23969"/>
      <c r="H215" s="23972"/>
      <c r="I215" s="23974"/>
      <c r="J215" s="23977"/>
      <c r="K215" s="23968"/>
      <c r="L215" s="1223"/>
      <c r="M215" s="1223"/>
      <c r="N215" s="1223"/>
      <c r="O215" s="1223"/>
      <c r="P215" s="1223"/>
      <c r="Q215" s="1223"/>
      <c r="R215" s="1223"/>
      <c r="S215" s="265"/>
      <c r="T215" s="265"/>
      <c r="U215" s="265"/>
      <c r="V215" s="265"/>
      <c r="W215" s="1224"/>
      <c r="Y215" s="1185"/>
      <c r="Z215" s="1185"/>
      <c r="AA215" s="1185"/>
      <c r="AB215" s="1185"/>
      <c r="AC215" s="1185"/>
      <c r="AD215" s="1185"/>
      <c r="AE215" s="1185"/>
      <c r="AF215" s="1185"/>
      <c r="AG215" s="1185"/>
      <c r="AH215" s="1185"/>
      <c r="AI215" s="1185"/>
      <c r="AJ215" s="1185"/>
      <c r="AK215" s="1185"/>
      <c r="AL215" s="1185"/>
      <c r="AM215" s="1185"/>
      <c r="AN215" s="1185"/>
      <c r="AO215" s="1185"/>
      <c r="AP215" s="1185"/>
      <c r="AQ215" s="1185"/>
      <c r="AR215" s="1393">
        <v>0</v>
      </c>
    </row>
    <row r="216" spans="1:44" s="1750" customFormat="1" ht="17.25" hidden="1" customHeight="1">
      <c r="A216" s="257"/>
      <c r="C216" s="256"/>
      <c r="D216" s="23981"/>
      <c r="E216" s="23970"/>
      <c r="F216" s="23984"/>
      <c r="G216" s="23970"/>
      <c r="H216" s="1225"/>
      <c r="I216" s="1226"/>
      <c r="J216" s="1226"/>
      <c r="K216" s="1226"/>
      <c r="L216" s="1226"/>
      <c r="M216" s="1226"/>
      <c r="N216" s="1226"/>
      <c r="O216" s="1226"/>
      <c r="P216" s="1226"/>
      <c r="Q216" s="1226"/>
      <c r="R216" s="1226"/>
      <c r="S216" s="1227"/>
      <c r="T216" s="1227"/>
      <c r="U216" s="1227"/>
      <c r="V216" s="1227"/>
      <c r="W216" s="1228"/>
      <c r="Y216" s="1185"/>
      <c r="Z216" s="1185"/>
      <c r="AA216" s="1185"/>
      <c r="AB216" s="1185"/>
      <c r="AC216" s="1185"/>
      <c r="AD216" s="1185"/>
      <c r="AE216" s="1185"/>
      <c r="AF216" s="1185"/>
      <c r="AG216" s="1185"/>
      <c r="AH216" s="1185"/>
      <c r="AI216" s="1185"/>
      <c r="AJ216" s="1185"/>
      <c r="AK216" s="1185"/>
      <c r="AL216" s="1185"/>
      <c r="AM216" s="1185"/>
      <c r="AN216" s="1185"/>
      <c r="AO216" s="1185"/>
      <c r="AP216" s="1185"/>
      <c r="AQ216" s="1185"/>
      <c r="AR216" s="1393">
        <v>0</v>
      </c>
    </row>
    <row r="217" spans="1:44" s="1750" customFormat="1" ht="17.25" hidden="1" customHeight="1">
      <c r="A217" s="257"/>
      <c r="C217" s="146"/>
      <c r="D217" s="23980">
        <v>2</v>
      </c>
      <c r="E217" s="23969" t="s">
        <v>498</v>
      </c>
      <c r="F217" s="23982" t="s">
        <v>6</v>
      </c>
      <c r="G217" s="23969"/>
      <c r="H217" s="23971"/>
      <c r="I217" s="23973"/>
      <c r="J217" s="23975"/>
      <c r="K217" s="23967"/>
      <c r="L217" s="23967"/>
      <c r="M217" s="23967"/>
      <c r="N217" s="23978"/>
      <c r="O217" s="23967"/>
      <c r="P217" s="23967"/>
      <c r="Q217" s="23967"/>
      <c r="R217" s="23965"/>
      <c r="S217" s="23967"/>
      <c r="T217" s="1396"/>
      <c r="U217" s="1396"/>
      <c r="V217" s="1398"/>
      <c r="W217" s="1222"/>
      <c r="X217" s="1193"/>
      <c r="Y217" s="1193"/>
      <c r="Z217" s="1193"/>
      <c r="AA217" s="1193"/>
      <c r="AB217" s="1193"/>
      <c r="AC217" s="1193" t="s">
        <v>499</v>
      </c>
      <c r="AD217" s="1193" t="s">
        <v>500</v>
      </c>
      <c r="AE217" s="1193" t="s">
        <v>501</v>
      </c>
      <c r="AF217" s="1193" t="s">
        <v>502</v>
      </c>
      <c r="AG217" s="1193"/>
      <c r="AH217" s="1193" t="str">
        <f>IF($E$217=0,"",$E$217)</f>
        <v>Тариф на транспортировку сточных вод</v>
      </c>
      <c r="AI217" s="1193" t="str">
        <f>IF($G$217=0,"",$G$217)</f>
        <v/>
      </c>
      <c r="AJ217" s="1193" t="str">
        <f>IF($J$217=0,"",$J$217)</f>
        <v/>
      </c>
      <c r="AK217" s="1193" t="str">
        <f>IF($K$217="нет","без дифференциации",IF($N$217=0,"",$N$217))</f>
        <v/>
      </c>
      <c r="AL217" s="1193" t="str">
        <f>IF($O$217="нет","без дифференциации",IF($R$217=0,"",$R$217))</f>
        <v/>
      </c>
      <c r="AM217" s="1193" t="str">
        <f>IF($S$217="нет","без дифференциации",IF($V$217=0,"",$V$217))</f>
        <v/>
      </c>
      <c r="AN217" s="1670">
        <f>$I$217</f>
        <v>0</v>
      </c>
      <c r="AO217" s="1193" t="str">
        <f>$I$217&amp;"."&amp;$M$217</f>
        <v>.</v>
      </c>
      <c r="AP217" s="1185" t="str">
        <f>$I$217&amp;"."&amp;$M$217&amp;"."&amp;$Q$217</f>
        <v>..</v>
      </c>
      <c r="AQ217" s="1185" t="str">
        <f>$I$217&amp;"."&amp;$M$217&amp;"."&amp;$Q$217&amp;"."&amp;$U$217</f>
        <v>...</v>
      </c>
      <c r="AR217" s="1393">
        <v>0</v>
      </c>
    </row>
    <row r="218" spans="1:44" s="1750" customFormat="1" ht="17.25" hidden="1" customHeight="1">
      <c r="A218" s="257"/>
      <c r="C218" s="256"/>
      <c r="D218" s="23980"/>
      <c r="E218" s="23969"/>
      <c r="F218" s="23983"/>
      <c r="G218" s="23969"/>
      <c r="H218" s="23972"/>
      <c r="I218" s="23974"/>
      <c r="J218" s="23976"/>
      <c r="K218" s="23968"/>
      <c r="L218" s="23968"/>
      <c r="M218" s="23968"/>
      <c r="N218" s="23979"/>
      <c r="O218" s="23968"/>
      <c r="P218" s="23968"/>
      <c r="Q218" s="23968"/>
      <c r="R218" s="23966"/>
      <c r="S218" s="23968"/>
      <c r="T218" s="1223"/>
      <c r="U218" s="1223"/>
      <c r="V218" s="1223"/>
      <c r="W218" s="1224"/>
      <c r="X218" s="1185"/>
      <c r="Y218" s="1185"/>
      <c r="Z218" s="1185"/>
      <c r="AA218" s="1185"/>
      <c r="AB218" s="1185"/>
      <c r="AC218" s="1185"/>
      <c r="AD218" s="1185"/>
      <c r="AE218" s="1185"/>
      <c r="AF218" s="1185"/>
      <c r="AG218" s="1185"/>
      <c r="AH218" s="1185"/>
      <c r="AI218" s="1185"/>
      <c r="AJ218" s="1185"/>
      <c r="AK218" s="1185"/>
      <c r="AL218" s="1185"/>
      <c r="AM218" s="1185"/>
      <c r="AN218" s="1185"/>
      <c r="AO218" s="1185"/>
      <c r="AP218" s="1185"/>
      <c r="AQ218" s="1185"/>
      <c r="AR218" s="1393">
        <v>0</v>
      </c>
    </row>
    <row r="219" spans="1:44" s="1750" customFormat="1" ht="17.25" hidden="1" customHeight="1">
      <c r="A219" s="257"/>
      <c r="C219" s="256"/>
      <c r="D219" s="23981"/>
      <c r="E219" s="23970"/>
      <c r="F219" s="23983"/>
      <c r="G219" s="23970"/>
      <c r="H219" s="23972"/>
      <c r="I219" s="23974"/>
      <c r="J219" s="23977"/>
      <c r="K219" s="23968"/>
      <c r="L219" s="23968"/>
      <c r="M219" s="23968"/>
      <c r="N219" s="23966"/>
      <c r="O219" s="23968"/>
      <c r="P219" s="1397"/>
      <c r="Q219" s="1223"/>
      <c r="R219" s="1223"/>
      <c r="S219" s="265"/>
      <c r="T219" s="265"/>
      <c r="U219" s="265"/>
      <c r="V219" s="265"/>
      <c r="W219" s="1224"/>
      <c r="X219" s="1185"/>
      <c r="Y219" s="1185"/>
      <c r="Z219" s="1185"/>
      <c r="AA219" s="1185"/>
      <c r="AB219" s="1185"/>
      <c r="AC219" s="1185"/>
      <c r="AD219" s="1185"/>
      <c r="AE219" s="1185"/>
      <c r="AF219" s="1185"/>
      <c r="AG219" s="1185"/>
      <c r="AH219" s="1185"/>
      <c r="AI219" s="1185"/>
      <c r="AJ219" s="1185"/>
      <c r="AK219" s="1185"/>
      <c r="AL219" s="1185"/>
      <c r="AM219" s="1185"/>
      <c r="AN219" s="1185"/>
      <c r="AO219" s="1185"/>
      <c r="AP219" s="1185"/>
      <c r="AQ219" s="1185"/>
      <c r="AR219" s="1393">
        <v>0</v>
      </c>
    </row>
    <row r="220" spans="1:44" s="1750" customFormat="1" ht="17.25" hidden="1" customHeight="1">
      <c r="A220" s="257"/>
      <c r="C220" s="256"/>
      <c r="D220" s="23981"/>
      <c r="E220" s="23970"/>
      <c r="F220" s="23983"/>
      <c r="G220" s="23970"/>
      <c r="H220" s="23972"/>
      <c r="I220" s="23974"/>
      <c r="J220" s="23977"/>
      <c r="K220" s="23968"/>
      <c r="L220" s="1223"/>
      <c r="M220" s="1223"/>
      <c r="N220" s="1223"/>
      <c r="O220" s="1223"/>
      <c r="P220" s="1223"/>
      <c r="Q220" s="1223"/>
      <c r="R220" s="1223"/>
      <c r="S220" s="265"/>
      <c r="T220" s="265"/>
      <c r="U220" s="265"/>
      <c r="V220" s="265"/>
      <c r="W220" s="1224"/>
      <c r="X220" s="1185"/>
      <c r="Y220" s="1185"/>
      <c r="Z220" s="1185"/>
      <c r="AA220" s="1185"/>
      <c r="AB220" s="1185"/>
      <c r="AC220" s="1185"/>
      <c r="AD220" s="1185"/>
      <c r="AE220" s="1185"/>
      <c r="AF220" s="1185"/>
      <c r="AG220" s="1185"/>
      <c r="AH220" s="1185"/>
      <c r="AI220" s="1185"/>
      <c r="AJ220" s="1185"/>
      <c r="AK220" s="1185"/>
      <c r="AL220" s="1185"/>
      <c r="AM220" s="1185"/>
      <c r="AN220" s="1185"/>
      <c r="AO220" s="1185"/>
      <c r="AP220" s="1185"/>
      <c r="AQ220" s="1185"/>
      <c r="AR220" s="1393">
        <v>0</v>
      </c>
    </row>
    <row r="221" spans="1:44" s="1750" customFormat="1" ht="17.25" hidden="1" customHeight="1">
      <c r="A221" s="257"/>
      <c r="C221" s="256"/>
      <c r="D221" s="23981"/>
      <c r="E221" s="23970"/>
      <c r="F221" s="23984"/>
      <c r="G221" s="23970"/>
      <c r="H221" s="1225"/>
      <c r="I221" s="1226"/>
      <c r="J221" s="1226"/>
      <c r="K221" s="1226"/>
      <c r="L221" s="1226"/>
      <c r="M221" s="1226"/>
      <c r="N221" s="1226"/>
      <c r="O221" s="1226"/>
      <c r="P221" s="1226"/>
      <c r="Q221" s="1226"/>
      <c r="R221" s="1226"/>
      <c r="S221" s="1227"/>
      <c r="T221" s="1227"/>
      <c r="U221" s="1227"/>
      <c r="V221" s="1227"/>
      <c r="W221" s="1228"/>
      <c r="X221" s="1185"/>
      <c r="Y221" s="1185"/>
      <c r="Z221" s="1185"/>
      <c r="AA221" s="1185"/>
      <c r="AB221" s="1185"/>
      <c r="AC221" s="1185"/>
      <c r="AD221" s="1185"/>
      <c r="AE221" s="1185"/>
      <c r="AF221" s="1185"/>
      <c r="AG221" s="1185"/>
      <c r="AH221" s="1185"/>
      <c r="AI221" s="1185"/>
      <c r="AJ221" s="1185"/>
      <c r="AK221" s="1185"/>
      <c r="AL221" s="1185"/>
      <c r="AM221" s="1185"/>
      <c r="AN221" s="1185"/>
      <c r="AO221" s="1185"/>
      <c r="AP221" s="1185"/>
      <c r="AQ221" s="1185"/>
      <c r="AR221" s="1393">
        <v>0</v>
      </c>
    </row>
    <row r="222" spans="1:44" s="1750" customFormat="1" ht="17.25" hidden="1" customHeight="1">
      <c r="A222" s="257"/>
      <c r="C222" s="146"/>
      <c r="D222" s="23980">
        <v>3</v>
      </c>
      <c r="E222" s="23969" t="s">
        <v>503</v>
      </c>
      <c r="F222" s="23982" t="s">
        <v>6</v>
      </c>
      <c r="G222" s="23969"/>
      <c r="H222" s="23971"/>
      <c r="I222" s="23973"/>
      <c r="J222" s="23975"/>
      <c r="K222" s="23967"/>
      <c r="L222" s="23967"/>
      <c r="M222" s="23967"/>
      <c r="N222" s="23978"/>
      <c r="O222" s="23967"/>
      <c r="P222" s="23967"/>
      <c r="Q222" s="23967"/>
      <c r="R222" s="23965"/>
      <c r="S222" s="23967"/>
      <c r="T222" s="1837"/>
      <c r="U222" s="1837"/>
      <c r="V222" s="1839"/>
      <c r="W222" s="1222"/>
      <c r="X222" s="1193"/>
      <c r="Y222" s="1193"/>
      <c r="Z222" s="1193"/>
      <c r="AA222" s="1193"/>
      <c r="AB222" s="1193"/>
      <c r="AC222" s="1193" t="s">
        <v>504</v>
      </c>
      <c r="AD222" s="1193" t="s">
        <v>505</v>
      </c>
      <c r="AE222" s="1193" t="s">
        <v>506</v>
      </c>
      <c r="AF222" s="1193" t="s">
        <v>507</v>
      </c>
      <c r="AG222" s="1193"/>
      <c r="AH222" s="1193" t="str">
        <f>IF($E$222=0,"",$E$222)</f>
        <v>Тариф на подключение (технологическое присоединение) к централизованной системе водоотведения</v>
      </c>
      <c r="AI222" s="1193" t="str">
        <f>IF($G$222=0,"",$G$222)</f>
        <v/>
      </c>
      <c r="AJ222" s="1193" t="str">
        <f>IF($J$222=0,"",$J$222)</f>
        <v/>
      </c>
      <c r="AK222" s="1193" t="str">
        <f>IF($K$222="нет","без дифференциации",IF($N$222=0,"",$N$222))</f>
        <v/>
      </c>
      <c r="AL222" s="1193" t="str">
        <f>IF($O$222="нет","без дифференциации",IF($R$222=0,"",$R$222))</f>
        <v/>
      </c>
      <c r="AM222" s="1193" t="str">
        <f>IF($S$222="нет","без дифференциации",IF($V$222=0,"",$V$222))</f>
        <v/>
      </c>
      <c r="AN222" s="1670">
        <f>$I$222</f>
        <v>0</v>
      </c>
      <c r="AO222" s="1193" t="str">
        <f>$I$222&amp;"."&amp;$M$222</f>
        <v>.</v>
      </c>
      <c r="AP222" s="1192" t="str">
        <f>$I$222&amp;"."&amp;$M$222&amp;"."&amp;$Q$222</f>
        <v>..</v>
      </c>
      <c r="AQ222" s="1192" t="str">
        <f>$I$222&amp;"."&amp;$M$222&amp;"."&amp;$Q$222&amp;"."&amp;$U$222</f>
        <v>...</v>
      </c>
      <c r="AR222" s="1393">
        <v>0</v>
      </c>
    </row>
    <row r="223" spans="1:44" s="1750" customFormat="1" ht="17.25" hidden="1" customHeight="1">
      <c r="A223" s="257"/>
      <c r="C223" s="256"/>
      <c r="D223" s="23980"/>
      <c r="E223" s="23969"/>
      <c r="F223" s="23983"/>
      <c r="G223" s="23969"/>
      <c r="H223" s="23972"/>
      <c r="I223" s="23974"/>
      <c r="J223" s="23976"/>
      <c r="K223" s="23968"/>
      <c r="L223" s="23968"/>
      <c r="M223" s="23968"/>
      <c r="N223" s="23979"/>
      <c r="O223" s="23968"/>
      <c r="P223" s="23968"/>
      <c r="Q223" s="23968"/>
      <c r="R223" s="23966"/>
      <c r="S223" s="23968"/>
      <c r="T223" s="1842"/>
      <c r="U223" s="1842"/>
      <c r="V223" s="1842"/>
      <c r="W223" s="1843"/>
      <c r="X223" s="1192"/>
      <c r="Y223" s="1192"/>
      <c r="Z223" s="1192"/>
      <c r="AA223" s="1192"/>
      <c r="AB223" s="1192"/>
      <c r="AC223" s="1192"/>
      <c r="AD223" s="1192"/>
      <c r="AE223" s="1192"/>
      <c r="AF223" s="1192"/>
      <c r="AG223" s="1192"/>
      <c r="AH223" s="1192"/>
      <c r="AI223" s="1192"/>
      <c r="AJ223" s="1192"/>
      <c r="AK223" s="1192"/>
      <c r="AL223" s="1192"/>
      <c r="AM223" s="1192"/>
      <c r="AN223" s="1192"/>
      <c r="AO223" s="1192"/>
      <c r="AP223" s="1192"/>
      <c r="AQ223" s="1192"/>
      <c r="AR223" s="1393">
        <v>0</v>
      </c>
    </row>
    <row r="224" spans="1:44" s="1750" customFormat="1" ht="17.25" hidden="1" customHeight="1">
      <c r="A224" s="257"/>
      <c r="C224" s="256"/>
      <c r="D224" s="23981"/>
      <c r="E224" s="23970"/>
      <c r="F224" s="23983"/>
      <c r="G224" s="23970"/>
      <c r="H224" s="23972"/>
      <c r="I224" s="23974"/>
      <c r="J224" s="23977"/>
      <c r="K224" s="23968"/>
      <c r="L224" s="23968"/>
      <c r="M224" s="23968"/>
      <c r="N224" s="23966"/>
      <c r="O224" s="23968"/>
      <c r="P224" s="1838"/>
      <c r="Q224" s="1842"/>
      <c r="R224" s="1842"/>
      <c r="S224" s="265"/>
      <c r="T224" s="265"/>
      <c r="U224" s="265"/>
      <c r="V224" s="265"/>
      <c r="W224" s="1843"/>
      <c r="X224" s="1192"/>
      <c r="Y224" s="1192"/>
      <c r="Z224" s="1192"/>
      <c r="AA224" s="1192"/>
      <c r="AB224" s="1192"/>
      <c r="AC224" s="1192"/>
      <c r="AD224" s="1192"/>
      <c r="AE224" s="1192"/>
      <c r="AF224" s="1192"/>
      <c r="AG224" s="1192"/>
      <c r="AH224" s="1192"/>
      <c r="AI224" s="1192"/>
      <c r="AJ224" s="1192"/>
      <c r="AK224" s="1192"/>
      <c r="AL224" s="1192"/>
      <c r="AM224" s="1192"/>
      <c r="AN224" s="1192"/>
      <c r="AO224" s="1192"/>
      <c r="AP224" s="1192"/>
      <c r="AQ224" s="1192"/>
      <c r="AR224" s="1393">
        <v>0</v>
      </c>
    </row>
    <row r="225" spans="1:44" s="1750" customFormat="1" ht="17.25" hidden="1" customHeight="1">
      <c r="A225" s="257"/>
      <c r="C225" s="256"/>
      <c r="D225" s="23981"/>
      <c r="E225" s="23970"/>
      <c r="F225" s="23983"/>
      <c r="G225" s="23970"/>
      <c r="H225" s="23972"/>
      <c r="I225" s="23974"/>
      <c r="J225" s="23977"/>
      <c r="K225" s="23968"/>
      <c r="L225" s="1842"/>
      <c r="M225" s="1842"/>
      <c r="N225" s="1842"/>
      <c r="O225" s="1842"/>
      <c r="P225" s="1842"/>
      <c r="Q225" s="1842"/>
      <c r="R225" s="1842"/>
      <c r="S225" s="265"/>
      <c r="T225" s="265"/>
      <c r="U225" s="265"/>
      <c r="V225" s="265"/>
      <c r="W225" s="1843"/>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393">
        <v>0</v>
      </c>
    </row>
    <row r="226" spans="1:44" s="1750" customFormat="1" ht="17.25" hidden="1" customHeight="1">
      <c r="A226" s="257"/>
      <c r="C226" s="256"/>
      <c r="D226" s="23981"/>
      <c r="E226" s="23970"/>
      <c r="F226" s="23984"/>
      <c r="G226" s="23970"/>
      <c r="H226" s="1225"/>
      <c r="I226" s="1840"/>
      <c r="J226" s="1840"/>
      <c r="K226" s="1840"/>
      <c r="L226" s="1840"/>
      <c r="M226" s="1840"/>
      <c r="N226" s="1840"/>
      <c r="O226" s="1840"/>
      <c r="P226" s="1840"/>
      <c r="Q226" s="1840"/>
      <c r="R226" s="1840"/>
      <c r="S226" s="1227"/>
      <c r="T226" s="1227"/>
      <c r="U226" s="1227"/>
      <c r="V226" s="1227"/>
      <c r="W226" s="1841"/>
      <c r="X226" s="1192"/>
      <c r="Y226" s="1192"/>
      <c r="Z226" s="1192"/>
      <c r="AA226" s="1192"/>
      <c r="AB226" s="1192"/>
      <c r="AC226" s="1192"/>
      <c r="AD226" s="1192"/>
      <c r="AE226" s="1192"/>
      <c r="AF226" s="1192"/>
      <c r="AG226" s="1192"/>
      <c r="AH226" s="1192"/>
      <c r="AI226" s="1192"/>
      <c r="AJ226" s="1192"/>
      <c r="AK226" s="1192"/>
      <c r="AL226" s="1192"/>
      <c r="AM226" s="1192"/>
      <c r="AN226" s="1192"/>
      <c r="AO226" s="1192"/>
      <c r="AP226" s="1192"/>
      <c r="AQ226" s="1192"/>
      <c r="AR226" s="1393">
        <v>0</v>
      </c>
    </row>
    <row r="227" spans="1:44" ht="11.45" customHeight="1">
      <c r="AR227" s="43">
        <v>11</v>
      </c>
    </row>
    <row r="228" spans="1:44" ht="11.45" customHeight="1">
      <c r="AR228" s="43">
        <v>11</v>
      </c>
    </row>
    <row r="229" spans="1:44" ht="11.45" customHeight="1">
      <c r="AR229" s="43">
        <v>11</v>
      </c>
    </row>
    <row r="230" spans="1:44" ht="11.45" customHeight="1">
      <c r="E230" s="1276"/>
      <c r="AR230" s="43">
        <v>11</v>
      </c>
    </row>
    <row r="231" spans="1:44" ht="11.45" customHeight="1">
      <c r="E231" s="1276"/>
      <c r="AR231" s="43">
        <v>11</v>
      </c>
    </row>
    <row r="232" spans="1:44" ht="11.45" customHeight="1">
      <c r="E232" s="1276"/>
      <c r="AR232" s="43">
        <v>11</v>
      </c>
    </row>
    <row r="233" spans="1:44" ht="11.45" customHeight="1">
      <c r="E233" s="1276"/>
      <c r="AR233" s="43">
        <v>11</v>
      </c>
    </row>
    <row r="234" spans="1:44" ht="11.45" customHeight="1">
      <c r="E234" s="1276"/>
      <c r="AR234" s="43">
        <v>11</v>
      </c>
    </row>
    <row r="235" spans="1:44" ht="11.45" customHeight="1">
      <c r="E235" s="1276"/>
      <c r="AR235" s="43">
        <v>11</v>
      </c>
    </row>
    <row r="236" spans="1:44" ht="11.45" customHeight="1">
      <c r="E236" s="1276"/>
      <c r="AR236" s="43">
        <v>11</v>
      </c>
    </row>
    <row r="237" spans="1:44" ht="11.25" hidden="1" customHeight="1">
      <c r="A237" s="90" t="s">
        <v>73</v>
      </c>
      <c r="B237" s="90">
        <v>0</v>
      </c>
      <c r="C237" s="43">
        <v>3</v>
      </c>
      <c r="D237" s="43">
        <v>6</v>
      </c>
      <c r="E237" s="43">
        <v>42</v>
      </c>
      <c r="F237" s="1209">
        <v>14</v>
      </c>
      <c r="G237" s="43">
        <v>42</v>
      </c>
      <c r="H237" s="43">
        <v>3</v>
      </c>
      <c r="I237" s="43">
        <v>5</v>
      </c>
      <c r="J237" s="43">
        <v>47</v>
      </c>
      <c r="K237" s="43">
        <v>3</v>
      </c>
      <c r="L237" s="43">
        <v>3</v>
      </c>
      <c r="M237" s="43">
        <v>5</v>
      </c>
      <c r="N237" s="43">
        <v>28</v>
      </c>
      <c r="O237" s="43">
        <v>3</v>
      </c>
      <c r="P237" s="43">
        <v>3</v>
      </c>
      <c r="Q237" s="43">
        <v>5</v>
      </c>
      <c r="R237" s="43">
        <v>34</v>
      </c>
      <c r="S237" s="218">
        <v>0</v>
      </c>
      <c r="T237" s="218">
        <v>0</v>
      </c>
      <c r="U237" s="218">
        <v>0</v>
      </c>
      <c r="V237" s="218">
        <v>0</v>
      </c>
      <c r="W237" s="43">
        <v>30</v>
      </c>
      <c r="X237" s="43">
        <v>3</v>
      </c>
      <c r="Y237" s="1185">
        <v>0</v>
      </c>
      <c r="Z237" s="1185">
        <v>0</v>
      </c>
      <c r="AA237" s="1185">
        <v>0</v>
      </c>
      <c r="AB237" s="1185">
        <v>0</v>
      </c>
      <c r="AC237" s="1185">
        <v>0</v>
      </c>
      <c r="AD237" s="1185">
        <v>0</v>
      </c>
      <c r="AE237" s="1185">
        <v>0</v>
      </c>
      <c r="AF237" s="1185">
        <v>0</v>
      </c>
      <c r="AG237" s="1185">
        <v>0</v>
      </c>
      <c r="AH237" s="1185">
        <v>0</v>
      </c>
      <c r="AI237" s="1185">
        <v>0</v>
      </c>
      <c r="AJ237" s="1185">
        <v>0</v>
      </c>
      <c r="AK237" s="1185">
        <v>0</v>
      </c>
      <c r="AL237" s="1185">
        <v>0</v>
      </c>
      <c r="AM237" s="1185">
        <v>0</v>
      </c>
      <c r="AN237" s="1185">
        <v>0</v>
      </c>
      <c r="AO237" s="1185">
        <v>0</v>
      </c>
      <c r="AP237" s="1185">
        <v>0</v>
      </c>
      <c r="AQ237" s="1185">
        <v>0</v>
      </c>
      <c r="AR237" s="43">
        <v>11</v>
      </c>
    </row>
  </sheetData>
  <sheetProtection formatColumns="0" formatRows="0" insertRows="0" deleteColumns="0" deleteRows="0" sort="0" autoFilter="0"/>
  <mergeCells count="642">
    <mergeCell ref="P115:P116"/>
    <mergeCell ref="Q115:Q116"/>
    <mergeCell ref="R115:R116"/>
    <mergeCell ref="S115:S116"/>
    <mergeCell ref="W115:W116"/>
    <mergeCell ref="P196:P197"/>
    <mergeCell ref="Q196:Q197"/>
    <mergeCell ref="R196:R197"/>
    <mergeCell ref="S196:S197"/>
    <mergeCell ref="W196:W197"/>
    <mergeCell ref="L194:L198"/>
    <mergeCell ref="M194:M198"/>
    <mergeCell ref="N194:N198"/>
    <mergeCell ref="O194:O198"/>
    <mergeCell ref="P194:P195"/>
    <mergeCell ref="Q194:Q195"/>
    <mergeCell ref="R194:R195"/>
    <mergeCell ref="S194:S195"/>
    <mergeCell ref="W194:W195"/>
    <mergeCell ref="L191:L193"/>
    <mergeCell ref="M191:M193"/>
    <mergeCell ref="N191:N193"/>
    <mergeCell ref="O191:O193"/>
    <mergeCell ref="P191:P192"/>
    <mergeCell ref="Q191:Q192"/>
    <mergeCell ref="R191:R192"/>
    <mergeCell ref="S191:S192"/>
    <mergeCell ref="W191:W192"/>
    <mergeCell ref="L188:L190"/>
    <mergeCell ref="M188:M190"/>
    <mergeCell ref="N188:N190"/>
    <mergeCell ref="O188:O190"/>
    <mergeCell ref="P188:P189"/>
    <mergeCell ref="Q188:Q189"/>
    <mergeCell ref="R188:R189"/>
    <mergeCell ref="S188:S189"/>
    <mergeCell ref="W188:W189"/>
    <mergeCell ref="L185:L187"/>
    <mergeCell ref="M185:M187"/>
    <mergeCell ref="N185:N187"/>
    <mergeCell ref="O185:O187"/>
    <mergeCell ref="P185:P186"/>
    <mergeCell ref="Q185:Q186"/>
    <mergeCell ref="R185:R186"/>
    <mergeCell ref="S185:S186"/>
    <mergeCell ref="W185:W186"/>
    <mergeCell ref="S128:S129"/>
    <mergeCell ref="W128:W129"/>
    <mergeCell ref="P136:P137"/>
    <mergeCell ref="Q136:Q137"/>
    <mergeCell ref="R136:R137"/>
    <mergeCell ref="S136:S137"/>
    <mergeCell ref="W136:W137"/>
    <mergeCell ref="P138:P139"/>
    <mergeCell ref="Q138:Q139"/>
    <mergeCell ref="R138:R139"/>
    <mergeCell ref="S138:S139"/>
    <mergeCell ref="W138:W139"/>
    <mergeCell ref="P111:P112"/>
    <mergeCell ref="Q111:Q112"/>
    <mergeCell ref="R111:R112"/>
    <mergeCell ref="S111:S112"/>
    <mergeCell ref="W111:W112"/>
    <mergeCell ref="P113:P114"/>
    <mergeCell ref="Q113:Q114"/>
    <mergeCell ref="R113:R114"/>
    <mergeCell ref="S113:S114"/>
    <mergeCell ref="W113:W114"/>
    <mergeCell ref="P107:P108"/>
    <mergeCell ref="Q107:Q108"/>
    <mergeCell ref="R107:R108"/>
    <mergeCell ref="S107:S108"/>
    <mergeCell ref="W107:W108"/>
    <mergeCell ref="P109:P110"/>
    <mergeCell ref="Q109:Q110"/>
    <mergeCell ref="R109:R110"/>
    <mergeCell ref="S109:S110"/>
    <mergeCell ref="W109:W110"/>
    <mergeCell ref="L182:L184"/>
    <mergeCell ref="M182:M184"/>
    <mergeCell ref="N182:N184"/>
    <mergeCell ref="O182:O184"/>
    <mergeCell ref="P182:P183"/>
    <mergeCell ref="Q182:Q183"/>
    <mergeCell ref="R182:R183"/>
    <mergeCell ref="S182:S183"/>
    <mergeCell ref="W182:W183"/>
    <mergeCell ref="L179:L181"/>
    <mergeCell ref="M179:M181"/>
    <mergeCell ref="N179:N181"/>
    <mergeCell ref="O179:O181"/>
    <mergeCell ref="P179:P180"/>
    <mergeCell ref="Q179:Q180"/>
    <mergeCell ref="R179:R180"/>
    <mergeCell ref="S179:S180"/>
    <mergeCell ref="W179:W180"/>
    <mergeCell ref="L176:L178"/>
    <mergeCell ref="M176:M178"/>
    <mergeCell ref="N176:N178"/>
    <mergeCell ref="O176:O178"/>
    <mergeCell ref="P176:P177"/>
    <mergeCell ref="Q176:Q177"/>
    <mergeCell ref="R176:R177"/>
    <mergeCell ref="S176:S177"/>
    <mergeCell ref="W176:W177"/>
    <mergeCell ref="L173:L175"/>
    <mergeCell ref="M173:M175"/>
    <mergeCell ref="N173:N175"/>
    <mergeCell ref="O173:O175"/>
    <mergeCell ref="P173:P174"/>
    <mergeCell ref="Q173:Q174"/>
    <mergeCell ref="R173:R174"/>
    <mergeCell ref="S173:S174"/>
    <mergeCell ref="W173:W174"/>
    <mergeCell ref="L170:L172"/>
    <mergeCell ref="M170:M172"/>
    <mergeCell ref="N170:N172"/>
    <mergeCell ref="O170:O172"/>
    <mergeCell ref="P170:P171"/>
    <mergeCell ref="Q170:Q171"/>
    <mergeCell ref="R170:R171"/>
    <mergeCell ref="S170:S171"/>
    <mergeCell ref="W170:W171"/>
    <mergeCell ref="L167:L169"/>
    <mergeCell ref="M167:M169"/>
    <mergeCell ref="N167:N169"/>
    <mergeCell ref="O167:O169"/>
    <mergeCell ref="P167:P168"/>
    <mergeCell ref="Q167:Q168"/>
    <mergeCell ref="R167:R168"/>
    <mergeCell ref="S167:S168"/>
    <mergeCell ref="W167:W168"/>
    <mergeCell ref="L164:L166"/>
    <mergeCell ref="M164:M166"/>
    <mergeCell ref="N164:N166"/>
    <mergeCell ref="O164:O166"/>
    <mergeCell ref="P164:P165"/>
    <mergeCell ref="Q164:Q165"/>
    <mergeCell ref="R164:R165"/>
    <mergeCell ref="S164:S165"/>
    <mergeCell ref="W164:W165"/>
    <mergeCell ref="L161:L163"/>
    <mergeCell ref="M161:M163"/>
    <mergeCell ref="N161:N163"/>
    <mergeCell ref="O161:O163"/>
    <mergeCell ref="P161:P162"/>
    <mergeCell ref="Q161:Q162"/>
    <mergeCell ref="R161:R162"/>
    <mergeCell ref="S161:S162"/>
    <mergeCell ref="W161:W162"/>
    <mergeCell ref="L156:L160"/>
    <mergeCell ref="M156:M160"/>
    <mergeCell ref="N156:N160"/>
    <mergeCell ref="O156:O160"/>
    <mergeCell ref="P156:P157"/>
    <mergeCell ref="Q156:Q157"/>
    <mergeCell ref="R156:R157"/>
    <mergeCell ref="S156:S157"/>
    <mergeCell ref="W156:W157"/>
    <mergeCell ref="P158:P159"/>
    <mergeCell ref="Q158:Q159"/>
    <mergeCell ref="R158:R159"/>
    <mergeCell ref="S158:S159"/>
    <mergeCell ref="W158:W159"/>
    <mergeCell ref="L153:L155"/>
    <mergeCell ref="M153:M155"/>
    <mergeCell ref="N153:N155"/>
    <mergeCell ref="O153:O155"/>
    <mergeCell ref="P153:P154"/>
    <mergeCell ref="Q153:Q154"/>
    <mergeCell ref="R153:R154"/>
    <mergeCell ref="S153:S154"/>
    <mergeCell ref="W153:W154"/>
    <mergeCell ref="L150:L152"/>
    <mergeCell ref="M150:M152"/>
    <mergeCell ref="N150:N152"/>
    <mergeCell ref="O150:O152"/>
    <mergeCell ref="P150:P151"/>
    <mergeCell ref="Q150:Q151"/>
    <mergeCell ref="R150:R151"/>
    <mergeCell ref="S150:S151"/>
    <mergeCell ref="W150:W151"/>
    <mergeCell ref="L147:L149"/>
    <mergeCell ref="M147:M149"/>
    <mergeCell ref="N147:N149"/>
    <mergeCell ref="O147:O149"/>
    <mergeCell ref="P147:P148"/>
    <mergeCell ref="Q147:Q148"/>
    <mergeCell ref="R147:R148"/>
    <mergeCell ref="S147:S148"/>
    <mergeCell ref="W147:W148"/>
    <mergeCell ref="L144:L146"/>
    <mergeCell ref="M144:M146"/>
    <mergeCell ref="N144:N146"/>
    <mergeCell ref="O144:O146"/>
    <mergeCell ref="P144:P145"/>
    <mergeCell ref="Q144:Q145"/>
    <mergeCell ref="R144:R145"/>
    <mergeCell ref="S144:S145"/>
    <mergeCell ref="W144:W145"/>
    <mergeCell ref="L141:L143"/>
    <mergeCell ref="M141:M143"/>
    <mergeCell ref="N141:N143"/>
    <mergeCell ref="O141:O143"/>
    <mergeCell ref="P141:P142"/>
    <mergeCell ref="Q141:Q142"/>
    <mergeCell ref="R141:R142"/>
    <mergeCell ref="S141:S142"/>
    <mergeCell ref="W141:W142"/>
    <mergeCell ref="L134:L140"/>
    <mergeCell ref="M134:M140"/>
    <mergeCell ref="N134:N140"/>
    <mergeCell ref="O134:O140"/>
    <mergeCell ref="P134:P135"/>
    <mergeCell ref="Q134:Q135"/>
    <mergeCell ref="R134:R135"/>
    <mergeCell ref="S134:S135"/>
    <mergeCell ref="W134:W135"/>
    <mergeCell ref="L131:L133"/>
    <mergeCell ref="M131:M133"/>
    <mergeCell ref="N131:N133"/>
    <mergeCell ref="O131:O133"/>
    <mergeCell ref="P131:P132"/>
    <mergeCell ref="Q131:Q132"/>
    <mergeCell ref="R131:R132"/>
    <mergeCell ref="S131:S132"/>
    <mergeCell ref="W131:W132"/>
    <mergeCell ref="N121:N123"/>
    <mergeCell ref="O121:O123"/>
    <mergeCell ref="P121:P122"/>
    <mergeCell ref="Q121:Q122"/>
    <mergeCell ref="R121:R122"/>
    <mergeCell ref="S121:S122"/>
    <mergeCell ref="W121:W122"/>
    <mergeCell ref="L124:L130"/>
    <mergeCell ref="M124:M130"/>
    <mergeCell ref="N124:N130"/>
    <mergeCell ref="O124:O130"/>
    <mergeCell ref="P124:P125"/>
    <mergeCell ref="Q124:Q125"/>
    <mergeCell ref="R124:R125"/>
    <mergeCell ref="S124:S125"/>
    <mergeCell ref="W124:W125"/>
    <mergeCell ref="P126:P127"/>
    <mergeCell ref="Q126:Q127"/>
    <mergeCell ref="R126:R127"/>
    <mergeCell ref="S126:S127"/>
    <mergeCell ref="W126:W127"/>
    <mergeCell ref="P128:P129"/>
    <mergeCell ref="Q128:Q129"/>
    <mergeCell ref="R128:R129"/>
    <mergeCell ref="M105:M117"/>
    <mergeCell ref="N105:N117"/>
    <mergeCell ref="S105:S106"/>
    <mergeCell ref="H105:H199"/>
    <mergeCell ref="I105:I199"/>
    <mergeCell ref="J105:J199"/>
    <mergeCell ref="K105:K199"/>
    <mergeCell ref="L105:L117"/>
    <mergeCell ref="W105:W106"/>
    <mergeCell ref="O105:O117"/>
    <mergeCell ref="P105:P106"/>
    <mergeCell ref="Q105:Q106"/>
    <mergeCell ref="R105:R106"/>
    <mergeCell ref="L118:L120"/>
    <mergeCell ref="M118:M120"/>
    <mergeCell ref="N118:N120"/>
    <mergeCell ref="O118:O120"/>
    <mergeCell ref="P118:P119"/>
    <mergeCell ref="Q118:Q119"/>
    <mergeCell ref="R118:R119"/>
    <mergeCell ref="S118:S119"/>
    <mergeCell ref="W118:W119"/>
    <mergeCell ref="L121:L123"/>
    <mergeCell ref="M121:M123"/>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200"/>
    <mergeCell ref="E105:E200"/>
    <mergeCell ref="F105:F200"/>
    <mergeCell ref="G105:G200"/>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212:S213"/>
    <mergeCell ref="D212:D216"/>
    <mergeCell ref="E212:E216"/>
    <mergeCell ref="F212:F216"/>
    <mergeCell ref="G212:G216"/>
    <mergeCell ref="M201:M203"/>
    <mergeCell ref="N201:N203"/>
    <mergeCell ref="O201:O203"/>
    <mergeCell ref="P201:P202"/>
    <mergeCell ref="Q201:Q202"/>
    <mergeCell ref="R201:R202"/>
    <mergeCell ref="S201:S202"/>
    <mergeCell ref="D201:D205"/>
    <mergeCell ref="E201:E205"/>
    <mergeCell ref="F201:F205"/>
    <mergeCell ref="G201:G205"/>
    <mergeCell ref="H201:H204"/>
    <mergeCell ref="I201:I204"/>
    <mergeCell ref="J201:J204"/>
    <mergeCell ref="K201:K204"/>
    <mergeCell ref="L201:L203"/>
    <mergeCell ref="O212:O214"/>
    <mergeCell ref="M217:M219"/>
    <mergeCell ref="N217:N219"/>
    <mergeCell ref="O217:O219"/>
    <mergeCell ref="P212:P213"/>
    <mergeCell ref="Q212:Q213"/>
    <mergeCell ref="R212:R213"/>
    <mergeCell ref="P217:P218"/>
    <mergeCell ref="Q217:Q218"/>
    <mergeCell ref="R217:R218"/>
    <mergeCell ref="F99:F103"/>
    <mergeCell ref="G99:G103"/>
    <mergeCell ref="H99:H102"/>
    <mergeCell ref="I99:I102"/>
    <mergeCell ref="J99:J102"/>
    <mergeCell ref="K99:K102"/>
    <mergeCell ref="L99:L101"/>
    <mergeCell ref="S217:S218"/>
    <mergeCell ref="D217:D221"/>
    <mergeCell ref="E217:E221"/>
    <mergeCell ref="F217:F221"/>
    <mergeCell ref="G217:G221"/>
    <mergeCell ref="H217:H220"/>
    <mergeCell ref="I217:I220"/>
    <mergeCell ref="J217:J220"/>
    <mergeCell ref="K217:K220"/>
    <mergeCell ref="L217:L219"/>
    <mergeCell ref="H212:H215"/>
    <mergeCell ref="I212:I215"/>
    <mergeCell ref="J212:J215"/>
    <mergeCell ref="K212:K215"/>
    <mergeCell ref="L212:L214"/>
    <mergeCell ref="M212:M214"/>
    <mergeCell ref="N212:N214"/>
    <mergeCell ref="N99:N101"/>
    <mergeCell ref="O99:O101"/>
    <mergeCell ref="P99:P100"/>
    <mergeCell ref="Q99:Q100"/>
    <mergeCell ref="R99:R100"/>
    <mergeCell ref="S99:S100"/>
    <mergeCell ref="D206:D210"/>
    <mergeCell ref="E206:E210"/>
    <mergeCell ref="F206:F210"/>
    <mergeCell ref="G206:G210"/>
    <mergeCell ref="H206:H209"/>
    <mergeCell ref="I206:I209"/>
    <mergeCell ref="J206:J209"/>
    <mergeCell ref="K206:K209"/>
    <mergeCell ref="L206:L208"/>
    <mergeCell ref="M206:M208"/>
    <mergeCell ref="N206:N208"/>
    <mergeCell ref="O206:O208"/>
    <mergeCell ref="P206:P207"/>
    <mergeCell ref="Q206:Q207"/>
    <mergeCell ref="R206:R207"/>
    <mergeCell ref="S206:S207"/>
    <mergeCell ref="D99:D103"/>
    <mergeCell ref="E99:E103"/>
    <mergeCell ref="M222:M224"/>
    <mergeCell ref="N222:N224"/>
    <mergeCell ref="O222:O224"/>
    <mergeCell ref="P222:P223"/>
    <mergeCell ref="Q222:Q223"/>
    <mergeCell ref="R222:R223"/>
    <mergeCell ref="S222:S223"/>
    <mergeCell ref="D222:D226"/>
    <mergeCell ref="E222:E226"/>
    <mergeCell ref="F222:F226"/>
    <mergeCell ref="G222:G226"/>
    <mergeCell ref="H222:H225"/>
    <mergeCell ref="I222:I225"/>
    <mergeCell ref="J222:J225"/>
    <mergeCell ref="K222:K225"/>
    <mergeCell ref="L222:L224"/>
    <mergeCell ref="R23:R24"/>
    <mergeCell ref="S23:S24"/>
    <mergeCell ref="G23:G27"/>
    <mergeCell ref="H23:H26"/>
    <mergeCell ref="I23:I26"/>
    <mergeCell ref="J23:J26"/>
    <mergeCell ref="K23:K26"/>
    <mergeCell ref="L23:L25"/>
    <mergeCell ref="M23:M25"/>
    <mergeCell ref="N23:N25"/>
    <mergeCell ref="O23:O25"/>
  </mergeCells>
  <dataValidations count="597">
    <dataValidation allowBlank="1" showInputMessage="1" showErrorMessage="1" prompt="Для выбора выполните двойной щелчок левой клавиши мыши по соответствующей ячейке." sqref="S197"/>
    <dataValidation type="textLength" operator="lessThanOrEqual" allowBlank="1" showInputMessage="1" showErrorMessage="1" errorTitle="Ошибка" error="Допускается ввод не более 900 символов!" sqref="R19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7"/>
    <dataValidation type="textLength" operator="lessThanOrEqual" allowBlank="1" showInputMessage="1" showErrorMessage="1" errorTitle="Ошибка" error="Допускается ввод не более 900 символов!" sqref="J197">
      <formula1>900</formula1>
    </dataValidation>
    <dataValidation allowBlank="1" showInputMessage="1" showErrorMessage="1" prompt="Выберите виды деятельности, выполнив двойной щелчок левой кнопки мыши по ячейке." sqref="G197"/>
    <dataValidation allowBlank="1" showInputMessage="1" showErrorMessage="1" prompt="Для выбора выполните двойной щелчок левой клавиши мыши по соответствующей ячейке." sqref="F197"/>
    <dataValidation type="textLength" operator="lessThanOrEqual" allowBlank="1" showInputMessage="1" showErrorMessage="1" errorTitle="Ошибка" error="Допускается ввод не более 900 символов!" sqref="W196">
      <formula1>900</formula1>
    </dataValidation>
    <dataValidation type="textLength" operator="lessThanOrEqual" allowBlank="1" showInputMessage="1" showErrorMessage="1" errorTitle="Ошибка" error="Допускается ввод не более 900 символов!" sqref="V196">
      <formula1>900</formula1>
    </dataValidation>
    <dataValidation allowBlank="1" showInputMessage="1" showErrorMessage="1" prompt="Для выбора выполните двойной щелчок левой клавиши мыши по соответствующей ячейке." sqref="S196"/>
    <dataValidation type="textLength" operator="lessThanOrEqual" allowBlank="1" showInputMessage="1" showErrorMessage="1" errorTitle="Ошибка" error="Допускается ввод не более 900 символов!" sqref="R196">
      <formula1>900</formula1>
    </dataValidation>
    <dataValidation allowBlank="1" showInputMessage="1" showErrorMessage="1" prompt="Для выбора выполните двойной щелчок левой клавиши мыши по соответствующей ячейке." sqref="O19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type="textLength" operator="lessThanOrEqual" allowBlank="1" showInputMessage="1" showErrorMessage="1" errorTitle="Ошибка" error="Допускается ввод не более 900 символов!" sqref="J196">
      <formula1>900</formula1>
    </dataValidation>
    <dataValidation allowBlank="1" showInputMessage="1" showErrorMessage="1" prompt="Выберите виды деятельности, выполнив двойной щелчок левой кнопки мыши по ячейке." sqref="G196"/>
    <dataValidation allowBlank="1" showInputMessage="1" showErrorMessage="1" prompt="Для выбора выполните двойной щелчок левой клавиши мыши по соответствующей ячейке." sqref="F196"/>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type="textLength" operator="lessThanOrEqual" allowBlank="1" showInputMessage="1" showErrorMessage="1" errorTitle="Ошибка" error="Допускается ввод не более 900 символов!" sqref="W115">
      <formula1>900</formula1>
    </dataValidation>
    <dataValidation type="textLength" operator="lessThanOrEqual" allowBlank="1" showInputMessage="1" showErrorMessage="1" errorTitle="Ошибка" error="Допускается ввод не более 900 символов!" sqref="V115">
      <formula1>900</formula1>
    </dataValidation>
    <dataValidation allowBlank="1" showInputMessage="1" showErrorMessage="1" prompt="Для выбора выполните двойной щелчок левой клавиши мыши по соответствующей ячейке." sqref="S115"/>
    <dataValidation type="textLength" operator="lessThanOrEqual" allowBlank="1" showInputMessage="1" showErrorMessage="1" errorTitle="Ошибка" error="Допускается ввод не более 900 символов!" sqref="R115">
      <formula1>900</formula1>
    </dataValidation>
    <dataValidation allowBlank="1" showInputMessage="1" showErrorMessage="1" prompt="Для выбора выполните двойной щелчок левой клавиши мыши по соответствующей ячейке." sqref="O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type="textLength" operator="lessThanOrEqual" allowBlank="1" showInputMessage="1" showErrorMessage="1" errorTitle="Ошибка" error="Допускается ввод не более 900 символов!" sqref="J115">
      <formula1>900</formula1>
    </dataValidation>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8"/>
    <dataValidation allowBlank="1" showInputMessage="1" showErrorMessage="1" prompt="Выберите виды деятельности, выполнив двойной щелчок левой кнопки мыши по ячейке." sqref="G198"/>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Для выбора выполните двойной щелчок левой клавиши мыши по соответствующей ячейке." sqref="S195"/>
    <dataValidation type="textLength" operator="lessThanOrEqual" allowBlank="1" showInputMessage="1" showErrorMessage="1" errorTitle="Ошибка" error="Допускается ввод не более 900 символов!" sqref="R1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5"/>
    <dataValidation type="textLength" operator="lessThanOrEqual" allowBlank="1" showInputMessage="1" showErrorMessage="1" errorTitle="Ошибка" error="Допускается ввод не более 900 символов!" sqref="J195">
      <formula1>900</formula1>
    </dataValidation>
    <dataValidation allowBlank="1" showInputMessage="1" showErrorMessage="1" prompt="Выберите виды деятельности, выполнив двойной щелчок левой кнопки мыши по ячейке." sqref="G195"/>
    <dataValidation allowBlank="1" showInputMessage="1" showErrorMessage="1" prompt="Для выбора выполните двойной щелчок левой клавиши мыши по соответствующей ячейке." sqref="F195"/>
    <dataValidation type="textLength" operator="lessThanOrEqual" allowBlank="1" showInputMessage="1" showErrorMessage="1" errorTitle="Ошибка" error="Допускается ввод не более 900 символов!" sqref="W194">
      <formula1>900</formula1>
    </dataValidation>
    <dataValidation type="textLength" operator="lessThanOrEqual" allowBlank="1" showInputMessage="1" showErrorMessage="1" errorTitle="Ошибка" error="Допускается ввод не более 900 символов!" sqref="V194">
      <formula1>900</formula1>
    </dataValidation>
    <dataValidation allowBlank="1" showInputMessage="1" showErrorMessage="1" prompt="Для выбора выполните двойной щелчок левой клавиши мыши по соответствующей ячейке." sqref="S194"/>
    <dataValidation type="textLength" operator="lessThanOrEqual" allowBlank="1" showInputMessage="1" showErrorMessage="1" errorTitle="Ошибка" error="Допускается ввод не более 900 символов!" sqref="R194">
      <formula1>900</formula1>
    </dataValidation>
    <dataValidation allowBlank="1" showInputMessage="1" showErrorMessage="1" prompt="Для выбора выполните двойной щелчок левой клавиши мыши по соответствующей ячейке." sqref="O1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
    <dataValidation type="textLength" operator="lessThanOrEqual" allowBlank="1" showInputMessage="1" showErrorMessage="1" errorTitle="Ошибка" error="Допускается ввод не более 900 символов!" sqref="J194">
      <formula1>900</formula1>
    </dataValidation>
    <dataValidation allowBlank="1" showInputMessage="1" showErrorMessage="1" prompt="Выберите виды деятельности, выполнив двойной щелчок левой кнопки мыши по ячейке." sqref="G194"/>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222:O223 O201:O202 S201:S202 K201:K202 S99:S100 K217:K218 O217:O218 K212:K213 O212:O213 S217:S218 O206:O207 S212:S213 O58:O59 S58:S59 K58:K59 K63:K64 O63:O64 S63:S64 F79:F103 K99:K100 O99:O100 F105:F106 F117 F199:F210 S206:S207 K206:K207 F212:F226 S222:S223 K222:K223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201:J202 R201:R202 V201:W201 J217:J218 R217:R218 V217:W217 J212:J213 R212:R213 V212:W212 J58:J59 R58:R59 V58:W58 J63:J64 R63:R64 V63:W63 J99:J100 R99:R100 V99:W99 J206:J207 R206:R207 V206:W206 J222:J223 R222:R223 V222:W222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201:N203 N217:N219 N212:N214 N58:N60 N63:N65 N99:N101 N206:N208 N222:N224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06 G117 G199:G210 G212:G226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type="textLength" operator="lessThanOrEqual" allowBlank="1" showInputMessage="1" showErrorMessage="1" errorTitle="Ошибка" error="Допускается ввод не более 900 символов!" sqref="J11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O118"/>
    <dataValidation type="textLength" operator="lessThanOrEqual" allowBlank="1" showInputMessage="1" showErrorMessage="1" errorTitle="Ошибка" error="Допускается ввод не более 900 символов!" sqref="R118">
      <formula1>900</formula1>
    </dataValidation>
    <dataValidation allowBlank="1" showInputMessage="1" showErrorMessage="1" prompt="Для выбора выполните двойной щелчок левой клавиши мыши по соответствующей ячейке." sqref="S118"/>
    <dataValidation type="textLength" operator="lessThanOrEqual" allowBlank="1" showInputMessage="1" showErrorMessage="1" errorTitle="Ошибка" error="Допускается ввод не более 900 символов!" sqref="V118">
      <formula1>900</formula1>
    </dataValidation>
    <dataValidation type="textLength" operator="lessThanOrEqual" allowBlank="1" showInputMessage="1" showErrorMessage="1" errorTitle="Ошибка" error="Допускается ввод не более 900 символов!" sqref="W118">
      <formula1>900</formula1>
    </dataValidation>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type="textLength" operator="lessThanOrEqual" allowBlank="1" showInputMessage="1" showErrorMessage="1" errorTitle="Ошибка" error="Допускается ввод не более 900 символов!" sqref="J12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O124"/>
    <dataValidation type="textLength" operator="lessThanOrEqual" allowBlank="1" showInputMessage="1" showErrorMessage="1" errorTitle="Ошибка" error="Допускается ввод не более 900 символов!" sqref="R124">
      <formula1>900</formula1>
    </dataValidation>
    <dataValidation allowBlank="1" showInputMessage="1" showErrorMessage="1" prompt="Для выбора выполните двойной щелчок левой клавиши мыши по соответствующей ячейке." sqref="S124"/>
    <dataValidation type="textLength" operator="lessThanOrEqual" allowBlank="1" showInputMessage="1" showErrorMessage="1" errorTitle="Ошибка" error="Допускается ввод не более 900 символов!" sqref="V124">
      <formula1>900</formula1>
    </dataValidation>
    <dataValidation type="textLength" operator="lessThanOrEqual" allowBlank="1" showInputMessage="1" showErrorMessage="1" errorTitle="Ошибка" error="Допускается ввод не более 900 символов!" sqref="W124">
      <formula1>900</formula1>
    </dataValidation>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allowBlank="1" showInputMessage="1" showErrorMessage="1" prompt="Для выбора выполните двойной щелчок левой клавиши мыши по соответствующей ячейке." sqref="O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V131">
      <formula1>900</formula1>
    </dataValidation>
    <dataValidation type="textLength" operator="lessThanOrEqual" allowBlank="1" showInputMessage="1" showErrorMessage="1" errorTitle="Ошибка" error="Допускается ввод не более 900 символов!" sqref="W131">
      <formula1>900</formula1>
    </dataValidation>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type="textLength" operator="lessThanOrEqual" allowBlank="1" showInputMessage="1" showErrorMessage="1" errorTitle="Ошибка" error="Допускается ввод не более 900 символов!" sqref="J13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O134"/>
    <dataValidation type="textLength" operator="lessThanOrEqual" allowBlank="1" showInputMessage="1" showErrorMessage="1" errorTitle="Ошибка" error="Допускается ввод не более 900 символов!" sqref="R134">
      <formula1>900</formula1>
    </dataValidation>
    <dataValidation allowBlank="1" showInputMessage="1" showErrorMessage="1" prompt="Для выбора выполните двойной щелчок левой клавиши мыши по соответствующей ячейке." sqref="S134"/>
    <dataValidation type="textLength" operator="lessThanOrEqual" allowBlank="1" showInputMessage="1" showErrorMessage="1" errorTitle="Ошибка" error="Допускается ввод не более 900 символов!" sqref="V134">
      <formula1>900</formula1>
    </dataValidation>
    <dataValidation type="textLength" operator="lessThanOrEqual" allowBlank="1" showInputMessage="1" showErrorMessage="1" errorTitle="Ошибка" error="Допускается ввод не более 900 символов!" sqref="W134">
      <formula1>900</formula1>
    </dataValidation>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Для выбора выполните двойной щелчок левой клавиши мыши по соответствующей ячейке." sqref="O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V141">
      <formula1>900</formula1>
    </dataValidation>
    <dataValidation type="textLength" operator="lessThanOrEqual" allowBlank="1" showInputMessage="1" showErrorMessage="1" errorTitle="Ошибка" error="Допускается ввод не более 900 символов!" sqref="W141">
      <formula1>900</formula1>
    </dataValidation>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O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O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V150">
      <formula1>900</formula1>
    </dataValidation>
    <dataValidation type="textLength" operator="lessThanOrEqual" allowBlank="1" showInputMessage="1" showErrorMessage="1" errorTitle="Ошибка" error="Допускается ввод не более 900 символов!" sqref="W150">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O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V153">
      <formula1>900</formula1>
    </dataValidation>
    <dataValidation type="textLength" operator="lessThanOrEqual" allowBlank="1" showInputMessage="1" showErrorMessage="1" errorTitle="Ошибка" error="Допускается ввод не более 900 символов!" sqref="W153">
      <formula1>900</formula1>
    </dataValidation>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O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V156">
      <formula1>900</formula1>
    </dataValidation>
    <dataValidation type="textLength" operator="lessThanOrEqual" allowBlank="1" showInputMessage="1" showErrorMessage="1" errorTitle="Ошибка" error="Допускается ввод не более 900 символов!" sqref="W156">
      <formula1>900</formula1>
    </dataValidation>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type="textLength" operator="lessThanOrEqual" allowBlank="1" showInputMessage="1" showErrorMessage="1" errorTitle="Ошибка" error="Допускается ввод не более 900 символов!" sqref="J16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Для выбора выполните двойной щелчок левой клавиши мыши по соответствующей ячейке." sqref="O161"/>
    <dataValidation type="textLength" operator="lessThanOrEqual" allowBlank="1" showInputMessage="1" showErrorMessage="1" errorTitle="Ошибка" error="Допускается ввод не более 900 символов!" sqref="R161">
      <formula1>900</formula1>
    </dataValidation>
    <dataValidation allowBlank="1" showInputMessage="1" showErrorMessage="1" prompt="Для выбора выполните двойной щелчок левой клавиши мыши по соответствующей ячейке." sqref="S161"/>
    <dataValidation type="textLength" operator="lessThanOrEqual" allowBlank="1" showInputMessage="1" showErrorMessage="1" errorTitle="Ошибка" error="Допускается ввод не более 900 символов!" sqref="V161">
      <formula1>900</formula1>
    </dataValidation>
    <dataValidation type="textLength" operator="lessThanOrEqual" allowBlank="1" showInputMessage="1" showErrorMessage="1" errorTitle="Ошибка" error="Допускается ввод не более 900 символов!" sqref="W161">
      <formula1>900</formula1>
    </dataValidation>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type="textLength" operator="lessThanOrEqual" allowBlank="1" showInputMessage="1" showErrorMessage="1" errorTitle="Ошибка" error="Допускается ввод не более 900 символов!" sqref="J16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O164"/>
    <dataValidation type="textLength" operator="lessThanOrEqual" allowBlank="1" showInputMessage="1" showErrorMessage="1" errorTitle="Ошибка" error="Допускается ввод не более 900 символов!" sqref="R164">
      <formula1>900</formula1>
    </dataValidation>
    <dataValidation allowBlank="1" showInputMessage="1" showErrorMessage="1" prompt="Для выбора выполните двойной щелчок левой клавиши мыши по соответствующей ячейке." sqref="S164"/>
    <dataValidation type="textLength" operator="lessThanOrEqual" allowBlank="1" showInputMessage="1" showErrorMessage="1" errorTitle="Ошибка" error="Допускается ввод не более 900 символов!" sqref="V164">
      <formula1>900</formula1>
    </dataValidation>
    <dataValidation type="textLength" operator="lessThanOrEqual" allowBlank="1" showInputMessage="1" showErrorMessage="1" errorTitle="Ошибка" error="Допускается ввод не более 900 символов!" sqref="W164">
      <formula1>900</formula1>
    </dataValidation>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type="textLength" operator="lessThanOrEqual" allowBlank="1" showInputMessage="1" showErrorMessage="1" errorTitle="Ошибка" error="Допускается ввод не более 900 символов!" sqref="J16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Для выбора выполните двойной щелчок левой клавиши мыши по соответствующей ячейке." sqref="O167"/>
    <dataValidation type="textLength" operator="lessThanOrEqual" allowBlank="1" showInputMessage="1" showErrorMessage="1" errorTitle="Ошибка" error="Допускается ввод не более 900 символов!" sqref="R167">
      <formula1>900</formula1>
    </dataValidation>
    <dataValidation allowBlank="1" showInputMessage="1" showErrorMessage="1" prompt="Для выбора выполните двойной щелчок левой клавиши мыши по соответствующей ячейке." sqref="S167"/>
    <dataValidation type="textLength" operator="lessThanOrEqual" allowBlank="1" showInputMessage="1" showErrorMessage="1" errorTitle="Ошибка" error="Допускается ввод не более 900 символов!" sqref="V167">
      <formula1>900</formula1>
    </dataValidation>
    <dataValidation type="textLength" operator="lessThanOrEqual" allowBlank="1" showInputMessage="1" showErrorMessage="1" errorTitle="Ошибка" error="Допускается ввод не более 900 символов!" sqref="W167">
      <formula1>900</formula1>
    </dataValidation>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type="textLength" operator="lessThanOrEqual" allowBlank="1" showInputMessage="1" showErrorMessage="1" errorTitle="Ошибка" error="Допускается ввод не более 900 символов!" sqref="J16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8"/>
    <dataValidation type="textLength" operator="lessThanOrEqual" allowBlank="1" showInputMessage="1" showErrorMessage="1" errorTitle="Ошибка" error="Допускается ввод не более 900 символов!" sqref="R168">
      <formula1>900</formula1>
    </dataValidation>
    <dataValidation allowBlank="1" showInputMessage="1" showErrorMessage="1" prompt="Для выбора выполните двойной щелчок левой клавиши мыши по соответствующей ячейке." sqref="S168"/>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allowBlank="1" showInputMessage="1" showErrorMessage="1" prompt="Для выбора выполните двойной щелчок левой клавиши мыши по соответствующей ячейке." sqref="O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type="textLength" operator="lessThanOrEqual" allowBlank="1" showInputMessage="1" showErrorMessage="1" errorTitle="Ошибка" error="Допускается ввод не более 900 символов!" sqref="V170">
      <formula1>900</formula1>
    </dataValidation>
    <dataValidation type="textLength" operator="lessThanOrEqual" allowBlank="1" showInputMessage="1" showErrorMessage="1" errorTitle="Ошибка" error="Допускается ввод не более 900 символов!" sqref="W170">
      <formula1>900</formula1>
    </dataValidation>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type="textLength" operator="lessThanOrEqual" allowBlank="1" showInputMessage="1" showErrorMessage="1" errorTitle="Ошибка" error="Допускается ввод не более 900 символов!" sqref="J17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allowBlank="1" showInputMessage="1" showErrorMessage="1" prompt="Для выбора выполните двойной щелчок левой клавиши мыши по соответствующей ячейке." sqref="O173"/>
    <dataValidation type="textLength" operator="lessThanOrEqual" allowBlank="1" showInputMessage="1" showErrorMessage="1" errorTitle="Ошибка" error="Допускается ввод не более 900 символов!" sqref="R173">
      <formula1>900</formula1>
    </dataValidation>
    <dataValidation allowBlank="1" showInputMessage="1" showErrorMessage="1" prompt="Для выбора выполните двойной щелчок левой клавиши мыши по соответствующей ячейке." sqref="S173"/>
    <dataValidation type="textLength" operator="lessThanOrEqual" allowBlank="1" showInputMessage="1" showErrorMessage="1" errorTitle="Ошибка" error="Допускается ввод не более 900 символов!" sqref="V173">
      <formula1>900</formula1>
    </dataValidation>
    <dataValidation type="textLength" operator="lessThanOrEqual" allowBlank="1" showInputMessage="1" showErrorMessage="1" errorTitle="Ошибка" error="Допускается ввод не более 900 символов!" sqref="W173">
      <formula1>900</formula1>
    </dataValidation>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type="textLength" operator="lessThanOrEqual" allowBlank="1" showInputMessage="1" showErrorMessage="1" errorTitle="Ошибка" error="Допускается ввод не более 900 символов!" sqref="J17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Для выбора выполните двойной щелчок левой клавиши мыши по соответствующей ячейке." sqref="O176"/>
    <dataValidation type="textLength" operator="lessThanOrEqual" allowBlank="1" showInputMessage="1" showErrorMessage="1" errorTitle="Ошибка" error="Допускается ввод не более 900 символов!" sqref="R176">
      <formula1>900</formula1>
    </dataValidation>
    <dataValidation allowBlank="1" showInputMessage="1" showErrorMessage="1" prompt="Для выбора выполните двойной щелчок левой клавиши мыши по соответствующей ячейке." sqref="S176"/>
    <dataValidation type="textLength" operator="lessThanOrEqual" allowBlank="1" showInputMessage="1" showErrorMessage="1" errorTitle="Ошибка" error="Допускается ввод не более 900 символов!" sqref="V176">
      <formula1>900</formula1>
    </dataValidation>
    <dataValidation type="textLength" operator="lessThanOrEqual" allowBlank="1" showInputMessage="1" showErrorMessage="1" errorTitle="Ошибка" error="Допускается ввод не более 900 символов!" sqref="W176">
      <formula1>900</formula1>
    </dataValidation>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type="textLength" operator="lessThanOrEqual" allowBlank="1" showInputMessage="1" showErrorMessage="1" errorTitle="Ошибка" error="Допускается ввод не более 900 символов!" sqref="J17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Для выбора выполните двойной щелчок левой клавиши мыши по соответствующей ячейке." sqref="O179"/>
    <dataValidation type="textLength" operator="lessThanOrEqual" allowBlank="1" showInputMessage="1" showErrorMessage="1" errorTitle="Ошибка" error="Допускается ввод не более 900 символов!" sqref="R179">
      <formula1>900</formula1>
    </dataValidation>
    <dataValidation allowBlank="1" showInputMessage="1" showErrorMessage="1" prompt="Для выбора выполните двойной щелчок левой клавиши мыши по соответствующей ячейке." sqref="S179"/>
    <dataValidation type="textLength" operator="lessThanOrEqual" allowBlank="1" showInputMessage="1" showErrorMessage="1" errorTitle="Ошибка" error="Допускается ввод не более 900 символов!" sqref="V179">
      <formula1>900</formula1>
    </dataValidation>
    <dataValidation type="textLength" operator="lessThanOrEqual" allowBlank="1" showInputMessage="1" showErrorMessage="1" errorTitle="Ошибка" error="Допускается ввод не более 900 символов!" sqref="W179">
      <formula1>900</formula1>
    </dataValidation>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type="textLength" operator="lessThanOrEqual" allowBlank="1" showInputMessage="1" showErrorMessage="1" errorTitle="Ошибка" error="Допускается ввод не более 900 символов!" sqref="J18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allowBlank="1" showInputMessage="1" showErrorMessage="1" prompt="Для выбора выполните двойной щелчок левой клавиши мыши по соответствующей ячейке." sqref="O182"/>
    <dataValidation type="textLength" operator="lessThanOrEqual" allowBlank="1" showInputMessage="1" showErrorMessage="1" errorTitle="Ошибка" error="Допускается ввод не более 900 символов!" sqref="R182">
      <formula1>900</formula1>
    </dataValidation>
    <dataValidation allowBlank="1" showInputMessage="1" showErrorMessage="1" prompt="Для выбора выполните двойной щелчок левой клавиши мыши по соответствующей ячейке." sqref="S182"/>
    <dataValidation type="textLength" operator="lessThanOrEqual" allowBlank="1" showInputMessage="1" showErrorMessage="1" errorTitle="Ошибка" error="Допускается ввод не более 900 символов!" sqref="V182">
      <formula1>900</formula1>
    </dataValidation>
    <dataValidation type="textLength" operator="lessThanOrEqual" allowBlank="1" showInputMessage="1" showErrorMessage="1" errorTitle="Ошибка" error="Допускается ввод не более 900 символов!" sqref="W182">
      <formula1>900</formula1>
    </dataValidation>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type="textLength" operator="lessThanOrEqual" allowBlank="1" showInputMessage="1" showErrorMessage="1" errorTitle="Ошибка" error="Допускается ввод не более 900 символов!" sqref="J1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type="textLength" operator="lessThanOrEqual" allowBlank="1" showInputMessage="1" showErrorMessage="1" errorTitle="Ошибка" error="Допускается ввод не более 900 символов!" sqref="R183">
      <formula1>900</formula1>
    </dataValidation>
    <dataValidation allowBlank="1" showInputMessage="1" showErrorMessage="1" prompt="Для выбора выполните двойной щелчок левой клавиши мыши по соответствующей ячейке." sqref="S183"/>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09"/>
    <dataValidation allowBlank="1" showInputMessage="1" showErrorMessage="1" prompt="Выберите виды деятельности, выполнив двойной щелчок левой кнопки мыши по ячейке." sqref="G109"/>
    <dataValidation type="textLength" operator="lessThanOrEqual" allowBlank="1" showInputMessage="1" showErrorMessage="1" errorTitle="Ошибка" error="Допускается ввод не более 900 символов!" sqref="J10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O109"/>
    <dataValidation type="textLength" operator="lessThanOrEqual" allowBlank="1" showInputMessage="1" showErrorMessage="1" errorTitle="Ошибка" error="Допускается ввод не более 900 символов!" sqref="R109">
      <formula1>900</formula1>
    </dataValidation>
    <dataValidation allowBlank="1" showInputMessage="1" showErrorMessage="1" prompt="Для выбора выполните двойной щелчок левой клавиши мыши по соответствующей ячейке." sqref="S109"/>
    <dataValidation type="textLength" operator="lessThanOrEqual" allowBlank="1" showInputMessage="1" showErrorMessage="1" errorTitle="Ошибка" error="Допускается ввод не более 900 символов!" sqref="V109">
      <formula1>900</formula1>
    </dataValidation>
    <dataValidation type="textLength" operator="lessThanOrEqual" allowBlank="1" showInputMessage="1" showErrorMessage="1" errorTitle="Ошибка" error="Допускается ввод не более 900 символов!" sqref="W109">
      <formula1>900</formula1>
    </dataValidation>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allowBlank="1" showInputMessage="1" showErrorMessage="1" prompt="Для выбора выполните двойной щелчок левой клавиши мыши по соответствующей ячейке." sqref="O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V111">
      <formula1>900</formula1>
    </dataValidation>
    <dataValidation type="textLength" operator="lessThanOrEqual" allowBlank="1" showInputMessage="1" showErrorMessage="1" errorTitle="Ошибка" error="Допускается ввод не более 900 символов!" sqref="W111">
      <formula1>900</formula1>
    </dataValidation>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type="textLength" operator="lessThanOrEqual" allowBlank="1" showInputMessage="1" showErrorMessage="1" errorTitle="Ошибка" error="Допускается ввод не более 900 символов!" sqref="J11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type="textLength" operator="lessThanOrEqual" allowBlank="1" showInputMessage="1" showErrorMessage="1" errorTitle="Ошибка" error="Допускается ввод не более 900 символов!" sqref="R112">
      <formula1>900</formula1>
    </dataValidation>
    <dataValidation allowBlank="1" showInputMessage="1" showErrorMessage="1" prompt="Для выбора выполните двойной щелчок левой клавиши мыши по соответствующей ячейке." sqref="S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allowBlank="1" showInputMessage="1" showErrorMessage="1" prompt="Для выбора выполните двойной щелчок левой клавиши мыши по соответствующей ячейке." sqref="O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V126">
      <formula1>900</formula1>
    </dataValidation>
    <dataValidation type="textLength" operator="lessThanOrEqual" allowBlank="1" showInputMessage="1" showErrorMessage="1" errorTitle="Ошибка" error="Допускается ввод не более 900 символов!" sqref="W126">
      <formula1>900</formula1>
    </dataValidation>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type="textLength" operator="lessThanOrEqual" allowBlank="1" showInputMessage="1" showErrorMessage="1" errorTitle="Ошибка" error="Допускается ввод не более 900 символов!" sqref="J1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type="textLength" operator="lessThanOrEqual" allowBlank="1" showInputMessage="1" showErrorMessage="1" errorTitle="Ошибка" error="Допускается ввод не более 900 символов!" sqref="R127">
      <formula1>900</formula1>
    </dataValidation>
    <dataValidation allowBlank="1" showInputMessage="1" showErrorMessage="1" prompt="Для выбора выполните двойной щелчок левой клавиши мыши по соответствующей ячейке." sqref="S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allowBlank="1" showInputMessage="1" showErrorMessage="1" prompt="Для выбора выполните двойной щелчок левой клавиши мыши по соответствующей ячейке." sqref="O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V136">
      <formula1>900</formula1>
    </dataValidation>
    <dataValidation type="textLength" operator="lessThanOrEqual" allowBlank="1" showInputMessage="1" showErrorMessage="1" errorTitle="Ошибка" error="Допускается ввод не более 900 символов!" sqref="W136">
      <formula1>900</formula1>
    </dataValidation>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type="textLength" operator="lessThanOrEqual" allowBlank="1" showInputMessage="1" showErrorMessage="1" errorTitle="Ошибка" error="Допускается ввод не более 900 символов!" sqref="J13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type="textLength" operator="lessThanOrEqual" allowBlank="1" showInputMessage="1" showErrorMessage="1" errorTitle="Ошибка" error="Допускается ввод не более 900 символов!" sqref="R137">
      <formula1>900</formula1>
    </dataValidation>
    <dataValidation allowBlank="1" showInputMessage="1" showErrorMessage="1" prompt="Для выбора выполните двойной щелчок левой клавиши мыши по соответствующей ячейке." sqref="S137"/>
    <dataValidation allowBlank="1" showInputMessage="1" showErrorMessage="1" prompt="Для выбора выполните двойной щелчок левой клавиши мыши по соответствующей ячейке." sqref="F138"/>
    <dataValidation allowBlank="1" showInputMessage="1" showErrorMessage="1" prompt="Выберите виды деятельности, выполнив двойной щелчок левой кнопки мыши по ячейке." sqref="G138"/>
    <dataValidation type="textLength" operator="lessThanOrEqual" allowBlank="1" showInputMessage="1" showErrorMessage="1" errorTitle="Ошибка" error="Допускается ввод не более 900 символов!" sqref="J13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8"/>
    <dataValidation allowBlank="1" showInputMessage="1" showErrorMessage="1" prompt="Для выбора выполните двойной щелчок левой клавиши мыши по соответствующей ячейке." sqref="O138"/>
    <dataValidation type="textLength" operator="lessThanOrEqual" allowBlank="1" showInputMessage="1" showErrorMessage="1" errorTitle="Ошибка" error="Допускается ввод не более 900 символов!" sqref="R138">
      <formula1>900</formula1>
    </dataValidation>
    <dataValidation allowBlank="1" showInputMessage="1" showErrorMessage="1" prompt="Для выбора выполните двойной щелчок левой клавиши мыши по соответствующей ячейке." sqref="S138"/>
    <dataValidation type="textLength" operator="lessThanOrEqual" allowBlank="1" showInputMessage="1" showErrorMessage="1" errorTitle="Ошибка" error="Допускается ввод не более 900 символов!" sqref="V138">
      <formula1>900</formula1>
    </dataValidation>
    <dataValidation type="textLength" operator="lessThanOrEqual" allowBlank="1" showInputMessage="1" showErrorMessage="1" errorTitle="Ошибка" error="Допускается ввод не более 900 символов!" sqref="W138">
      <formula1>900</formula1>
    </dataValidation>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type="textLength" operator="lessThanOrEqual" allowBlank="1" showInputMessage="1" showErrorMessage="1" errorTitle="Ошибка" error="Допускается ввод не более 900 символов!" sqref="J15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Для выбора выполните двойной щелчок левой клавиши мыши по соответствующей ячейке." sqref="O158"/>
    <dataValidation type="textLength" operator="lessThanOrEqual" allowBlank="1" showInputMessage="1" showErrorMessage="1" errorTitle="Ошибка" error="Допускается ввод не более 900 символов!" sqref="R158">
      <formula1>900</formula1>
    </dataValidation>
    <dataValidation allowBlank="1" showInputMessage="1" showErrorMessage="1" prompt="Для выбора выполните двойной щелчок левой клавиши мыши по соответствующей ячейке." sqref="S158"/>
    <dataValidation type="textLength" operator="lessThanOrEqual" allowBlank="1" showInputMessage="1" showErrorMessage="1" errorTitle="Ошибка" error="Допускается ввод не более 900 символов!" sqref="V158">
      <formula1>900</formula1>
    </dataValidation>
    <dataValidation type="textLength" operator="lessThanOrEqual" allowBlank="1" showInputMessage="1" showErrorMessage="1" errorTitle="Ошибка" error="Допускается ввод не более 900 символов!" sqref="W158">
      <formula1>900</formula1>
    </dataValidation>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type="textLength" operator="lessThanOrEqual" allowBlank="1" showInputMessage="1" showErrorMessage="1" errorTitle="Ошибка" error="Допускается ввод не более 900 символов!" sqref="J18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allowBlank="1" showInputMessage="1" showErrorMessage="1" prompt="Для выбора выполните двойной щелчок левой клавиши мыши по соответствующей ячейке." sqref="O185"/>
    <dataValidation type="textLength" operator="lessThanOrEqual" allowBlank="1" showInputMessage="1" showErrorMessage="1" errorTitle="Ошибка" error="Допускается ввод не более 900 символов!" sqref="R185">
      <formula1>900</formula1>
    </dataValidation>
    <dataValidation allowBlank="1" showInputMessage="1" showErrorMessage="1" prompt="Для выбора выполните двойной щелчок левой клавиши мыши по соответствующей ячейке." sqref="S185"/>
    <dataValidation type="textLength" operator="lessThanOrEqual" allowBlank="1" showInputMessage="1" showErrorMessage="1" errorTitle="Ошибка" error="Допускается ввод не более 900 символов!" sqref="V185">
      <formula1>900</formula1>
    </dataValidation>
    <dataValidation type="textLength" operator="lessThanOrEqual" allowBlank="1" showInputMessage="1" showErrorMessage="1" errorTitle="Ошибка" error="Допускается ввод не более 900 символов!" sqref="W185">
      <formula1>900</formula1>
    </dataValidation>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type="textLength" operator="lessThanOrEqual" allowBlank="1" showInputMessage="1" showErrorMessage="1" errorTitle="Ошибка" error="Допускается ввод не более 900 символов!" sqref="J1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type="textLength" operator="lessThanOrEqual" allowBlank="1" showInputMessage="1" showErrorMessage="1" errorTitle="Ошибка" error="Допускается ввод не более 900 символов!" sqref="R186">
      <formula1>900</formula1>
    </dataValidation>
    <dataValidation allowBlank="1" showInputMessage="1" showErrorMessage="1" prompt="Для выбора выполните двойной щелчок левой клавиши мыши по соответствующей ячейке." sqref="S186"/>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type="textLength" operator="lessThanOrEqual" allowBlank="1" showInputMessage="1" showErrorMessage="1" errorTitle="Ошибка" error="Допускается ввод не более 900 символов!" sqref="J18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allowBlank="1" showInputMessage="1" showErrorMessage="1" prompt="Для выбора выполните двойной щелчок левой клавиши мыши по соответствующей ячейке." sqref="O188"/>
    <dataValidation type="textLength" operator="lessThanOrEqual" allowBlank="1" showInputMessage="1" showErrorMessage="1" errorTitle="Ошибка" error="Допускается ввод не более 900 символов!" sqref="R188">
      <formula1>900</formula1>
    </dataValidation>
    <dataValidation allowBlank="1" showInputMessage="1" showErrorMessage="1" prompt="Для выбора выполните двойной щелчок левой клавиши мыши по соответствующей ячейке." sqref="S188"/>
    <dataValidation type="textLength" operator="lessThanOrEqual" allowBlank="1" showInputMessage="1" showErrorMessage="1" errorTitle="Ошибка" error="Допускается ввод не более 900 символов!" sqref="V188">
      <formula1>900</formula1>
    </dataValidation>
    <dataValidation type="textLength" operator="lessThanOrEqual" allowBlank="1" showInputMessage="1" showErrorMessage="1" errorTitle="Ошибка" error="Допускается ввод не более 900 символов!" sqref="W188">
      <formula1>900</formula1>
    </dataValidation>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type="textLength" operator="lessThanOrEqual" allowBlank="1" showInputMessage="1" showErrorMessage="1" errorTitle="Ошибка" error="Допускается ввод не более 900 символов!" sqref="J1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type="textLength" operator="lessThanOrEqual" allowBlank="1" showInputMessage="1" showErrorMessage="1" errorTitle="Ошибка" error="Допускается ввод не более 900 символов!" sqref="R189">
      <formula1>900</formula1>
    </dataValidation>
    <dataValidation allowBlank="1" showInputMessage="1" showErrorMessage="1" prompt="Для выбора выполните двойной щелчок левой клавиши мыши по соответствующей ячейке." sqref="S189"/>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type="textLength" operator="lessThanOrEqual" allowBlank="1" showInputMessage="1" showErrorMessage="1" errorTitle="Ошибка" error="Допускается ввод не более 900 символов!" sqref="J19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allowBlank="1" showInputMessage="1" showErrorMessage="1" prompt="Для выбора выполните двойной щелчок левой клавиши мыши по соответствующей ячейке." sqref="O191"/>
    <dataValidation type="textLength" operator="lessThanOrEqual" allowBlank="1" showInputMessage="1" showErrorMessage="1" errorTitle="Ошибка" error="Допускается ввод не более 900 символов!" sqref="R191">
      <formula1>900</formula1>
    </dataValidation>
    <dataValidation allowBlank="1" showInputMessage="1" showErrorMessage="1" prompt="Для выбора выполните двойной щелчок левой клавиши мыши по соответствующей ячейке." sqref="S191"/>
    <dataValidation type="textLength" operator="lessThanOrEqual" allowBlank="1" showInputMessage="1" showErrorMessage="1" errorTitle="Ошибка" error="Допускается ввод не более 900 символов!" sqref="V191">
      <formula1>900</formula1>
    </dataValidation>
    <dataValidation type="textLength" operator="lessThanOrEqual" allowBlank="1" showInputMessage="1" showErrorMessage="1" errorTitle="Ошибка" error="Допускается ввод не более 900 символов!" sqref="W191">
      <formula1>900</formula1>
    </dataValidation>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v>
      </c>
    </row>
    <row r="2" spans="1:31" ht="10.5" hidden="1" customHeight="1">
      <c r="AE2" s="692">
        <v>0</v>
      </c>
    </row>
    <row r="3" spans="1:31" s="1558" customFormat="1" ht="10.5" hidden="1" customHeight="1">
      <c r="A3" s="824"/>
      <c r="B3" s="824"/>
      <c r="C3" s="824"/>
      <c r="D3" s="353"/>
      <c r="E3" s="298"/>
      <c r="G3" s="1558" t="s">
        <v>1213</v>
      </c>
      <c r="H3" s="1082"/>
      <c r="AE3" s="693">
        <v>0</v>
      </c>
    </row>
    <row r="4" spans="1:31" ht="3" customHeight="1">
      <c r="AE4" s="692">
        <v>3</v>
      </c>
    </row>
    <row r="5" spans="1:31" ht="27.4" customHeight="1">
      <c r="F5" s="24069" t="str">
        <f>IP_NAME_FORM</f>
        <v>Форма 7. Информация об инвестиционных программах организации горячего водоснабжения и отчетах об их исполнении</v>
      </c>
      <c r="G5" s="24069"/>
      <c r="H5" s="24069"/>
      <c r="I5" s="24069"/>
      <c r="J5" s="24069"/>
      <c r="K5" s="24069"/>
      <c r="M5" s="518"/>
      <c r="AB5" s="835"/>
      <c r="AE5" s="692">
        <v>26</v>
      </c>
    </row>
    <row r="6" spans="1:31" s="1561" customFormat="1" ht="16.899999999999999" customHeight="1">
      <c r="A6" s="1092"/>
      <c r="B6" s="1092"/>
      <c r="C6" s="1092"/>
      <c r="D6" s="1086"/>
      <c r="F6" s="24042" t="str">
        <f>IF(org=0,"Не определено",org)</f>
        <v>ООО "Смоленскрегионтеплоэнерго"</v>
      </c>
      <c r="G6" s="24042"/>
      <c r="H6" s="24042"/>
      <c r="I6" s="24042"/>
      <c r="J6" s="24042"/>
      <c r="K6" s="24042"/>
      <c r="M6" s="518"/>
      <c r="AB6" s="1074"/>
      <c r="AE6" s="1557">
        <v>16</v>
      </c>
    </row>
    <row r="7" spans="1:31" ht="10.5" customHeight="1">
      <c r="AE7" s="692">
        <v>10</v>
      </c>
    </row>
    <row r="8" spans="1:31" ht="10.5" customHeight="1">
      <c r="A8" s="980"/>
      <c r="B8" s="980"/>
      <c r="C8" s="980"/>
      <c r="F8" s="23928" t="s">
        <v>529</v>
      </c>
      <c r="G8" s="23933"/>
      <c r="H8" s="23933"/>
      <c r="I8" s="23933"/>
      <c r="J8" s="23933"/>
      <c r="K8" s="23933"/>
      <c r="L8" s="23933"/>
      <c r="M8" s="23933"/>
      <c r="N8" s="23933"/>
      <c r="O8" s="23933"/>
      <c r="P8" s="23933"/>
      <c r="Q8" s="23933"/>
      <c r="R8" s="23933"/>
      <c r="S8" s="23933"/>
      <c r="T8" s="23933"/>
      <c r="U8" s="23933"/>
      <c r="V8" s="23933"/>
      <c r="W8" s="23933"/>
      <c r="X8" s="23933"/>
      <c r="Y8" s="23933"/>
      <c r="Z8" s="23933"/>
      <c r="AA8" s="23933"/>
      <c r="AB8" s="23927"/>
      <c r="AE8" s="692">
        <v>10</v>
      </c>
    </row>
    <row r="9" spans="1:31" ht="43.15" customHeight="1">
      <c r="A9" s="834"/>
      <c r="B9" s="834"/>
      <c r="C9" s="834"/>
      <c r="F9" s="23947" t="s">
        <v>79</v>
      </c>
      <c r="G9" s="23947" t="s">
        <v>1213</v>
      </c>
      <c r="H9" s="24022" t="s">
        <v>1214</v>
      </c>
      <c r="I9" s="23947" t="s">
        <v>1215</v>
      </c>
      <c r="J9" s="23947" t="s">
        <v>1216</v>
      </c>
      <c r="K9" s="23947" t="s">
        <v>1217</v>
      </c>
      <c r="L9" s="23947" t="s">
        <v>1218</v>
      </c>
      <c r="M9" s="23947" t="s">
        <v>1219</v>
      </c>
      <c r="N9" s="24050" t="s">
        <v>1220</v>
      </c>
      <c r="O9" s="24050"/>
      <c r="P9" s="24050"/>
      <c r="Q9" s="24102" t="s">
        <v>1221</v>
      </c>
      <c r="R9" s="24103"/>
      <c r="S9" s="24103"/>
      <c r="T9" s="24104"/>
      <c r="U9" s="24102" t="s">
        <v>1222</v>
      </c>
      <c r="V9" s="24103"/>
      <c r="W9" s="24103"/>
      <c r="X9" s="24104"/>
      <c r="Y9" s="23928" t="s">
        <v>1223</v>
      </c>
      <c r="Z9" s="23933"/>
      <c r="AA9" s="23933"/>
      <c r="AB9" s="23927"/>
      <c r="AE9" s="692">
        <v>41</v>
      </c>
    </row>
    <row r="10" spans="1:31" ht="43.15" customHeight="1">
      <c r="A10" s="834"/>
      <c r="B10" s="834"/>
      <c r="C10" s="834"/>
      <c r="F10" s="24022"/>
      <c r="G10" s="24022"/>
      <c r="H10" s="24074"/>
      <c r="I10" s="24022"/>
      <c r="J10" s="24022"/>
      <c r="K10" s="24022"/>
      <c r="L10" s="24022"/>
      <c r="M10" s="24022"/>
      <c r="N10" s="832" t="s">
        <v>1224</v>
      </c>
      <c r="O10" s="832" t="s">
        <v>1225</v>
      </c>
      <c r="P10" s="833" t="s">
        <v>1226</v>
      </c>
      <c r="Q10" s="844" t="s">
        <v>80</v>
      </c>
      <c r="R10" s="844" t="s">
        <v>1227</v>
      </c>
      <c r="S10" s="844" t="s">
        <v>1228</v>
      </c>
      <c r="T10" s="845" t="s">
        <v>1229</v>
      </c>
      <c r="U10" s="844" t="s">
        <v>80</v>
      </c>
      <c r="V10" s="844" t="s">
        <v>1230</v>
      </c>
      <c r="W10" s="844" t="s">
        <v>1228</v>
      </c>
      <c r="X10" s="845" t="s">
        <v>1229</v>
      </c>
      <c r="Y10" s="237" t="s">
        <v>1231</v>
      </c>
      <c r="Z10" s="23928" t="s">
        <v>79</v>
      </c>
      <c r="AA10" s="23927"/>
      <c r="AB10" s="978" t="s">
        <v>1232</v>
      </c>
      <c r="AE10" s="692">
        <v>41</v>
      </c>
    </row>
    <row r="11" spans="1:31" s="1568" customFormat="1" ht="5.25" hidden="1" customHeight="1">
      <c r="A11" s="981"/>
      <c r="B11" s="981"/>
      <c r="C11" s="981"/>
      <c r="E11" s="979"/>
      <c r="F11" s="24013" t="s">
        <v>605</v>
      </c>
      <c r="G11" s="24243"/>
      <c r="H11" s="24240"/>
      <c r="I11" s="24240"/>
      <c r="J11" s="24240"/>
      <c r="K11" s="24242"/>
      <c r="L11" s="24242"/>
      <c r="M11" s="24242"/>
      <c r="N11" s="24240"/>
      <c r="O11" s="24240"/>
      <c r="P11" s="23947"/>
      <c r="Q11" s="24032"/>
      <c r="R11" s="24032"/>
      <c r="S11" s="24032"/>
      <c r="T11" s="24240"/>
      <c r="U11" s="24032"/>
      <c r="V11" s="24032"/>
      <c r="W11" s="24032"/>
      <c r="X11" s="24240"/>
      <c r="Y11" s="23958"/>
      <c r="Z11" s="23958"/>
      <c r="AA11" s="23958"/>
      <c r="AB11" s="23958"/>
      <c r="AD11" s="447" t="s">
        <v>1233</v>
      </c>
      <c r="AE11" s="447">
        <v>0</v>
      </c>
    </row>
    <row r="12" spans="1:31" s="1568" customFormat="1" ht="5.25" hidden="1" customHeight="1">
      <c r="A12" s="825"/>
      <c r="B12" s="825"/>
      <c r="C12" s="825"/>
      <c r="E12" s="454"/>
      <c r="F12" s="24013"/>
      <c r="G12" s="24243"/>
      <c r="H12" s="24240"/>
      <c r="I12" s="24240"/>
      <c r="J12" s="24240"/>
      <c r="K12" s="24242"/>
      <c r="L12" s="24242"/>
      <c r="M12" s="24242"/>
      <c r="N12" s="24240"/>
      <c r="O12" s="24240"/>
      <c r="P12" s="23947"/>
      <c r="Q12" s="24032"/>
      <c r="R12" s="24032"/>
      <c r="S12" s="24032"/>
      <c r="T12" s="24240"/>
      <c r="U12" s="24032"/>
      <c r="V12" s="24032"/>
      <c r="W12" s="24032"/>
      <c r="X12" s="24240"/>
      <c r="Y12" s="24241"/>
      <c r="Z12" s="24241"/>
      <c r="AA12" s="24241"/>
      <c r="AB12" s="24241"/>
      <c r="AE12" s="447">
        <v>0</v>
      </c>
    </row>
    <row r="13" spans="1:31" ht="10.5" customHeight="1">
      <c r="F13" s="831"/>
      <c r="G13" s="586" t="s">
        <v>1234</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73</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4069" t="str">
        <f>IP_NAME_FORM</f>
        <v>Форма 7. Информация об инвестиционных программах организации горячего водоснабжения и отчетах об их исполнении</v>
      </c>
      <c r="G5" s="24069"/>
      <c r="H5" s="24069"/>
      <c r="I5" s="24069"/>
      <c r="J5" s="24069"/>
      <c r="K5" s="24069"/>
      <c r="L5" s="1061"/>
      <c r="M5" s="1061"/>
      <c r="AG5" s="835"/>
      <c r="AH5" s="1074"/>
      <c r="BG5" s="692">
        <v>26</v>
      </c>
    </row>
    <row r="6" spans="1:59" ht="10.5" customHeight="1">
      <c r="F6" s="24042" t="str">
        <f>IF(org=0,"Не определено",org)</f>
        <v>ООО "Смоленскрегионтеплоэнерго"</v>
      </c>
      <c r="G6" s="24042"/>
      <c r="H6" s="24042"/>
      <c r="I6" s="24042"/>
      <c r="J6" s="24042"/>
      <c r="K6" s="24042"/>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4246" t="s">
        <v>529</v>
      </c>
      <c r="G8" s="24247"/>
      <c r="H8" s="24247"/>
      <c r="I8" s="24247"/>
      <c r="J8" s="24247"/>
      <c r="K8" s="24247"/>
      <c r="L8" s="24247"/>
      <c r="M8" s="24247"/>
      <c r="N8" s="24247"/>
      <c r="O8" s="24247"/>
      <c r="P8" s="24247"/>
      <c r="Q8" s="24247"/>
      <c r="R8" s="24247"/>
      <c r="S8" s="24247"/>
      <c r="T8" s="24247"/>
      <c r="U8" s="24247"/>
      <c r="V8" s="24247"/>
      <c r="W8" s="24247"/>
      <c r="X8" s="24247"/>
      <c r="Y8" s="24247"/>
      <c r="Z8" s="24247"/>
      <c r="AA8" s="24247"/>
      <c r="AB8" s="24247"/>
      <c r="AC8" s="24247"/>
      <c r="AD8" s="24247"/>
      <c r="AE8" s="24247"/>
      <c r="AF8" s="24247"/>
      <c r="AG8" s="24247"/>
      <c r="AH8" s="24247"/>
      <c r="AI8" s="24247"/>
      <c r="AJ8" s="24247"/>
      <c r="AK8" s="24248"/>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4050" t="s">
        <v>1235</v>
      </c>
      <c r="G9" s="24150" t="s">
        <v>1236</v>
      </c>
      <c r="H9" s="24229"/>
      <c r="I9" s="23947" t="s">
        <v>1237</v>
      </c>
      <c r="J9" s="23947"/>
      <c r="K9" s="23947" t="s">
        <v>1238</v>
      </c>
      <c r="L9" s="23947"/>
      <c r="M9" s="23947"/>
      <c r="N9" s="23947"/>
      <c r="O9" s="23947"/>
      <c r="P9" s="23947"/>
      <c r="Q9" s="23947"/>
      <c r="R9" s="23947"/>
      <c r="S9" s="23947"/>
      <c r="T9" s="23947"/>
      <c r="U9" s="23947"/>
      <c r="V9" s="23947"/>
      <c r="W9" s="23947"/>
      <c r="X9" s="23947"/>
      <c r="Y9" s="23947"/>
      <c r="Z9" s="24023" t="s">
        <v>1239</v>
      </c>
      <c r="AA9" s="24024"/>
      <c r="AB9" s="23947" t="s">
        <v>1240</v>
      </c>
      <c r="AC9" s="23947"/>
      <c r="AD9" s="23947"/>
      <c r="AE9" s="23947"/>
      <c r="AF9" s="24022" t="s">
        <v>1241</v>
      </c>
      <c r="AG9" s="23947" t="s">
        <v>1242</v>
      </c>
      <c r="AH9" s="23947"/>
      <c r="AI9" s="24022" t="s">
        <v>1243</v>
      </c>
      <c r="AJ9" s="23947" t="s">
        <v>1244</v>
      </c>
      <c r="AK9" s="23947"/>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4050"/>
      <c r="G10" s="24151"/>
      <c r="H10" s="24054"/>
      <c r="I10" s="23947"/>
      <c r="J10" s="23947"/>
      <c r="K10" s="23947" t="s">
        <v>1245</v>
      </c>
      <c r="L10" s="23928" t="s">
        <v>1246</v>
      </c>
      <c r="M10" s="23927"/>
      <c r="N10" s="23947" t="s">
        <v>1247</v>
      </c>
      <c r="O10" s="23947"/>
      <c r="P10" s="23947"/>
      <c r="Q10" s="23947"/>
      <c r="R10" s="23947"/>
      <c r="S10" s="23947"/>
      <c r="T10" s="23947"/>
      <c r="U10" s="23947"/>
      <c r="V10" s="23947"/>
      <c r="W10" s="23947"/>
      <c r="X10" s="23947"/>
      <c r="Y10" s="23947"/>
      <c r="Z10" s="24025"/>
      <c r="AA10" s="24026"/>
      <c r="AB10" s="23947"/>
      <c r="AC10" s="23947"/>
      <c r="AD10" s="23947"/>
      <c r="AE10" s="23947"/>
      <c r="AF10" s="24027"/>
      <c r="AG10" s="23947"/>
      <c r="AH10" s="23947"/>
      <c r="AI10" s="24027"/>
      <c r="AJ10" s="23947"/>
      <c r="AK10" s="23947"/>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4050"/>
      <c r="G11" s="24151"/>
      <c r="H11" s="24054"/>
      <c r="I11" s="23947"/>
      <c r="J11" s="23947"/>
      <c r="K11" s="23947"/>
      <c r="L11" s="24022" t="s">
        <v>1248</v>
      </c>
      <c r="M11" s="24022" t="s">
        <v>1249</v>
      </c>
      <c r="N11" s="23947" t="s">
        <v>1250</v>
      </c>
      <c r="O11" s="23947"/>
      <c r="P11" s="24009" t="s">
        <v>1231</v>
      </c>
      <c r="Q11" s="24009" t="s">
        <v>1251</v>
      </c>
      <c r="R11" s="24009" t="s">
        <v>1252</v>
      </c>
      <c r="S11" s="24009" t="s">
        <v>1253</v>
      </c>
      <c r="T11" s="24009"/>
      <c r="U11" s="24009"/>
      <c r="V11" s="24009"/>
      <c r="W11" s="24009"/>
      <c r="X11" s="24009"/>
      <c r="Y11" s="24009"/>
      <c r="Z11" s="24025"/>
      <c r="AA11" s="24026"/>
      <c r="AB11" s="23947" t="s">
        <v>1254</v>
      </c>
      <c r="AC11" s="23947"/>
      <c r="AD11" s="23928" t="s">
        <v>1255</v>
      </c>
      <c r="AE11" s="23927"/>
      <c r="AF11" s="24027"/>
      <c r="AG11" s="23947"/>
      <c r="AH11" s="23947"/>
      <c r="AI11" s="24027"/>
      <c r="AJ11" s="23947"/>
      <c r="AK11" s="23947"/>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4050"/>
      <c r="G12" s="24152"/>
      <c r="H12" s="24245"/>
      <c r="I12" s="1079" t="s">
        <v>80</v>
      </c>
      <c r="J12" s="1079" t="s">
        <v>1256</v>
      </c>
      <c r="K12" s="23947"/>
      <c r="L12" s="24074"/>
      <c r="M12" s="24074"/>
      <c r="N12" s="23947"/>
      <c r="O12" s="23947"/>
      <c r="P12" s="24009"/>
      <c r="Q12" s="24009"/>
      <c r="R12" s="24009"/>
      <c r="S12" s="1060" t="s">
        <v>77</v>
      </c>
      <c r="T12" s="1060" t="s">
        <v>78</v>
      </c>
      <c r="U12" s="1060" t="s">
        <v>76</v>
      </c>
      <c r="V12" s="1060" t="s">
        <v>1257</v>
      </c>
      <c r="W12" s="1060" t="s">
        <v>76</v>
      </c>
      <c r="X12" s="1060" t="s">
        <v>1258</v>
      </c>
      <c r="Y12" s="1060" t="s">
        <v>1259</v>
      </c>
      <c r="Z12" s="24028"/>
      <c r="AA12" s="24029"/>
      <c r="AB12" s="1067" t="s">
        <v>1260</v>
      </c>
      <c r="AC12" s="1067" t="s">
        <v>1261</v>
      </c>
      <c r="AD12" s="1067" t="s">
        <v>1260</v>
      </c>
      <c r="AE12" s="1067" t="s">
        <v>1261</v>
      </c>
      <c r="AF12" s="24074"/>
      <c r="AG12" s="1080" t="s">
        <v>1262</v>
      </c>
      <c r="AH12" s="1080" t="s">
        <v>1263</v>
      </c>
      <c r="AI12" s="24074"/>
      <c r="AJ12" s="1080" t="s">
        <v>1262</v>
      </c>
      <c r="AK12" s="1080" t="s">
        <v>1263</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1264</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4244"/>
      <c r="G17" s="24244"/>
      <c r="H17" s="24244"/>
      <c r="I17" s="24244"/>
      <c r="J17" s="24244"/>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4244"/>
      <c r="G18" s="24244"/>
      <c r="H18" s="24244"/>
      <c r="I18" s="24244"/>
      <c r="J18" s="24244"/>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4244"/>
      <c r="G19" s="24244"/>
      <c r="H19" s="24244"/>
      <c r="I19" s="24244"/>
      <c r="J19" s="24244"/>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73</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4069"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069"/>
      <c r="H5" s="24069"/>
      <c r="I5" s="24069"/>
      <c r="J5" s="24069"/>
      <c r="W5" s="1081">
        <v>26</v>
      </c>
    </row>
    <row r="6" spans="1:23" ht="10.5" customHeight="1">
      <c r="F6" s="24042" t="str">
        <f>IF(org=0,"Не определено",org)</f>
        <v>ООО "Смоленскрегионтеплоэнерго"</v>
      </c>
      <c r="G6" s="24042"/>
      <c r="H6" s="24042"/>
      <c r="I6" s="24042"/>
      <c r="J6" s="24042"/>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4249" t="s">
        <v>529</v>
      </c>
      <c r="G9" s="24250"/>
      <c r="H9" s="24250"/>
      <c r="I9" s="24250"/>
      <c r="J9" s="24250"/>
      <c r="K9" s="1166"/>
      <c r="L9" s="1083"/>
      <c r="M9" s="1083"/>
      <c r="N9" s="1083"/>
      <c r="O9" s="1083"/>
      <c r="P9" s="1083"/>
      <c r="Q9" s="1083"/>
      <c r="R9" s="1083"/>
      <c r="S9" s="1083"/>
      <c r="T9" s="1083"/>
      <c r="U9" s="1083"/>
      <c r="V9" s="1083"/>
      <c r="W9" s="1081">
        <v>10</v>
      </c>
    </row>
    <row r="10" spans="1:23" ht="25.15" customHeight="1">
      <c r="E10" s="1083"/>
      <c r="F10" s="24253" t="s">
        <v>79</v>
      </c>
      <c r="G10" s="24257" t="s">
        <v>1265</v>
      </c>
      <c r="H10" s="24240" t="s">
        <v>1266</v>
      </c>
      <c r="I10" s="24240"/>
      <c r="J10" s="24240"/>
      <c r="K10" s="1159"/>
      <c r="L10" s="1083"/>
      <c r="M10" s="1083"/>
      <c r="N10" s="1083"/>
      <c r="O10" s="1083"/>
      <c r="P10" s="1083"/>
      <c r="Q10" s="1083"/>
      <c r="R10" s="1083"/>
      <c r="S10" s="1083"/>
      <c r="T10" s="1083"/>
      <c r="U10" s="1083"/>
      <c r="V10" s="1083"/>
      <c r="W10" s="1081">
        <v>24</v>
      </c>
    </row>
    <row r="11" spans="1:23" ht="25.5" customHeight="1">
      <c r="E11" s="1083"/>
      <c r="F11" s="24254"/>
      <c r="G11" s="24257"/>
      <c r="H11" s="24256" t="e">
        <f>INDEX(IP_MAIN_LIST_NAME_IP,MATCH(H8,IP_MAIN_LIST_IP_ID,0))&amp;" ("&amp;INDEX(IP_MAIN_START_DATE,MATCH(H8,IP_MAIN_LIST_IP_ID,0))&amp;"-"&amp;INDEX(IP_MAIN_END_DATE,MATCH(H8,IP_MAIN_LIST_IP_ID,0))&amp;")"</f>
        <v>#N/A</v>
      </c>
      <c r="I11" s="24256"/>
      <c r="J11" s="24256"/>
      <c r="K11" s="1159"/>
      <c r="L11" s="1083"/>
      <c r="M11" s="1083"/>
      <c r="N11" s="1083"/>
      <c r="O11" s="1083"/>
      <c r="P11" s="1083"/>
      <c r="Q11" s="1083"/>
      <c r="R11" s="1083"/>
      <c r="S11" s="1083"/>
      <c r="T11" s="1083"/>
      <c r="U11" s="1083"/>
      <c r="V11" s="1083"/>
      <c r="W11" s="1081">
        <v>24</v>
      </c>
    </row>
    <row r="12" spans="1:23" ht="10.5" customHeight="1">
      <c r="F12" s="24255"/>
      <c r="G12" s="24257"/>
      <c r="H12" s="1152" t="s">
        <v>1267</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1268</v>
      </c>
      <c r="G14" s="24251" t="s">
        <v>1269</v>
      </c>
      <c r="H14" s="24251"/>
      <c r="I14" s="24251"/>
      <c r="J14" s="24251"/>
      <c r="K14" s="1160"/>
      <c r="W14" s="1081">
        <v>11</v>
      </c>
    </row>
    <row r="15" spans="1:23" ht="11.45" customHeight="1">
      <c r="F15" s="1156">
        <v>1</v>
      </c>
      <c r="G15" s="626" t="s">
        <v>1270</v>
      </c>
      <c r="H15" s="1162">
        <f t="shared" ref="H15:H36" si="0">SUM(I15:J15)</f>
        <v>0</v>
      </c>
      <c r="I15" s="1162">
        <f>SUM(I16:I27)</f>
        <v>0</v>
      </c>
      <c r="J15" s="1151"/>
      <c r="K15" s="1160"/>
      <c r="W15" s="1081">
        <v>11</v>
      </c>
    </row>
    <row r="16" spans="1:23" ht="24" customHeight="1">
      <c r="F16" s="1156" t="s">
        <v>1271</v>
      </c>
      <c r="G16" s="1163" t="s">
        <v>1272</v>
      </c>
      <c r="H16" s="1162">
        <f t="shared" si="0"/>
        <v>0</v>
      </c>
      <c r="I16" s="1161"/>
      <c r="J16" s="1151"/>
      <c r="K16" s="1160"/>
      <c r="W16" s="1081">
        <v>23</v>
      </c>
    </row>
    <row r="17" spans="6:23" ht="24" customHeight="1">
      <c r="F17" s="1156" t="s">
        <v>1273</v>
      </c>
      <c r="G17" s="1163" t="s">
        <v>1274</v>
      </c>
      <c r="H17" s="1162">
        <f t="shared" si="0"/>
        <v>0</v>
      </c>
      <c r="I17" s="1161"/>
      <c r="J17" s="1151"/>
      <c r="K17" s="1160"/>
      <c r="W17" s="1081">
        <v>23</v>
      </c>
    </row>
    <row r="18" spans="6:23" ht="35.65" customHeight="1">
      <c r="F18" s="1156" t="s">
        <v>1275</v>
      </c>
      <c r="G18" s="1163" t="s">
        <v>1276</v>
      </c>
      <c r="H18" s="1162">
        <f t="shared" si="0"/>
        <v>0</v>
      </c>
      <c r="I18" s="1161"/>
      <c r="J18" s="1151"/>
      <c r="K18" s="1160"/>
      <c r="W18" s="1081">
        <v>34</v>
      </c>
    </row>
    <row r="19" spans="6:23" ht="35.65" customHeight="1">
      <c r="F19" s="1156" t="s">
        <v>1277</v>
      </c>
      <c r="G19" s="1163" t="s">
        <v>1278</v>
      </c>
      <c r="H19" s="1162">
        <f t="shared" si="0"/>
        <v>0</v>
      </c>
      <c r="I19" s="1161"/>
      <c r="J19" s="1151"/>
      <c r="K19" s="1160"/>
      <c r="W19" s="1081">
        <v>34</v>
      </c>
    </row>
    <row r="20" spans="6:23" ht="48.2" customHeight="1">
      <c r="F20" s="1156" t="s">
        <v>1279</v>
      </c>
      <c r="G20" s="1163" t="s">
        <v>1280</v>
      </c>
      <c r="H20" s="1162">
        <f t="shared" si="0"/>
        <v>0</v>
      </c>
      <c r="I20" s="1161"/>
      <c r="J20" s="1151"/>
      <c r="K20" s="1160"/>
      <c r="W20" s="1081">
        <v>46</v>
      </c>
    </row>
    <row r="21" spans="6:23" ht="35.65" customHeight="1">
      <c r="F21" s="1156" t="s">
        <v>1281</v>
      </c>
      <c r="G21" s="1163" t="s">
        <v>1282</v>
      </c>
      <c r="H21" s="1162">
        <f t="shared" si="0"/>
        <v>0</v>
      </c>
      <c r="I21" s="1161"/>
      <c r="J21" s="1151"/>
      <c r="K21" s="1160"/>
      <c r="W21" s="1081">
        <v>34</v>
      </c>
    </row>
    <row r="22" spans="6:23" ht="35.65" customHeight="1">
      <c r="F22" s="1156" t="s">
        <v>1283</v>
      </c>
      <c r="G22" s="1163" t="s">
        <v>1284</v>
      </c>
      <c r="H22" s="1162">
        <f t="shared" si="0"/>
        <v>0</v>
      </c>
      <c r="I22" s="1161"/>
      <c r="J22" s="1151"/>
      <c r="K22" s="1160"/>
      <c r="W22" s="1081">
        <v>34</v>
      </c>
    </row>
    <row r="23" spans="6:23" ht="24" customHeight="1">
      <c r="F23" s="1156" t="s">
        <v>1285</v>
      </c>
      <c r="G23" s="1163" t="s">
        <v>1286</v>
      </c>
      <c r="H23" s="1162">
        <f t="shared" si="0"/>
        <v>0</v>
      </c>
      <c r="I23" s="1161"/>
      <c r="J23" s="1151"/>
      <c r="K23" s="1160"/>
      <c r="W23" s="1081">
        <v>23</v>
      </c>
    </row>
    <row r="24" spans="6:23" ht="24" customHeight="1">
      <c r="F24" s="1156" t="s">
        <v>1287</v>
      </c>
      <c r="G24" s="1163" t="s">
        <v>1288</v>
      </c>
      <c r="H24" s="1162">
        <f t="shared" si="0"/>
        <v>0</v>
      </c>
      <c r="I24" s="1161"/>
      <c r="J24" s="1151"/>
      <c r="K24" s="1160"/>
      <c r="W24" s="1081">
        <v>23</v>
      </c>
    </row>
    <row r="25" spans="6:23" ht="35.65" customHeight="1">
      <c r="F25" s="1156" t="s">
        <v>1289</v>
      </c>
      <c r="G25" s="1163" t="s">
        <v>1290</v>
      </c>
      <c r="H25" s="1162">
        <f t="shared" si="0"/>
        <v>0</v>
      </c>
      <c r="I25" s="1161"/>
      <c r="J25" s="1151"/>
      <c r="K25" s="1160"/>
      <c r="W25" s="1081">
        <v>34</v>
      </c>
    </row>
    <row r="26" spans="6:23" ht="35.65" customHeight="1">
      <c r="F26" s="1156" t="s">
        <v>1291</v>
      </c>
      <c r="G26" s="1163" t="s">
        <v>1292</v>
      </c>
      <c r="H26" s="1162">
        <f t="shared" si="0"/>
        <v>0</v>
      </c>
      <c r="I26" s="1161"/>
      <c r="J26" s="1151"/>
      <c r="K26" s="1160"/>
      <c r="W26" s="1081">
        <v>34</v>
      </c>
    </row>
    <row r="27" spans="6:23" ht="11.45" customHeight="1">
      <c r="F27" s="1156" t="s">
        <v>1293</v>
      </c>
      <c r="G27" s="1163" t="s">
        <v>1294</v>
      </c>
      <c r="H27" s="1162">
        <f t="shared" si="0"/>
        <v>0</v>
      </c>
      <c r="I27" s="1161"/>
      <c r="J27" s="1151"/>
      <c r="K27" s="1160"/>
      <c r="W27" s="1081">
        <v>11</v>
      </c>
    </row>
    <row r="28" spans="6:23" ht="11.45" customHeight="1">
      <c r="F28" s="1156">
        <v>2</v>
      </c>
      <c r="G28" s="626" t="s">
        <v>1295</v>
      </c>
      <c r="H28" s="1162">
        <f t="shared" si="0"/>
        <v>0</v>
      </c>
      <c r="I28" s="1162">
        <f>SUM(I29:I31)</f>
        <v>0</v>
      </c>
      <c r="J28" s="1151"/>
      <c r="K28" s="1160"/>
      <c r="W28" s="1081">
        <v>11</v>
      </c>
    </row>
    <row r="29" spans="6:23" ht="11.45" customHeight="1">
      <c r="F29" s="1156" t="s">
        <v>958</v>
      </c>
      <c r="G29" s="1163" t="s">
        <v>1296</v>
      </c>
      <c r="H29" s="1162">
        <f t="shared" si="0"/>
        <v>0</v>
      </c>
      <c r="I29" s="1161"/>
      <c r="J29" s="1151"/>
      <c r="K29" s="1160"/>
      <c r="W29" s="1081">
        <v>11</v>
      </c>
    </row>
    <row r="30" spans="6:23" ht="11.45" customHeight="1">
      <c r="F30" s="1156" t="s">
        <v>536</v>
      </c>
      <c r="G30" s="1163" t="s">
        <v>1297</v>
      </c>
      <c r="H30" s="1162">
        <f t="shared" si="0"/>
        <v>0</v>
      </c>
      <c r="I30" s="1161"/>
      <c r="J30" s="1151"/>
      <c r="K30" s="1160"/>
      <c r="W30" s="1081">
        <v>11</v>
      </c>
    </row>
    <row r="31" spans="6:23" ht="11.45" customHeight="1">
      <c r="F31" s="1156" t="s">
        <v>539</v>
      </c>
      <c r="G31" s="1163" t="s">
        <v>1298</v>
      </c>
      <c r="H31" s="1162">
        <f t="shared" si="0"/>
        <v>0</v>
      </c>
      <c r="I31" s="1161"/>
      <c r="J31" s="1151"/>
      <c r="K31" s="1160"/>
      <c r="W31" s="1081">
        <v>11</v>
      </c>
    </row>
    <row r="32" spans="6:23" ht="11.45" customHeight="1">
      <c r="F32" s="1156">
        <v>3</v>
      </c>
      <c r="G32" s="626" t="s">
        <v>1299</v>
      </c>
      <c r="H32" s="1162">
        <f t="shared" si="0"/>
        <v>0</v>
      </c>
      <c r="I32" s="1162">
        <f>SUM(I33:I34)</f>
        <v>0</v>
      </c>
      <c r="J32" s="1151"/>
      <c r="K32" s="1160"/>
      <c r="W32" s="1081">
        <v>11</v>
      </c>
    </row>
    <row r="33" spans="6:23" ht="48.2" customHeight="1">
      <c r="F33" s="1156" t="s">
        <v>553</v>
      </c>
      <c r="G33" s="1163" t="s">
        <v>1300</v>
      </c>
      <c r="H33" s="1162">
        <f t="shared" si="0"/>
        <v>0</v>
      </c>
      <c r="I33" s="1161"/>
      <c r="J33" s="1151"/>
      <c r="K33" s="1160"/>
      <c r="W33" s="1081">
        <v>46</v>
      </c>
    </row>
    <row r="34" spans="6:23" ht="11.45" customHeight="1">
      <c r="F34" s="1156" t="s">
        <v>561</v>
      </c>
      <c r="G34" s="1163" t="s">
        <v>1301</v>
      </c>
      <c r="H34" s="1162">
        <f t="shared" si="0"/>
        <v>0</v>
      </c>
      <c r="I34" s="1161"/>
      <c r="J34" s="1151"/>
      <c r="K34" s="1160"/>
      <c r="W34" s="1081">
        <v>11</v>
      </c>
    </row>
    <row r="35" spans="6:23" ht="11.45" customHeight="1">
      <c r="F35" s="1156">
        <v>4</v>
      </c>
      <c r="G35" s="626" t="s">
        <v>1302</v>
      </c>
      <c r="H35" s="1162">
        <f t="shared" si="0"/>
        <v>0</v>
      </c>
      <c r="I35" s="1161"/>
      <c r="J35" s="1151"/>
      <c r="K35" s="1160"/>
      <c r="W35" s="1081">
        <v>11</v>
      </c>
    </row>
    <row r="36" spans="6:23" ht="11.45" customHeight="1">
      <c r="F36" s="1156"/>
      <c r="G36" s="629" t="s">
        <v>1303</v>
      </c>
      <c r="H36" s="1162">
        <f t="shared" si="0"/>
        <v>0</v>
      </c>
      <c r="I36" s="1162">
        <f>SUM(I15,I28,I32,I35)</f>
        <v>0</v>
      </c>
      <c r="J36" s="1151"/>
      <c r="K36" s="1160"/>
      <c r="W36" s="1081">
        <v>11</v>
      </c>
    </row>
    <row r="37" spans="6:23" ht="29.25" customHeight="1">
      <c r="F37" s="1157" t="s">
        <v>1304</v>
      </c>
      <c r="G37" s="24252" t="s">
        <v>1305</v>
      </c>
      <c r="H37" s="24252"/>
      <c r="I37" s="24252"/>
      <c r="J37" s="24252"/>
      <c r="K37" s="1160"/>
      <c r="W37" s="1081">
        <v>28</v>
      </c>
    </row>
    <row r="38" spans="6:23" ht="24" customHeight="1">
      <c r="F38" s="1156" t="s">
        <v>218</v>
      </c>
      <c r="G38" s="626" t="s">
        <v>1306</v>
      </c>
      <c r="H38" s="1162">
        <f t="shared" ref="H38:H58" si="1">SUM(I38:J38)</f>
        <v>0</v>
      </c>
      <c r="I38" s="1162">
        <f>SUM(I39,I44,I47)</f>
        <v>0</v>
      </c>
      <c r="J38" s="1151"/>
      <c r="K38" s="1160"/>
      <c r="W38" s="1081">
        <v>23</v>
      </c>
    </row>
    <row r="39" spans="6:23" ht="11.45" customHeight="1">
      <c r="F39" s="1156" t="s">
        <v>1271</v>
      </c>
      <c r="G39" s="1163" t="s">
        <v>1270</v>
      </c>
      <c r="H39" s="1162">
        <f t="shared" si="1"/>
        <v>0</v>
      </c>
      <c r="I39" s="1162">
        <f>SUM(I40:I43)</f>
        <v>0</v>
      </c>
      <c r="J39" s="1151"/>
      <c r="K39" s="1160"/>
      <c r="W39" s="1081">
        <v>11</v>
      </c>
    </row>
    <row r="40" spans="6:23" ht="24" customHeight="1">
      <c r="F40" s="1156" t="s">
        <v>1307</v>
      </c>
      <c r="G40" s="1164" t="s">
        <v>1308</v>
      </c>
      <c r="H40" s="1162">
        <f t="shared" si="1"/>
        <v>0</v>
      </c>
      <c r="I40" s="1161"/>
      <c r="J40" s="1151"/>
      <c r="K40" s="1160"/>
      <c r="W40" s="1081">
        <v>23</v>
      </c>
    </row>
    <row r="41" spans="6:23" ht="11.45" customHeight="1">
      <c r="F41" s="1156" t="s">
        <v>1309</v>
      </c>
      <c r="G41" s="1164" t="s">
        <v>1310</v>
      </c>
      <c r="H41" s="1162">
        <f t="shared" si="1"/>
        <v>0</v>
      </c>
      <c r="I41" s="1161"/>
      <c r="J41" s="1151"/>
      <c r="K41" s="1160"/>
      <c r="W41" s="1081">
        <v>11</v>
      </c>
    </row>
    <row r="42" spans="6:23" ht="11.45" customHeight="1">
      <c r="F42" s="1156" t="s">
        <v>1311</v>
      </c>
      <c r="G42" s="1164" t="s">
        <v>1312</v>
      </c>
      <c r="H42" s="1162">
        <f t="shared" si="1"/>
        <v>0</v>
      </c>
      <c r="I42" s="1161"/>
      <c r="J42" s="1151"/>
      <c r="K42" s="1160"/>
      <c r="W42" s="1081">
        <v>11</v>
      </c>
    </row>
    <row r="43" spans="6:23" ht="35.65" customHeight="1">
      <c r="F43" s="1156" t="s">
        <v>1313</v>
      </c>
      <c r="G43" s="1164" t="s">
        <v>1314</v>
      </c>
      <c r="H43" s="1162">
        <f t="shared" si="1"/>
        <v>0</v>
      </c>
      <c r="I43" s="1161"/>
      <c r="J43" s="1151"/>
      <c r="K43" s="1160"/>
      <c r="W43" s="1081">
        <v>34</v>
      </c>
    </row>
    <row r="44" spans="6:23" ht="11.45" customHeight="1">
      <c r="F44" s="1156" t="s">
        <v>1273</v>
      </c>
      <c r="G44" s="1163" t="s">
        <v>1299</v>
      </c>
      <c r="H44" s="1162">
        <f t="shared" si="1"/>
        <v>0</v>
      </c>
      <c r="I44" s="1162">
        <f>SUM(I45:I46)</f>
        <v>0</v>
      </c>
      <c r="J44" s="1151"/>
      <c r="K44" s="1160"/>
      <c r="W44" s="1081">
        <v>11</v>
      </c>
    </row>
    <row r="45" spans="6:23" ht="48.2" customHeight="1">
      <c r="F45" s="1156" t="s">
        <v>1315</v>
      </c>
      <c r="G45" s="1164" t="s">
        <v>1300</v>
      </c>
      <c r="H45" s="1162">
        <f t="shared" si="1"/>
        <v>0</v>
      </c>
      <c r="I45" s="1161"/>
      <c r="J45" s="1151"/>
      <c r="K45" s="1160"/>
      <c r="W45" s="1081">
        <v>46</v>
      </c>
    </row>
    <row r="46" spans="6:23" ht="11.45" customHeight="1">
      <c r="F46" s="1156" t="s">
        <v>1316</v>
      </c>
      <c r="G46" s="1164" t="s">
        <v>1301</v>
      </c>
      <c r="H46" s="1162">
        <f t="shared" si="1"/>
        <v>0</v>
      </c>
      <c r="I46" s="1161"/>
      <c r="J46" s="1151"/>
      <c r="K46" s="1160"/>
      <c r="W46" s="1081">
        <v>11</v>
      </c>
    </row>
    <row r="47" spans="6:23" ht="11.45" customHeight="1">
      <c r="F47" s="1156" t="s">
        <v>1275</v>
      </c>
      <c r="G47" s="1163" t="s">
        <v>1317</v>
      </c>
      <c r="H47" s="1162">
        <f t="shared" si="1"/>
        <v>0</v>
      </c>
      <c r="I47" s="1161"/>
      <c r="J47" s="1151"/>
      <c r="K47" s="1160"/>
      <c r="W47" s="1081">
        <v>11</v>
      </c>
    </row>
    <row r="48" spans="6:23" ht="24" customHeight="1">
      <c r="F48" s="1156" t="s">
        <v>95</v>
      </c>
      <c r="G48" s="626" t="s">
        <v>1318</v>
      </c>
      <c r="H48" s="1162">
        <f t="shared" si="1"/>
        <v>0</v>
      </c>
      <c r="I48" s="1162">
        <f>SUM(I49,I54,I57)</f>
        <v>0</v>
      </c>
      <c r="J48" s="1151"/>
      <c r="K48" s="1160"/>
      <c r="W48" s="1081">
        <v>23</v>
      </c>
    </row>
    <row r="49" spans="1:23" ht="11.45" customHeight="1">
      <c r="F49" s="1156" t="s">
        <v>958</v>
      </c>
      <c r="G49" s="1163" t="s">
        <v>1270</v>
      </c>
      <c r="H49" s="1162">
        <f t="shared" si="1"/>
        <v>0</v>
      </c>
      <c r="I49" s="1162">
        <f>SUM(I50:I53)</f>
        <v>0</v>
      </c>
      <c r="J49" s="1151"/>
      <c r="K49" s="1160"/>
      <c r="W49" s="1081">
        <v>11</v>
      </c>
    </row>
    <row r="50" spans="1:23" ht="24" customHeight="1">
      <c r="F50" s="1156" t="s">
        <v>961</v>
      </c>
      <c r="G50" s="1164" t="s">
        <v>1308</v>
      </c>
      <c r="H50" s="1162">
        <f t="shared" si="1"/>
        <v>0</v>
      </c>
      <c r="I50" s="1161"/>
      <c r="J50" s="1151"/>
      <c r="K50" s="1160"/>
      <c r="W50" s="1081">
        <v>23</v>
      </c>
    </row>
    <row r="51" spans="1:23" ht="11.45" customHeight="1">
      <c r="F51" s="1156" t="s">
        <v>964</v>
      </c>
      <c r="G51" s="1164" t="s">
        <v>1310</v>
      </c>
      <c r="H51" s="1162">
        <f t="shared" si="1"/>
        <v>0</v>
      </c>
      <c r="I51" s="1161"/>
      <c r="J51" s="1151"/>
      <c r="K51" s="1160"/>
      <c r="W51" s="1081">
        <v>11</v>
      </c>
    </row>
    <row r="52" spans="1:23" ht="11.45" customHeight="1">
      <c r="F52" s="1156" t="s">
        <v>1319</v>
      </c>
      <c r="G52" s="1164" t="s">
        <v>1312</v>
      </c>
      <c r="H52" s="1162">
        <f t="shared" si="1"/>
        <v>0</v>
      </c>
      <c r="I52" s="1161"/>
      <c r="J52" s="1151"/>
      <c r="K52" s="1160"/>
      <c r="W52" s="1081">
        <v>11</v>
      </c>
    </row>
    <row r="53" spans="1:23" ht="35.65" customHeight="1">
      <c r="F53" s="1156" t="s">
        <v>1320</v>
      </c>
      <c r="G53" s="1164" t="s">
        <v>1314</v>
      </c>
      <c r="H53" s="1162">
        <f t="shared" si="1"/>
        <v>0</v>
      </c>
      <c r="I53" s="1161"/>
      <c r="J53" s="1151"/>
      <c r="K53" s="1160"/>
      <c r="W53" s="1081">
        <v>34</v>
      </c>
    </row>
    <row r="54" spans="1:23" ht="11.45" customHeight="1">
      <c r="F54" s="1156" t="s">
        <v>536</v>
      </c>
      <c r="G54" s="1163" t="s">
        <v>1299</v>
      </c>
      <c r="H54" s="1162">
        <f t="shared" si="1"/>
        <v>0</v>
      </c>
      <c r="I54" s="1162">
        <f>SUM(I55:I56)</f>
        <v>0</v>
      </c>
      <c r="J54" s="1151"/>
      <c r="K54" s="1160"/>
      <c r="W54" s="1081">
        <v>11</v>
      </c>
    </row>
    <row r="55" spans="1:23" ht="48.2" customHeight="1">
      <c r="F55" s="1156" t="s">
        <v>968</v>
      </c>
      <c r="G55" s="1164" t="s">
        <v>1300</v>
      </c>
      <c r="H55" s="1162">
        <f t="shared" si="1"/>
        <v>0</v>
      </c>
      <c r="I55" s="1161"/>
      <c r="J55" s="1151"/>
      <c r="K55" s="1160"/>
      <c r="W55" s="1081">
        <v>46</v>
      </c>
    </row>
    <row r="56" spans="1:23" ht="11.45" customHeight="1">
      <c r="F56" s="1156" t="s">
        <v>970</v>
      </c>
      <c r="G56" s="1164" t="s">
        <v>1301</v>
      </c>
      <c r="H56" s="1162">
        <f t="shared" si="1"/>
        <v>0</v>
      </c>
      <c r="I56" s="1161"/>
      <c r="J56" s="1151"/>
      <c r="K56" s="1160"/>
      <c r="W56" s="1081">
        <v>11</v>
      </c>
    </row>
    <row r="57" spans="1:23" ht="11.45" customHeight="1">
      <c r="F57" s="1156" t="s">
        <v>539</v>
      </c>
      <c r="G57" s="1163" t="s">
        <v>1317</v>
      </c>
      <c r="H57" s="1162">
        <f t="shared" si="1"/>
        <v>0</v>
      </c>
      <c r="I57" s="1161"/>
      <c r="J57" s="1151"/>
      <c r="K57" s="1160"/>
      <c r="W57" s="1081">
        <v>11</v>
      </c>
    </row>
    <row r="58" spans="1:23" ht="11.45" customHeight="1">
      <c r="F58" s="1156"/>
      <c r="G58" s="1165" t="s">
        <v>1303</v>
      </c>
      <c r="H58" s="1162">
        <f t="shared" si="1"/>
        <v>0</v>
      </c>
      <c r="I58" s="1162">
        <f>SUM(I38,I48)</f>
        <v>0</v>
      </c>
      <c r="J58" s="1151"/>
      <c r="K58" s="1160"/>
      <c r="W58" s="1081">
        <v>11</v>
      </c>
    </row>
    <row r="59" spans="1:23" ht="10.5" hidden="1" customHeight="1">
      <c r="A59" s="1092" t="s">
        <v>73</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hidden="1" customWidth="1"/>
    <col min="29" max="71" width="0.85546875" style="992" hidden="1" customWidth="1"/>
    <col min="72" max="79" width="21.7109375" style="992" customWidth="1"/>
    <col min="80" max="81" width="29.140625" style="992" customWidth="1"/>
    <col min="82" max="89" width="21.7109375" style="992" customWidth="1"/>
    <col min="90" max="102" width="0.7109375" style="992"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70" customFormat="1" ht="27.4" customHeight="1">
      <c r="B5" s="1769"/>
      <c r="E5" s="1771"/>
      <c r="F5" s="24279"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3996"/>
      <c r="H5" s="23996"/>
      <c r="I5" s="23996"/>
      <c r="J5" s="23996"/>
      <c r="K5" s="23996"/>
      <c r="L5" s="23996"/>
      <c r="M5" s="23996"/>
      <c r="N5" s="23996"/>
      <c r="O5" s="23996"/>
      <c r="P5" s="23996"/>
      <c r="Q5" s="23996"/>
      <c r="R5" s="23996"/>
      <c r="S5" s="23996"/>
      <c r="T5" s="23996"/>
      <c r="U5" s="23996"/>
      <c r="V5" s="23996"/>
      <c r="W5" s="23996"/>
      <c r="X5" s="23996"/>
      <c r="Y5" s="23996"/>
      <c r="Z5" s="23996"/>
      <c r="AA5" s="23996"/>
      <c r="AB5" s="23996"/>
      <c r="AC5" s="23996"/>
      <c r="AD5" s="23996"/>
      <c r="AE5" s="23996"/>
      <c r="AF5" s="23996"/>
      <c r="AG5" s="23996"/>
      <c r="AH5" s="23996"/>
      <c r="AI5" s="23996"/>
      <c r="AJ5" s="23996"/>
      <c r="AK5" s="23996"/>
      <c r="AL5" s="23996"/>
      <c r="AM5" s="23996"/>
      <c r="AN5" s="23996"/>
      <c r="AO5" s="23996"/>
      <c r="AP5" s="23996"/>
      <c r="AQ5" s="23996"/>
      <c r="AR5" s="23996"/>
      <c r="AS5" s="23996"/>
      <c r="AT5" s="23996"/>
      <c r="AU5" s="23996"/>
      <c r="AV5" s="23996"/>
      <c r="AW5" s="23996"/>
      <c r="AX5" s="23996"/>
      <c r="AY5" s="23996"/>
      <c r="AZ5" s="23996"/>
      <c r="BA5" s="23996"/>
      <c r="BB5" s="23996"/>
      <c r="BC5" s="23996"/>
      <c r="BD5" s="23996"/>
      <c r="BE5" s="23996"/>
      <c r="BF5" s="23996"/>
      <c r="BG5" s="23996"/>
      <c r="BH5" s="23996"/>
      <c r="BI5" s="23996"/>
      <c r="BJ5" s="23996"/>
      <c r="BK5" s="23996"/>
      <c r="BL5" s="23996"/>
      <c r="BM5" s="23996"/>
      <c r="BN5" s="23996"/>
      <c r="BO5" s="23996"/>
      <c r="BP5" s="23996"/>
      <c r="BQ5" s="23996"/>
      <c r="BR5" s="23996"/>
      <c r="BS5" s="23996"/>
      <c r="GC5" s="1770">
        <v>26</v>
      </c>
    </row>
    <row r="6" spans="2:185" s="1972" customFormat="1" ht="18.75" customHeight="1">
      <c r="B6" s="872"/>
      <c r="E6" s="874"/>
      <c r="F6" s="24064" t="str">
        <f>IF(org=0,"Не определено",org)</f>
        <v>ООО "Смоленскрегионтеплоэнерго"</v>
      </c>
      <c r="G6" s="24065"/>
      <c r="H6" s="24065"/>
      <c r="I6" s="24065"/>
      <c r="J6" s="24065"/>
      <c r="K6" s="24065"/>
      <c r="L6" s="24065"/>
      <c r="M6" s="24065"/>
      <c r="N6" s="24065"/>
      <c r="O6" s="24065"/>
      <c r="P6" s="24065"/>
      <c r="Q6" s="24065"/>
      <c r="R6" s="24065"/>
      <c r="S6" s="24065"/>
      <c r="T6" s="24065"/>
      <c r="U6" s="24065"/>
      <c r="V6" s="24065"/>
      <c r="W6" s="24065"/>
      <c r="X6" s="24065"/>
      <c r="Y6" s="24065"/>
      <c r="Z6" s="24065"/>
      <c r="AA6" s="24065"/>
      <c r="AB6" s="24065"/>
      <c r="AC6" s="24065"/>
      <c r="AD6" s="24065"/>
      <c r="AE6" s="24065"/>
      <c r="AF6" s="24065"/>
      <c r="AG6" s="24065"/>
      <c r="AH6" s="24065"/>
      <c r="AI6" s="24065"/>
      <c r="AJ6" s="24065"/>
      <c r="AK6" s="24065"/>
      <c r="AL6" s="24065"/>
      <c r="AM6" s="24065"/>
      <c r="AN6" s="24065"/>
      <c r="AO6" s="24065"/>
      <c r="AP6" s="24065"/>
      <c r="AQ6" s="24065"/>
      <c r="AR6" s="24065"/>
      <c r="AS6" s="24065"/>
      <c r="AT6" s="24065"/>
      <c r="AU6" s="24065"/>
      <c r="AV6" s="24065"/>
      <c r="AW6" s="24065"/>
      <c r="AX6" s="24065"/>
      <c r="AY6" s="24065"/>
      <c r="AZ6" s="24065"/>
      <c r="BA6" s="24065"/>
      <c r="BB6" s="24065"/>
      <c r="BC6" s="24065"/>
      <c r="BD6" s="24065"/>
      <c r="BE6" s="24065"/>
      <c r="BF6" s="24065"/>
      <c r="BG6" s="24065"/>
      <c r="BH6" s="24065"/>
      <c r="BI6" s="24065"/>
      <c r="BJ6" s="24065"/>
      <c r="BK6" s="24065"/>
      <c r="BL6" s="24065"/>
      <c r="BM6" s="24065"/>
      <c r="BN6" s="24065"/>
      <c r="BO6" s="24065"/>
      <c r="BP6" s="24065"/>
      <c r="BQ6" s="24065"/>
      <c r="BR6" s="24065"/>
      <c r="BS6" s="24065"/>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4267" t="s">
        <v>1321</v>
      </c>
      <c r="P8" s="24268"/>
      <c r="Q8" s="24268"/>
      <c r="R8" s="24268"/>
      <c r="S8" s="24268"/>
      <c r="T8" s="24268"/>
      <c r="U8" s="24268"/>
      <c r="V8" s="24268"/>
      <c r="W8" s="24268"/>
      <c r="X8" s="24268"/>
      <c r="Y8" s="24268"/>
      <c r="Z8" s="24268"/>
      <c r="AA8" s="24268"/>
      <c r="AB8" s="24268"/>
      <c r="AC8" s="24268"/>
      <c r="AD8" s="24268"/>
      <c r="AE8" s="24268"/>
      <c r="AF8" s="24268"/>
      <c r="AG8" s="24268"/>
      <c r="AH8" s="24268"/>
      <c r="AI8" s="24268"/>
      <c r="AJ8" s="24268"/>
      <c r="AK8" s="24268"/>
      <c r="AL8" s="24268"/>
      <c r="AM8" s="24268"/>
      <c r="AN8" s="24268"/>
      <c r="AO8" s="24268"/>
      <c r="AP8" s="24268"/>
      <c r="AQ8" s="24268"/>
      <c r="AR8" s="24268"/>
      <c r="AS8" s="24268"/>
      <c r="AT8" s="24268"/>
      <c r="AU8" s="24268"/>
      <c r="AV8" s="24268"/>
      <c r="AW8" s="24268"/>
      <c r="AX8" s="24268"/>
      <c r="AY8" s="24268"/>
      <c r="AZ8" s="24268"/>
      <c r="BA8" s="24268"/>
      <c r="BB8" s="24268"/>
      <c r="BC8" s="24268"/>
      <c r="BD8" s="24268"/>
      <c r="BE8" s="24268"/>
      <c r="BF8" s="24268"/>
      <c r="BG8" s="24268"/>
      <c r="BH8" s="24268"/>
      <c r="BI8" s="24268"/>
      <c r="BJ8" s="24268"/>
      <c r="BK8" s="24268"/>
      <c r="BL8" s="24268"/>
      <c r="BM8" s="24268"/>
      <c r="BN8" s="24268"/>
      <c r="BO8" s="24268"/>
      <c r="BP8" s="24268"/>
      <c r="BQ8" s="24268"/>
      <c r="BR8" s="24268"/>
      <c r="BS8" s="24269"/>
      <c r="BT8" s="24270"/>
      <c r="BU8" s="24271"/>
      <c r="BV8" s="24271"/>
      <c r="BW8" s="24271"/>
      <c r="BX8" s="24271"/>
      <c r="BY8" s="24271"/>
      <c r="BZ8" s="24271"/>
      <c r="CA8" s="24271"/>
      <c r="CB8" s="24271"/>
      <c r="CC8" s="24271"/>
      <c r="CD8" s="24271"/>
      <c r="CE8" s="24271"/>
      <c r="CF8" s="24271"/>
      <c r="CG8" s="24271"/>
      <c r="CH8" s="24271"/>
      <c r="CI8" s="24271"/>
      <c r="CJ8" s="24271"/>
      <c r="CK8" s="24271"/>
      <c r="CL8" s="24271"/>
      <c r="CM8" s="24271"/>
      <c r="CN8" s="24271"/>
      <c r="CO8" s="24271"/>
      <c r="CP8" s="24271"/>
      <c r="CQ8" s="24271"/>
      <c r="CR8" s="24271"/>
      <c r="CS8" s="24271"/>
      <c r="CT8" s="24271"/>
      <c r="CU8" s="24271"/>
      <c r="CV8" s="24271"/>
      <c r="CW8" s="24271"/>
      <c r="CX8" s="24272"/>
      <c r="CY8" s="24273"/>
      <c r="CZ8" s="24274"/>
      <c r="DA8" s="24274"/>
      <c r="DB8" s="24274"/>
      <c r="DC8" s="24274"/>
      <c r="DD8" s="24274"/>
      <c r="DE8" s="24274"/>
      <c r="DF8" s="24274"/>
      <c r="DG8" s="24274"/>
      <c r="DH8" s="24274"/>
      <c r="DI8" s="24274"/>
      <c r="DJ8" s="24274"/>
      <c r="DK8" s="24274"/>
      <c r="DL8" s="24274"/>
      <c r="DM8" s="24274"/>
      <c r="DN8" s="24274"/>
      <c r="DO8" s="24274"/>
      <c r="DP8" s="24274"/>
      <c r="DQ8" s="24274"/>
      <c r="DR8" s="24274"/>
      <c r="DS8" s="24274"/>
      <c r="DT8" s="24274"/>
      <c r="DU8" s="24274"/>
      <c r="DV8" s="24274"/>
      <c r="DW8" s="24274"/>
      <c r="DX8" s="24275"/>
      <c r="DY8" s="24261" t="s">
        <v>1322</v>
      </c>
      <c r="DZ8" s="24262"/>
      <c r="EA8" s="24262"/>
      <c r="EB8" s="24262"/>
      <c r="EC8" s="24262"/>
      <c r="ED8" s="24262"/>
      <c r="EE8" s="24262"/>
      <c r="EF8" s="24262"/>
      <c r="EG8" s="24262"/>
      <c r="EH8" s="24262"/>
      <c r="EI8" s="24262"/>
      <c r="EJ8" s="24262"/>
      <c r="EK8" s="24262"/>
      <c r="EL8" s="24262"/>
      <c r="EM8" s="24262"/>
      <c r="EN8" s="24262"/>
      <c r="EO8" s="24262"/>
      <c r="EP8" s="24262"/>
      <c r="EQ8" s="24262"/>
      <c r="ER8" s="24262"/>
      <c r="ES8" s="24262"/>
      <c r="ET8" s="24262"/>
      <c r="EU8" s="24262"/>
      <c r="EV8" s="24262"/>
      <c r="EW8" s="24262"/>
      <c r="EX8" s="24262"/>
      <c r="EY8" s="24262"/>
      <c r="EZ8" s="24262"/>
      <c r="FA8" s="24262"/>
      <c r="FB8" s="24262"/>
      <c r="FC8" s="24262"/>
      <c r="FD8" s="24262"/>
      <c r="FE8" s="24262"/>
      <c r="FF8" s="24262"/>
      <c r="FG8" s="24262"/>
      <c r="FH8" s="24262"/>
      <c r="FI8" s="24262"/>
      <c r="FJ8" s="24262"/>
      <c r="FK8" s="24262"/>
      <c r="FL8" s="24262"/>
      <c r="FM8" s="24262"/>
      <c r="FN8" s="24262"/>
      <c r="FO8" s="24262"/>
      <c r="FP8" s="24262"/>
      <c r="FQ8" s="24262"/>
      <c r="FR8" s="24262"/>
      <c r="FS8" s="24262"/>
      <c r="FT8" s="24262"/>
      <c r="FU8" s="24262"/>
      <c r="FV8" s="24262"/>
      <c r="FW8" s="24263"/>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4264"/>
      <c r="FX9" s="985"/>
      <c r="GC9" s="862">
        <v>0</v>
      </c>
    </row>
    <row r="10" spans="2:185" s="862" customFormat="1" ht="11.45" customHeight="1">
      <c r="B10" s="863"/>
      <c r="F10" s="24241" t="s">
        <v>529</v>
      </c>
      <c r="G10" s="24277"/>
      <c r="H10" s="24277"/>
      <c r="I10" s="24277"/>
      <c r="J10" s="24277"/>
      <c r="K10" s="24277"/>
      <c r="L10" s="24277"/>
      <c r="M10" s="24277"/>
      <c r="N10" s="24277"/>
      <c r="O10" s="24277"/>
      <c r="P10" s="24277"/>
      <c r="Q10" s="24277"/>
      <c r="R10" s="24277"/>
      <c r="S10" s="24277"/>
      <c r="T10" s="24277"/>
      <c r="U10" s="24277"/>
      <c r="V10" s="24277"/>
      <c r="W10" s="24277"/>
      <c r="X10" s="24277"/>
      <c r="Y10" s="24277"/>
      <c r="Z10" s="24277"/>
      <c r="AA10" s="24277"/>
      <c r="AB10" s="24277"/>
      <c r="AC10" s="24277"/>
      <c r="AD10" s="24277"/>
      <c r="AE10" s="24277"/>
      <c r="AF10" s="24277"/>
      <c r="AG10" s="24277"/>
      <c r="AH10" s="24277"/>
      <c r="AI10" s="24277"/>
      <c r="AJ10" s="24277"/>
      <c r="AK10" s="24277"/>
      <c r="AL10" s="24277"/>
      <c r="AM10" s="24277"/>
      <c r="AN10" s="24277"/>
      <c r="AO10" s="24277"/>
      <c r="AP10" s="24277"/>
      <c r="AQ10" s="24277"/>
      <c r="AR10" s="24277"/>
      <c r="AS10" s="24277"/>
      <c r="AT10" s="24277"/>
      <c r="AU10" s="24277"/>
      <c r="AV10" s="24277"/>
      <c r="AW10" s="24277"/>
      <c r="AX10" s="24277"/>
      <c r="AY10" s="24277"/>
      <c r="AZ10" s="24277"/>
      <c r="BA10" s="24277"/>
      <c r="BB10" s="24277"/>
      <c r="BC10" s="24277"/>
      <c r="BD10" s="24277"/>
      <c r="BE10" s="24277"/>
      <c r="BF10" s="24277"/>
      <c r="BG10" s="24277"/>
      <c r="BH10" s="24277"/>
      <c r="BI10" s="24277"/>
      <c r="BJ10" s="24277"/>
      <c r="BK10" s="24277"/>
      <c r="BL10" s="24277"/>
      <c r="BM10" s="24277"/>
      <c r="BN10" s="24277"/>
      <c r="BO10" s="24277"/>
      <c r="BP10" s="24277"/>
      <c r="BQ10" s="24277"/>
      <c r="BR10" s="24277"/>
      <c r="BS10" s="24277"/>
      <c r="BT10" s="24277"/>
      <c r="BU10" s="24277"/>
      <c r="BV10" s="24277"/>
      <c r="BW10" s="24277"/>
      <c r="BX10" s="24277"/>
      <c r="BY10" s="24277"/>
      <c r="BZ10" s="24277"/>
      <c r="CA10" s="24277"/>
      <c r="CB10" s="24277"/>
      <c r="CC10" s="24277"/>
      <c r="CD10" s="24277"/>
      <c r="CE10" s="24277"/>
      <c r="CF10" s="24277"/>
      <c r="CG10" s="24277"/>
      <c r="CH10" s="24277"/>
      <c r="CI10" s="24277"/>
      <c r="CJ10" s="24277"/>
      <c r="CK10" s="24277"/>
      <c r="CL10" s="24277"/>
      <c r="CM10" s="24277"/>
      <c r="CN10" s="24277"/>
      <c r="CO10" s="24277"/>
      <c r="CP10" s="24277"/>
      <c r="CQ10" s="24277"/>
      <c r="CR10" s="24277"/>
      <c r="CS10" s="24277"/>
      <c r="CT10" s="24277"/>
      <c r="CU10" s="24277"/>
      <c r="CV10" s="24277"/>
      <c r="CW10" s="24277"/>
      <c r="CX10" s="24277"/>
      <c r="CY10" s="24277"/>
      <c r="CZ10" s="24277"/>
      <c r="DA10" s="24277"/>
      <c r="DB10" s="24277"/>
      <c r="DC10" s="24277"/>
      <c r="DD10" s="24277"/>
      <c r="DE10" s="24277"/>
      <c r="DF10" s="24277"/>
      <c r="DG10" s="24277"/>
      <c r="DH10" s="24277"/>
      <c r="DI10" s="24277"/>
      <c r="DJ10" s="24277"/>
      <c r="DK10" s="24277"/>
      <c r="DL10" s="24277"/>
      <c r="DM10" s="24277"/>
      <c r="DN10" s="24277"/>
      <c r="DO10" s="24277"/>
      <c r="DP10" s="24277"/>
      <c r="DQ10" s="24277"/>
      <c r="DR10" s="24277"/>
      <c r="DS10" s="24277"/>
      <c r="DT10" s="24277"/>
      <c r="DU10" s="24277"/>
      <c r="DV10" s="24277"/>
      <c r="DW10" s="24277"/>
      <c r="DX10" s="24277"/>
      <c r="DY10" s="24277"/>
      <c r="DZ10" s="24277"/>
      <c r="EA10" s="24277"/>
      <c r="EB10" s="24277"/>
      <c r="EC10" s="24277"/>
      <c r="ED10" s="24277"/>
      <c r="EE10" s="24277"/>
      <c r="EF10" s="24277"/>
      <c r="EG10" s="24277"/>
      <c r="EH10" s="24277"/>
      <c r="EI10" s="24277"/>
      <c r="EJ10" s="24277"/>
      <c r="EK10" s="24277"/>
      <c r="EL10" s="24277"/>
      <c r="EM10" s="24277"/>
      <c r="EN10" s="24277"/>
      <c r="EO10" s="24277"/>
      <c r="EP10" s="24277"/>
      <c r="EQ10" s="24277"/>
      <c r="ER10" s="24277"/>
      <c r="ES10" s="24277"/>
      <c r="ET10" s="24277"/>
      <c r="EU10" s="24277"/>
      <c r="EV10" s="24277"/>
      <c r="EW10" s="24277"/>
      <c r="EX10" s="24277"/>
      <c r="EY10" s="24277"/>
      <c r="EZ10" s="24277"/>
      <c r="FA10" s="24277"/>
      <c r="FB10" s="24277"/>
      <c r="FC10" s="24277"/>
      <c r="FD10" s="24277"/>
      <c r="FE10" s="24277"/>
      <c r="FF10" s="24277"/>
      <c r="FG10" s="24277"/>
      <c r="FH10" s="24277"/>
      <c r="FI10" s="24277"/>
      <c r="FJ10" s="24277"/>
      <c r="FK10" s="24277"/>
      <c r="FL10" s="24277"/>
      <c r="FM10" s="24277"/>
      <c r="FN10" s="24277"/>
      <c r="FO10" s="24277"/>
      <c r="FP10" s="24277"/>
      <c r="FQ10" s="24277"/>
      <c r="FR10" s="24277"/>
      <c r="FS10" s="24277"/>
      <c r="FT10" s="24277"/>
      <c r="FU10" s="24277"/>
      <c r="FV10" s="24278"/>
      <c r="FW10" s="24264"/>
      <c r="FX10" s="985"/>
      <c r="GC10" s="862">
        <v>11</v>
      </c>
    </row>
    <row r="11" spans="2:185" ht="12.75" customHeight="1">
      <c r="E11" s="866"/>
      <c r="F11" s="24046" t="s">
        <v>79</v>
      </c>
      <c r="G11" s="24046" t="s">
        <v>1323</v>
      </c>
      <c r="H11" s="24046" t="s">
        <v>1324</v>
      </c>
      <c r="I11" s="24046" t="s">
        <v>1325</v>
      </c>
      <c r="J11" s="24276"/>
      <c r="K11" s="24276"/>
      <c r="L11" s="24276"/>
      <c r="M11" s="24276"/>
      <c r="N11" s="24276"/>
      <c r="O11" s="24050" t="s">
        <v>1326</v>
      </c>
      <c r="P11" s="24050"/>
      <c r="Q11" s="24050"/>
      <c r="R11" s="24050"/>
      <c r="S11" s="24050"/>
      <c r="T11" s="24050"/>
      <c r="U11" s="24050"/>
      <c r="V11" s="24050"/>
      <c r="W11" s="24050"/>
      <c r="X11" s="24050"/>
      <c r="Y11" s="24050"/>
      <c r="Z11" s="24050"/>
      <c r="AA11" s="24050"/>
      <c r="AB11" s="24050"/>
      <c r="AC11" s="24259"/>
      <c r="AD11" s="24259"/>
      <c r="AE11" s="24259"/>
      <c r="AF11" s="24259"/>
      <c r="AG11" s="24259"/>
      <c r="AH11" s="24259"/>
      <c r="AI11" s="24259"/>
      <c r="AJ11" s="24259"/>
      <c r="AK11" s="24259"/>
      <c r="AL11" s="24259"/>
      <c r="AM11" s="24259"/>
      <c r="AN11" s="24259"/>
      <c r="AO11" s="24259"/>
      <c r="AP11" s="24259"/>
      <c r="AQ11" s="24259"/>
      <c r="AR11" s="24259"/>
      <c r="AS11" s="24259"/>
      <c r="AT11" s="24259"/>
      <c r="AU11" s="24259"/>
      <c r="AV11" s="24259"/>
      <c r="AW11" s="24259"/>
      <c r="AX11" s="24259"/>
      <c r="AY11" s="24259"/>
      <c r="AZ11" s="24259"/>
      <c r="BA11" s="24259"/>
      <c r="BB11" s="24259"/>
      <c r="BC11" s="24259"/>
      <c r="BD11" s="24259"/>
      <c r="BE11" s="24259"/>
      <c r="BF11" s="24259"/>
      <c r="BG11" s="24259"/>
      <c r="BH11" s="24259"/>
      <c r="BI11" s="24259"/>
      <c r="BJ11" s="24259"/>
      <c r="BK11" s="24259"/>
      <c r="BL11" s="24259"/>
      <c r="BM11" s="24259"/>
      <c r="BN11" s="24259"/>
      <c r="BO11" s="24259"/>
      <c r="BP11" s="24259"/>
      <c r="BQ11" s="24259"/>
      <c r="BR11" s="24259"/>
      <c r="BS11" s="24260"/>
      <c r="BT11" s="24227" t="s">
        <v>1326</v>
      </c>
      <c r="BU11" s="24228"/>
      <c r="BV11" s="24228"/>
      <c r="BW11" s="24228"/>
      <c r="BX11" s="24228"/>
      <c r="BY11" s="24228"/>
      <c r="BZ11" s="24228"/>
      <c r="CA11" s="24228"/>
      <c r="CB11" s="24228"/>
      <c r="CC11" s="24228"/>
      <c r="CD11" s="24228"/>
      <c r="CE11" s="24228"/>
      <c r="CF11" s="24228"/>
      <c r="CG11" s="24228"/>
      <c r="CH11" s="24228"/>
      <c r="CI11" s="24228"/>
      <c r="CJ11" s="24228"/>
      <c r="CK11" s="24258"/>
      <c r="CL11" s="24266"/>
      <c r="CM11" s="24259"/>
      <c r="CN11" s="24259"/>
      <c r="CO11" s="24259"/>
      <c r="CP11" s="24259"/>
      <c r="CQ11" s="24259"/>
      <c r="CR11" s="24259"/>
      <c r="CS11" s="24259"/>
      <c r="CT11" s="24259"/>
      <c r="CU11" s="24259"/>
      <c r="CV11" s="24259"/>
      <c r="CW11" s="24259"/>
      <c r="CX11" s="24260"/>
      <c r="CY11" s="24227" t="s">
        <v>1326</v>
      </c>
      <c r="CZ11" s="24228"/>
      <c r="DA11" s="24228"/>
      <c r="DB11" s="24228"/>
      <c r="DC11" s="24228"/>
      <c r="DD11" s="24228"/>
      <c r="DE11" s="24228"/>
      <c r="DF11" s="24228"/>
      <c r="DG11" s="24228"/>
      <c r="DH11" s="24228"/>
      <c r="DI11" s="24228"/>
      <c r="DJ11" s="24258"/>
      <c r="DK11" s="24266"/>
      <c r="DL11" s="24259"/>
      <c r="DM11" s="24259"/>
      <c r="DN11" s="24259"/>
      <c r="DO11" s="24259"/>
      <c r="DP11" s="24259"/>
      <c r="DQ11" s="24259"/>
      <c r="DR11" s="24259"/>
      <c r="DS11" s="24259"/>
      <c r="DT11" s="24259"/>
      <c r="DU11" s="24259"/>
      <c r="DV11" s="24259"/>
      <c r="DW11" s="24259"/>
      <c r="DX11" s="24259"/>
      <c r="DY11" s="24259"/>
      <c r="DZ11" s="24259"/>
      <c r="EA11" s="24259"/>
      <c r="EB11" s="24259"/>
      <c r="EC11" s="24259"/>
      <c r="ED11" s="24259"/>
      <c r="EE11" s="24259"/>
      <c r="EF11" s="24259"/>
      <c r="EG11" s="24259"/>
      <c r="EH11" s="24259"/>
      <c r="EI11" s="24259"/>
      <c r="EJ11" s="24259"/>
      <c r="EK11" s="24259"/>
      <c r="EL11" s="24259"/>
      <c r="EM11" s="24259"/>
      <c r="EN11" s="24259"/>
      <c r="EO11" s="24259"/>
      <c r="EP11" s="24259"/>
      <c r="EQ11" s="24259"/>
      <c r="ER11" s="24259"/>
      <c r="ES11" s="24259"/>
      <c r="ET11" s="24259"/>
      <c r="EU11" s="24259"/>
      <c r="EV11" s="24259"/>
      <c r="EW11" s="24259"/>
      <c r="EX11" s="24259"/>
      <c r="EY11" s="24259"/>
      <c r="EZ11" s="24259"/>
      <c r="FA11" s="24259"/>
      <c r="FB11" s="24259"/>
      <c r="FC11" s="24259"/>
      <c r="FD11" s="24259"/>
      <c r="FE11" s="24259"/>
      <c r="FF11" s="24259"/>
      <c r="FG11" s="24259"/>
      <c r="FH11" s="24259"/>
      <c r="FI11" s="24259"/>
      <c r="FJ11" s="24259"/>
      <c r="FK11" s="24259"/>
      <c r="FL11" s="24259"/>
      <c r="FM11" s="24259"/>
      <c r="FN11" s="24259"/>
      <c r="FO11" s="24259"/>
      <c r="FP11" s="24259"/>
      <c r="FQ11" s="24259"/>
      <c r="FR11" s="24259"/>
      <c r="FS11" s="24259"/>
      <c r="FT11" s="24259"/>
      <c r="FU11" s="24259"/>
      <c r="FV11" s="24259"/>
      <c r="FW11" s="24264"/>
      <c r="FX11" s="696"/>
      <c r="GC11" s="855">
        <v>12</v>
      </c>
    </row>
    <row r="12" spans="2:185" ht="12.75" customHeight="1">
      <c r="D12" s="867"/>
      <c r="E12" s="866"/>
      <c r="F12" s="24046"/>
      <c r="G12" s="24046"/>
      <c r="H12" s="24046"/>
      <c r="I12" s="24046"/>
      <c r="J12" s="24276"/>
      <c r="K12" s="24276"/>
      <c r="L12" s="24276"/>
      <c r="M12" s="24276"/>
      <c r="N12" s="24276"/>
      <c r="O12" s="24050" t="s">
        <v>1327</v>
      </c>
      <c r="P12" s="24050"/>
      <c r="Q12" s="24050"/>
      <c r="R12" s="24050"/>
      <c r="S12" s="24050" t="s">
        <v>1328</v>
      </c>
      <c r="T12" s="24050"/>
      <c r="U12" s="24050"/>
      <c r="V12" s="24050"/>
      <c r="W12" s="24050"/>
      <c r="X12" s="24050"/>
      <c r="Y12" s="24050"/>
      <c r="Z12" s="24050"/>
      <c r="AA12" s="24050"/>
      <c r="AB12" s="24050"/>
      <c r="AC12" s="24259"/>
      <c r="AD12" s="24259"/>
      <c r="AE12" s="24259"/>
      <c r="AF12" s="24259"/>
      <c r="AG12" s="24259"/>
      <c r="AH12" s="24259"/>
      <c r="AI12" s="24259"/>
      <c r="AJ12" s="24259"/>
      <c r="AK12" s="24259"/>
      <c r="AL12" s="24259"/>
      <c r="AM12" s="24259"/>
      <c r="AN12" s="24259"/>
      <c r="AO12" s="24259"/>
      <c r="AP12" s="24259"/>
      <c r="AQ12" s="24259"/>
      <c r="AR12" s="24259"/>
      <c r="AS12" s="24259"/>
      <c r="AT12" s="24259"/>
      <c r="AU12" s="24259"/>
      <c r="AV12" s="24259"/>
      <c r="AW12" s="24259"/>
      <c r="AX12" s="24259"/>
      <c r="AY12" s="24259"/>
      <c r="AZ12" s="24259"/>
      <c r="BA12" s="24259"/>
      <c r="BB12" s="24259"/>
      <c r="BC12" s="24259"/>
      <c r="BD12" s="24259"/>
      <c r="BE12" s="24259"/>
      <c r="BF12" s="24259"/>
      <c r="BG12" s="24259"/>
      <c r="BH12" s="24259"/>
      <c r="BI12" s="24259"/>
      <c r="BJ12" s="24259"/>
      <c r="BK12" s="24259"/>
      <c r="BL12" s="24259"/>
      <c r="BM12" s="24259"/>
      <c r="BN12" s="24259"/>
      <c r="BO12" s="24259"/>
      <c r="BP12" s="24259"/>
      <c r="BQ12" s="24259"/>
      <c r="BR12" s="24259"/>
      <c r="BS12" s="24260"/>
      <c r="BT12" s="24227" t="s">
        <v>1329</v>
      </c>
      <c r="BU12" s="24228"/>
      <c r="BV12" s="24228"/>
      <c r="BW12" s="24258"/>
      <c r="BX12" s="24227" t="s">
        <v>1330</v>
      </c>
      <c r="BY12" s="24228"/>
      <c r="BZ12" s="24228"/>
      <c r="CA12" s="24258"/>
      <c r="CB12" s="24227" t="s">
        <v>1331</v>
      </c>
      <c r="CC12" s="24258"/>
      <c r="CD12" s="24227" t="s">
        <v>1332</v>
      </c>
      <c r="CE12" s="24228"/>
      <c r="CF12" s="24228"/>
      <c r="CG12" s="24228"/>
      <c r="CH12" s="24228"/>
      <c r="CI12" s="24228"/>
      <c r="CJ12" s="24228"/>
      <c r="CK12" s="24258"/>
      <c r="CL12" s="24266"/>
      <c r="CM12" s="24259"/>
      <c r="CN12" s="24259"/>
      <c r="CO12" s="24259"/>
      <c r="CP12" s="24259"/>
      <c r="CQ12" s="24259"/>
      <c r="CR12" s="24259"/>
      <c r="CS12" s="24259"/>
      <c r="CT12" s="24259"/>
      <c r="CU12" s="24259"/>
      <c r="CV12" s="24259"/>
      <c r="CW12" s="24259"/>
      <c r="CX12" s="24260"/>
      <c r="CY12" s="24227" t="s">
        <v>1333</v>
      </c>
      <c r="CZ12" s="24228"/>
      <c r="DA12" s="24228"/>
      <c r="DB12" s="24228"/>
      <c r="DC12" s="24228"/>
      <c r="DD12" s="24258"/>
      <c r="DE12" s="24227" t="s">
        <v>1334</v>
      </c>
      <c r="DF12" s="24258"/>
      <c r="DG12" s="24227" t="s">
        <v>1332</v>
      </c>
      <c r="DH12" s="24228"/>
      <c r="DI12" s="24228"/>
      <c r="DJ12" s="24258"/>
      <c r="DK12" s="24266"/>
      <c r="DL12" s="24259"/>
      <c r="DM12" s="24259"/>
      <c r="DN12" s="24259"/>
      <c r="DO12" s="24259"/>
      <c r="DP12" s="24259"/>
      <c r="DQ12" s="24259"/>
      <c r="DR12" s="24259"/>
      <c r="DS12" s="24259"/>
      <c r="DT12" s="24259"/>
      <c r="DU12" s="24259"/>
      <c r="DV12" s="24259"/>
      <c r="DW12" s="24259"/>
      <c r="DX12" s="24259"/>
      <c r="DY12" s="24259"/>
      <c r="DZ12" s="24259"/>
      <c r="EA12" s="24259"/>
      <c r="EB12" s="24259"/>
      <c r="EC12" s="24259"/>
      <c r="ED12" s="24259"/>
      <c r="EE12" s="24259"/>
      <c r="EF12" s="24259"/>
      <c r="EG12" s="24259"/>
      <c r="EH12" s="24259"/>
      <c r="EI12" s="24259"/>
      <c r="EJ12" s="24259"/>
      <c r="EK12" s="24259"/>
      <c r="EL12" s="24259"/>
      <c r="EM12" s="24259"/>
      <c r="EN12" s="24259"/>
      <c r="EO12" s="24259"/>
      <c r="EP12" s="24259"/>
      <c r="EQ12" s="24259"/>
      <c r="ER12" s="24259"/>
      <c r="ES12" s="24259"/>
      <c r="ET12" s="24259"/>
      <c r="EU12" s="24259"/>
      <c r="EV12" s="24259"/>
      <c r="EW12" s="24259"/>
      <c r="EX12" s="24259"/>
      <c r="EY12" s="24259"/>
      <c r="EZ12" s="24259"/>
      <c r="FA12" s="24259"/>
      <c r="FB12" s="24259"/>
      <c r="FC12" s="24259"/>
      <c r="FD12" s="24259"/>
      <c r="FE12" s="24259"/>
      <c r="FF12" s="24259"/>
      <c r="FG12" s="24259"/>
      <c r="FH12" s="24259"/>
      <c r="FI12" s="24259"/>
      <c r="FJ12" s="24259"/>
      <c r="FK12" s="24259"/>
      <c r="FL12" s="24259"/>
      <c r="FM12" s="24259"/>
      <c r="FN12" s="24259"/>
      <c r="FO12" s="24259"/>
      <c r="FP12" s="24259"/>
      <c r="FQ12" s="24259"/>
      <c r="FR12" s="24259"/>
      <c r="FS12" s="24259"/>
      <c r="FT12" s="24259"/>
      <c r="FU12" s="24259"/>
      <c r="FV12" s="24259"/>
      <c r="FW12" s="24264"/>
      <c r="FX12" s="696"/>
      <c r="GC12" s="855">
        <v>12</v>
      </c>
    </row>
    <row r="13" spans="2:185" ht="37.9" customHeight="1">
      <c r="D13" s="867"/>
      <c r="E13" s="866"/>
      <c r="F13" s="24046"/>
      <c r="G13" s="24046"/>
      <c r="H13" s="24046"/>
      <c r="I13" s="24046"/>
      <c r="J13" s="24276"/>
      <c r="K13" s="24276"/>
      <c r="L13" s="24276"/>
      <c r="M13" s="24276"/>
      <c r="N13" s="24276"/>
      <c r="O13" s="24050" t="s">
        <v>1335</v>
      </c>
      <c r="P13" s="24050"/>
      <c r="Q13" s="24050"/>
      <c r="R13" s="24050"/>
      <c r="S13" s="24150" t="s">
        <v>1336</v>
      </c>
      <c r="T13" s="24229"/>
      <c r="U13" s="23947" t="s">
        <v>1337</v>
      </c>
      <c r="V13" s="23947"/>
      <c r="W13" s="23947"/>
      <c r="X13" s="23947"/>
      <c r="Y13" s="23947" t="s">
        <v>1338</v>
      </c>
      <c r="Z13" s="23947"/>
      <c r="AA13" s="23947"/>
      <c r="AB13" s="23947"/>
      <c r="AC13" s="24259"/>
      <c r="AD13" s="24259"/>
      <c r="AE13" s="24259"/>
      <c r="AF13" s="24259"/>
      <c r="AG13" s="24259"/>
      <c r="AH13" s="24259"/>
      <c r="AI13" s="24259"/>
      <c r="AJ13" s="24259"/>
      <c r="AK13" s="24259"/>
      <c r="AL13" s="24259"/>
      <c r="AM13" s="24259"/>
      <c r="AN13" s="24259"/>
      <c r="AO13" s="24259"/>
      <c r="AP13" s="24259"/>
      <c r="AQ13" s="24259"/>
      <c r="AR13" s="24259"/>
      <c r="AS13" s="24259"/>
      <c r="AT13" s="24259"/>
      <c r="AU13" s="24259"/>
      <c r="AV13" s="24259"/>
      <c r="AW13" s="24259"/>
      <c r="AX13" s="24259"/>
      <c r="AY13" s="24259"/>
      <c r="AZ13" s="24259"/>
      <c r="BA13" s="24259"/>
      <c r="BB13" s="24259"/>
      <c r="BC13" s="24259"/>
      <c r="BD13" s="24259"/>
      <c r="BE13" s="24259"/>
      <c r="BF13" s="24259"/>
      <c r="BG13" s="24259"/>
      <c r="BH13" s="24259"/>
      <c r="BI13" s="24259"/>
      <c r="BJ13" s="24259"/>
      <c r="BK13" s="24259"/>
      <c r="BL13" s="24259"/>
      <c r="BM13" s="24259"/>
      <c r="BN13" s="24259"/>
      <c r="BO13" s="24259"/>
      <c r="BP13" s="24259"/>
      <c r="BQ13" s="24259"/>
      <c r="BR13" s="24259"/>
      <c r="BS13" s="24260"/>
      <c r="BT13" s="24150" t="s">
        <v>1339</v>
      </c>
      <c r="BU13" s="24229"/>
      <c r="BV13" s="24150" t="s">
        <v>1340</v>
      </c>
      <c r="BW13" s="24229"/>
      <c r="BX13" s="24150" t="s">
        <v>1341</v>
      </c>
      <c r="BY13" s="24229"/>
      <c r="BZ13" s="24150" t="s">
        <v>1342</v>
      </c>
      <c r="CA13" s="24229"/>
      <c r="CB13" s="24150" t="s">
        <v>1343</v>
      </c>
      <c r="CC13" s="24229"/>
      <c r="CD13" s="24150" t="s">
        <v>1344</v>
      </c>
      <c r="CE13" s="24229"/>
      <c r="CF13" s="24150" t="s">
        <v>1345</v>
      </c>
      <c r="CG13" s="24229"/>
      <c r="CH13" s="24227" t="s">
        <v>1346</v>
      </c>
      <c r="CI13" s="24228"/>
      <c r="CJ13" s="24228"/>
      <c r="CK13" s="24258"/>
      <c r="CL13" s="24266"/>
      <c r="CM13" s="24259"/>
      <c r="CN13" s="24259"/>
      <c r="CO13" s="24259"/>
      <c r="CP13" s="24259"/>
      <c r="CQ13" s="24259"/>
      <c r="CR13" s="24259"/>
      <c r="CS13" s="24259"/>
      <c r="CT13" s="24259"/>
      <c r="CU13" s="24259"/>
      <c r="CV13" s="24259"/>
      <c r="CW13" s="24259"/>
      <c r="CX13" s="24260"/>
      <c r="CY13" s="24150" t="s">
        <v>1347</v>
      </c>
      <c r="CZ13" s="24229"/>
      <c r="DA13" s="24150" t="s">
        <v>1348</v>
      </c>
      <c r="DB13" s="24229"/>
      <c r="DC13" s="24150" t="s">
        <v>1349</v>
      </c>
      <c r="DD13" s="24229"/>
      <c r="DE13" s="24150" t="s">
        <v>1350</v>
      </c>
      <c r="DF13" s="24229"/>
      <c r="DG13" s="24227" t="s">
        <v>1351</v>
      </c>
      <c r="DH13" s="24228"/>
      <c r="DI13" s="24228"/>
      <c r="DJ13" s="24258"/>
      <c r="DK13" s="24266"/>
      <c r="DL13" s="24259"/>
      <c r="DM13" s="24259"/>
      <c r="DN13" s="24259"/>
      <c r="DO13" s="24259"/>
      <c r="DP13" s="24259"/>
      <c r="DQ13" s="24259"/>
      <c r="DR13" s="24259"/>
      <c r="DS13" s="24259"/>
      <c r="DT13" s="24259"/>
      <c r="DU13" s="24259"/>
      <c r="DV13" s="24259"/>
      <c r="DW13" s="24259"/>
      <c r="DX13" s="24259"/>
      <c r="DY13" s="24259"/>
      <c r="DZ13" s="24259"/>
      <c r="EA13" s="24259"/>
      <c r="EB13" s="24259"/>
      <c r="EC13" s="24259"/>
      <c r="ED13" s="24259"/>
      <c r="EE13" s="24259"/>
      <c r="EF13" s="24259"/>
      <c r="EG13" s="24259"/>
      <c r="EH13" s="24259"/>
      <c r="EI13" s="24259"/>
      <c r="EJ13" s="24259"/>
      <c r="EK13" s="24259"/>
      <c r="EL13" s="24259"/>
      <c r="EM13" s="24259"/>
      <c r="EN13" s="24259"/>
      <c r="EO13" s="24259"/>
      <c r="EP13" s="24259"/>
      <c r="EQ13" s="24259"/>
      <c r="ER13" s="24259"/>
      <c r="ES13" s="24259"/>
      <c r="ET13" s="24259"/>
      <c r="EU13" s="24259"/>
      <c r="EV13" s="24259"/>
      <c r="EW13" s="24259"/>
      <c r="EX13" s="24259"/>
      <c r="EY13" s="24259"/>
      <c r="EZ13" s="24259"/>
      <c r="FA13" s="24259"/>
      <c r="FB13" s="24259"/>
      <c r="FC13" s="24259"/>
      <c r="FD13" s="24259"/>
      <c r="FE13" s="24259"/>
      <c r="FF13" s="24259"/>
      <c r="FG13" s="24259"/>
      <c r="FH13" s="24259"/>
      <c r="FI13" s="24259"/>
      <c r="FJ13" s="24259"/>
      <c r="FK13" s="24259"/>
      <c r="FL13" s="24259"/>
      <c r="FM13" s="24259"/>
      <c r="FN13" s="24259"/>
      <c r="FO13" s="24259"/>
      <c r="FP13" s="24259"/>
      <c r="FQ13" s="24259"/>
      <c r="FR13" s="24259"/>
      <c r="FS13" s="24259"/>
      <c r="FT13" s="24259"/>
      <c r="FU13" s="24259"/>
      <c r="FV13" s="24259"/>
      <c r="FW13" s="24264"/>
      <c r="FX13" s="696"/>
      <c r="GC13" s="855">
        <v>36</v>
      </c>
    </row>
    <row r="14" spans="2:185" ht="37.9" customHeight="1">
      <c r="D14" s="867"/>
      <c r="E14" s="866"/>
      <c r="F14" s="24046"/>
      <c r="G14" s="24046"/>
      <c r="H14" s="24046"/>
      <c r="I14" s="24046"/>
      <c r="J14" s="24276"/>
      <c r="K14" s="24276"/>
      <c r="L14" s="24276"/>
      <c r="M14" s="24276"/>
      <c r="N14" s="24276"/>
      <c r="O14" s="24150" t="s">
        <v>1352</v>
      </c>
      <c r="P14" s="24229"/>
      <c r="Q14" s="24150" t="s">
        <v>1353</v>
      </c>
      <c r="R14" s="24229"/>
      <c r="S14" s="24151"/>
      <c r="T14" s="24054"/>
      <c r="U14" s="24150" t="s">
        <v>1085</v>
      </c>
      <c r="V14" s="24229"/>
      <c r="W14" s="24150" t="s">
        <v>1088</v>
      </c>
      <c r="X14" s="24229"/>
      <c r="Y14" s="24150" t="s">
        <v>1085</v>
      </c>
      <c r="Z14" s="24229"/>
      <c r="AA14" s="24150" t="s">
        <v>1095</v>
      </c>
      <c r="AB14" s="24229"/>
      <c r="AC14" s="24259"/>
      <c r="AD14" s="24259"/>
      <c r="AE14" s="24259"/>
      <c r="AF14" s="24259"/>
      <c r="AG14" s="24259"/>
      <c r="AH14" s="24259"/>
      <c r="AI14" s="24259"/>
      <c r="AJ14" s="24259"/>
      <c r="AK14" s="24259"/>
      <c r="AL14" s="24259"/>
      <c r="AM14" s="24259"/>
      <c r="AN14" s="24259"/>
      <c r="AO14" s="24259"/>
      <c r="AP14" s="24259"/>
      <c r="AQ14" s="24259"/>
      <c r="AR14" s="24259"/>
      <c r="AS14" s="24259"/>
      <c r="AT14" s="24259"/>
      <c r="AU14" s="24259"/>
      <c r="AV14" s="24259"/>
      <c r="AW14" s="24259"/>
      <c r="AX14" s="24259"/>
      <c r="AY14" s="24259"/>
      <c r="AZ14" s="24259"/>
      <c r="BA14" s="24259"/>
      <c r="BB14" s="24259"/>
      <c r="BC14" s="24259"/>
      <c r="BD14" s="24259"/>
      <c r="BE14" s="24259"/>
      <c r="BF14" s="24259"/>
      <c r="BG14" s="24259"/>
      <c r="BH14" s="24259"/>
      <c r="BI14" s="24259"/>
      <c r="BJ14" s="24259"/>
      <c r="BK14" s="24259"/>
      <c r="BL14" s="24259"/>
      <c r="BM14" s="24259"/>
      <c r="BN14" s="24259"/>
      <c r="BO14" s="24259"/>
      <c r="BP14" s="24259"/>
      <c r="BQ14" s="24259"/>
      <c r="BR14" s="24259"/>
      <c r="BS14" s="24260"/>
      <c r="BT14" s="24151"/>
      <c r="BU14" s="24054"/>
      <c r="BV14" s="24151"/>
      <c r="BW14" s="24054"/>
      <c r="BX14" s="24151"/>
      <c r="BY14" s="24054"/>
      <c r="BZ14" s="24151"/>
      <c r="CA14" s="24054"/>
      <c r="CB14" s="24151"/>
      <c r="CC14" s="24054"/>
      <c r="CD14" s="24151"/>
      <c r="CE14" s="24054"/>
      <c r="CF14" s="24151"/>
      <c r="CG14" s="24054"/>
      <c r="CH14" s="24150" t="s">
        <v>1354</v>
      </c>
      <c r="CI14" s="24229"/>
      <c r="CJ14" s="24150" t="s">
        <v>1355</v>
      </c>
      <c r="CK14" s="24229"/>
      <c r="CL14" s="24266"/>
      <c r="CM14" s="24259"/>
      <c r="CN14" s="24259"/>
      <c r="CO14" s="24259"/>
      <c r="CP14" s="24259"/>
      <c r="CQ14" s="24259"/>
      <c r="CR14" s="24259"/>
      <c r="CS14" s="24259"/>
      <c r="CT14" s="24259"/>
      <c r="CU14" s="24259"/>
      <c r="CV14" s="24259"/>
      <c r="CW14" s="24259"/>
      <c r="CX14" s="24260"/>
      <c r="CY14" s="24151"/>
      <c r="CZ14" s="24054"/>
      <c r="DA14" s="24151"/>
      <c r="DB14" s="24054"/>
      <c r="DC14" s="24151"/>
      <c r="DD14" s="24054"/>
      <c r="DE14" s="24151"/>
      <c r="DF14" s="24054"/>
      <c r="DG14" s="24150" t="s">
        <v>1356</v>
      </c>
      <c r="DH14" s="24229"/>
      <c r="DI14" s="24150" t="s">
        <v>1357</v>
      </c>
      <c r="DJ14" s="24229"/>
      <c r="DK14" s="24266"/>
      <c r="DL14" s="24259"/>
      <c r="DM14" s="24259"/>
      <c r="DN14" s="24259"/>
      <c r="DO14" s="24259"/>
      <c r="DP14" s="24259"/>
      <c r="DQ14" s="24259"/>
      <c r="DR14" s="24259"/>
      <c r="DS14" s="24259"/>
      <c r="DT14" s="24259"/>
      <c r="DU14" s="24259"/>
      <c r="DV14" s="24259"/>
      <c r="DW14" s="24259"/>
      <c r="DX14" s="24259"/>
      <c r="DY14" s="24259"/>
      <c r="DZ14" s="24259"/>
      <c r="EA14" s="24259"/>
      <c r="EB14" s="24259"/>
      <c r="EC14" s="24259"/>
      <c r="ED14" s="24259"/>
      <c r="EE14" s="24259"/>
      <c r="EF14" s="24259"/>
      <c r="EG14" s="24259"/>
      <c r="EH14" s="24259"/>
      <c r="EI14" s="24259"/>
      <c r="EJ14" s="24259"/>
      <c r="EK14" s="24259"/>
      <c r="EL14" s="24259"/>
      <c r="EM14" s="24259"/>
      <c r="EN14" s="24259"/>
      <c r="EO14" s="24259"/>
      <c r="EP14" s="24259"/>
      <c r="EQ14" s="24259"/>
      <c r="ER14" s="24259"/>
      <c r="ES14" s="24259"/>
      <c r="ET14" s="24259"/>
      <c r="EU14" s="24259"/>
      <c r="EV14" s="24259"/>
      <c r="EW14" s="24259"/>
      <c r="EX14" s="24259"/>
      <c r="EY14" s="24259"/>
      <c r="EZ14" s="24259"/>
      <c r="FA14" s="24259"/>
      <c r="FB14" s="24259"/>
      <c r="FC14" s="24259"/>
      <c r="FD14" s="24259"/>
      <c r="FE14" s="24259"/>
      <c r="FF14" s="24259"/>
      <c r="FG14" s="24259"/>
      <c r="FH14" s="24259"/>
      <c r="FI14" s="24259"/>
      <c r="FJ14" s="24259"/>
      <c r="FK14" s="24259"/>
      <c r="FL14" s="24259"/>
      <c r="FM14" s="24259"/>
      <c r="FN14" s="24259"/>
      <c r="FO14" s="24259"/>
      <c r="FP14" s="24259"/>
      <c r="FQ14" s="24259"/>
      <c r="FR14" s="24259"/>
      <c r="FS14" s="24259"/>
      <c r="FT14" s="24259"/>
      <c r="FU14" s="24259"/>
      <c r="FV14" s="24259"/>
      <c r="FW14" s="24264"/>
      <c r="FX14" s="696"/>
      <c r="GC14" s="855">
        <v>36</v>
      </c>
    </row>
    <row r="15" spans="2:185" ht="37.9" customHeight="1">
      <c r="D15" s="867"/>
      <c r="E15" s="866"/>
      <c r="F15" s="24046"/>
      <c r="G15" s="24046"/>
      <c r="H15" s="24046"/>
      <c r="I15" s="24046"/>
      <c r="J15" s="24276"/>
      <c r="K15" s="24276"/>
      <c r="L15" s="24276"/>
      <c r="M15" s="24276"/>
      <c r="N15" s="24276"/>
      <c r="O15" s="24152"/>
      <c r="P15" s="24245"/>
      <c r="Q15" s="24152"/>
      <c r="R15" s="24245"/>
      <c r="S15" s="24152"/>
      <c r="T15" s="24245"/>
      <c r="U15" s="24152"/>
      <c r="V15" s="24245"/>
      <c r="W15" s="24152"/>
      <c r="X15" s="24245"/>
      <c r="Y15" s="24152"/>
      <c r="Z15" s="24245"/>
      <c r="AA15" s="24152"/>
      <c r="AB15" s="24245"/>
      <c r="AC15" s="24259"/>
      <c r="AD15" s="24259"/>
      <c r="AE15" s="24259"/>
      <c r="AF15" s="24259"/>
      <c r="AG15" s="24259"/>
      <c r="AH15" s="24259"/>
      <c r="AI15" s="24259"/>
      <c r="AJ15" s="24259"/>
      <c r="AK15" s="24259"/>
      <c r="AL15" s="24259"/>
      <c r="AM15" s="24259"/>
      <c r="AN15" s="24259"/>
      <c r="AO15" s="24259"/>
      <c r="AP15" s="24259"/>
      <c r="AQ15" s="24259"/>
      <c r="AR15" s="24259"/>
      <c r="AS15" s="24259"/>
      <c r="AT15" s="24259"/>
      <c r="AU15" s="24259"/>
      <c r="AV15" s="24259"/>
      <c r="AW15" s="24259"/>
      <c r="AX15" s="24259"/>
      <c r="AY15" s="24259"/>
      <c r="AZ15" s="24259"/>
      <c r="BA15" s="24259"/>
      <c r="BB15" s="24259"/>
      <c r="BC15" s="24259"/>
      <c r="BD15" s="24259"/>
      <c r="BE15" s="24259"/>
      <c r="BF15" s="24259"/>
      <c r="BG15" s="24259"/>
      <c r="BH15" s="24259"/>
      <c r="BI15" s="24259"/>
      <c r="BJ15" s="24259"/>
      <c r="BK15" s="24259"/>
      <c r="BL15" s="24259"/>
      <c r="BM15" s="24259"/>
      <c r="BN15" s="24259"/>
      <c r="BO15" s="24259"/>
      <c r="BP15" s="24259"/>
      <c r="BQ15" s="24259"/>
      <c r="BR15" s="24259"/>
      <c r="BS15" s="24260"/>
      <c r="BT15" s="24152"/>
      <c r="BU15" s="24245"/>
      <c r="BV15" s="24152"/>
      <c r="BW15" s="24245"/>
      <c r="BX15" s="24152"/>
      <c r="BY15" s="24245"/>
      <c r="BZ15" s="24152"/>
      <c r="CA15" s="24245"/>
      <c r="CB15" s="24152"/>
      <c r="CC15" s="24245"/>
      <c r="CD15" s="24152"/>
      <c r="CE15" s="24245"/>
      <c r="CF15" s="24152"/>
      <c r="CG15" s="24245"/>
      <c r="CH15" s="24152"/>
      <c r="CI15" s="24245"/>
      <c r="CJ15" s="24152"/>
      <c r="CK15" s="24245"/>
      <c r="CL15" s="24266"/>
      <c r="CM15" s="24259"/>
      <c r="CN15" s="24259"/>
      <c r="CO15" s="24259"/>
      <c r="CP15" s="24259"/>
      <c r="CQ15" s="24259"/>
      <c r="CR15" s="24259"/>
      <c r="CS15" s="24259"/>
      <c r="CT15" s="24259"/>
      <c r="CU15" s="24259"/>
      <c r="CV15" s="24259"/>
      <c r="CW15" s="24259"/>
      <c r="CX15" s="24260"/>
      <c r="CY15" s="24152"/>
      <c r="CZ15" s="24245"/>
      <c r="DA15" s="24152"/>
      <c r="DB15" s="24245"/>
      <c r="DC15" s="24152"/>
      <c r="DD15" s="24245"/>
      <c r="DE15" s="24152"/>
      <c r="DF15" s="24245"/>
      <c r="DG15" s="24152"/>
      <c r="DH15" s="24245"/>
      <c r="DI15" s="24152"/>
      <c r="DJ15" s="24245"/>
      <c r="DK15" s="24266"/>
      <c r="DL15" s="24259"/>
      <c r="DM15" s="24259"/>
      <c r="DN15" s="24259"/>
      <c r="DO15" s="24259"/>
      <c r="DP15" s="24259"/>
      <c r="DQ15" s="24259"/>
      <c r="DR15" s="24259"/>
      <c r="DS15" s="24259"/>
      <c r="DT15" s="24259"/>
      <c r="DU15" s="24259"/>
      <c r="DV15" s="24259"/>
      <c r="DW15" s="24259"/>
      <c r="DX15" s="24259"/>
      <c r="DY15" s="24259"/>
      <c r="DZ15" s="24259"/>
      <c r="EA15" s="24259"/>
      <c r="EB15" s="24259"/>
      <c r="EC15" s="24259"/>
      <c r="ED15" s="24259"/>
      <c r="EE15" s="24259"/>
      <c r="EF15" s="24259"/>
      <c r="EG15" s="24259"/>
      <c r="EH15" s="24259"/>
      <c r="EI15" s="24259"/>
      <c r="EJ15" s="24259"/>
      <c r="EK15" s="24259"/>
      <c r="EL15" s="24259"/>
      <c r="EM15" s="24259"/>
      <c r="EN15" s="24259"/>
      <c r="EO15" s="24259"/>
      <c r="EP15" s="24259"/>
      <c r="EQ15" s="24259"/>
      <c r="ER15" s="24259"/>
      <c r="ES15" s="24259"/>
      <c r="ET15" s="24259"/>
      <c r="EU15" s="24259"/>
      <c r="EV15" s="24259"/>
      <c r="EW15" s="24259"/>
      <c r="EX15" s="24259"/>
      <c r="EY15" s="24259"/>
      <c r="EZ15" s="24259"/>
      <c r="FA15" s="24259"/>
      <c r="FB15" s="24259"/>
      <c r="FC15" s="24259"/>
      <c r="FD15" s="24259"/>
      <c r="FE15" s="24259"/>
      <c r="FF15" s="24259"/>
      <c r="FG15" s="24259"/>
      <c r="FH15" s="24259"/>
      <c r="FI15" s="24259"/>
      <c r="FJ15" s="24259"/>
      <c r="FK15" s="24259"/>
      <c r="FL15" s="24259"/>
      <c r="FM15" s="24259"/>
      <c r="FN15" s="24259"/>
      <c r="FO15" s="24259"/>
      <c r="FP15" s="24259"/>
      <c r="FQ15" s="24259"/>
      <c r="FR15" s="24259"/>
      <c r="FS15" s="24259"/>
      <c r="FT15" s="24259"/>
      <c r="FU15" s="24259"/>
      <c r="FV15" s="24259"/>
      <c r="FW15" s="24264"/>
      <c r="FX15" s="696"/>
      <c r="GC15" s="855">
        <v>36</v>
      </c>
    </row>
    <row r="16" spans="2:185" ht="12.75" customHeight="1">
      <c r="D16" s="867"/>
      <c r="E16" s="866"/>
      <c r="F16" s="24046"/>
      <c r="G16" s="24046"/>
      <c r="H16" s="24046"/>
      <c r="I16" s="24046"/>
      <c r="J16" s="24276"/>
      <c r="K16" s="24276"/>
      <c r="L16" s="24276"/>
      <c r="M16" s="24276"/>
      <c r="N16" s="24276"/>
      <c r="O16" s="24227" t="s">
        <v>1075</v>
      </c>
      <c r="P16" s="24258"/>
      <c r="Q16" s="24227" t="s">
        <v>1077</v>
      </c>
      <c r="R16" s="24258"/>
      <c r="S16" s="24227" t="s">
        <v>1081</v>
      </c>
      <c r="T16" s="24258"/>
      <c r="U16" s="24227" t="s">
        <v>1086</v>
      </c>
      <c r="V16" s="24258"/>
      <c r="W16" s="24227" t="s">
        <v>1089</v>
      </c>
      <c r="X16" s="24258"/>
      <c r="Y16" s="24227" t="s">
        <v>1093</v>
      </c>
      <c r="Z16" s="24258"/>
      <c r="AA16" s="24227" t="s">
        <v>1096</v>
      </c>
      <c r="AB16" s="24258"/>
      <c r="AC16" s="24259"/>
      <c r="AD16" s="24259"/>
      <c r="AE16" s="24259"/>
      <c r="AF16" s="24259"/>
      <c r="AG16" s="24259"/>
      <c r="AH16" s="24259"/>
      <c r="AI16" s="24259"/>
      <c r="AJ16" s="24259"/>
      <c r="AK16" s="24259"/>
      <c r="AL16" s="24259"/>
      <c r="AM16" s="24259"/>
      <c r="AN16" s="24259"/>
      <c r="AO16" s="24259"/>
      <c r="AP16" s="24259"/>
      <c r="AQ16" s="24259"/>
      <c r="AR16" s="24259"/>
      <c r="AS16" s="24259"/>
      <c r="AT16" s="24259"/>
      <c r="AU16" s="24259"/>
      <c r="AV16" s="24259"/>
      <c r="AW16" s="24259"/>
      <c r="AX16" s="24259"/>
      <c r="AY16" s="24259"/>
      <c r="AZ16" s="24259"/>
      <c r="BA16" s="24259"/>
      <c r="BB16" s="24259"/>
      <c r="BC16" s="24259"/>
      <c r="BD16" s="24259"/>
      <c r="BE16" s="24259"/>
      <c r="BF16" s="24259"/>
      <c r="BG16" s="24259"/>
      <c r="BH16" s="24259"/>
      <c r="BI16" s="24259"/>
      <c r="BJ16" s="24259"/>
      <c r="BK16" s="24259"/>
      <c r="BL16" s="24259"/>
      <c r="BM16" s="24259"/>
      <c r="BN16" s="24259"/>
      <c r="BO16" s="24259"/>
      <c r="BP16" s="24259"/>
      <c r="BQ16" s="24259"/>
      <c r="BR16" s="24259"/>
      <c r="BS16" s="24260"/>
      <c r="BT16" s="24227" t="s">
        <v>808</v>
      </c>
      <c r="BU16" s="24258"/>
      <c r="BV16" s="24227" t="s">
        <v>808</v>
      </c>
      <c r="BW16" s="24258"/>
      <c r="BX16" s="24227" t="s">
        <v>808</v>
      </c>
      <c r="BY16" s="24258"/>
      <c r="BZ16" s="24227" t="s">
        <v>808</v>
      </c>
      <c r="CA16" s="24258"/>
      <c r="CB16" s="24227" t="s">
        <v>1358</v>
      </c>
      <c r="CC16" s="24258"/>
      <c r="CD16" s="24227" t="s">
        <v>808</v>
      </c>
      <c r="CE16" s="24258"/>
      <c r="CF16" s="24227" t="s">
        <v>1359</v>
      </c>
      <c r="CG16" s="24258"/>
      <c r="CH16" s="24227" t="s">
        <v>1360</v>
      </c>
      <c r="CI16" s="24258"/>
      <c r="CJ16" s="24227" t="s">
        <v>1360</v>
      </c>
      <c r="CK16" s="24258"/>
      <c r="CL16" s="24266"/>
      <c r="CM16" s="24259"/>
      <c r="CN16" s="24259"/>
      <c r="CO16" s="24259"/>
      <c r="CP16" s="24259"/>
      <c r="CQ16" s="24259"/>
      <c r="CR16" s="24259"/>
      <c r="CS16" s="24259"/>
      <c r="CT16" s="24259"/>
      <c r="CU16" s="24259"/>
      <c r="CV16" s="24259"/>
      <c r="CW16" s="24259"/>
      <c r="CX16" s="24260"/>
      <c r="CY16" s="24150" t="s">
        <v>808</v>
      </c>
      <c r="CZ16" s="24229"/>
      <c r="DA16" s="24150" t="s">
        <v>808</v>
      </c>
      <c r="DB16" s="24229"/>
      <c r="DC16" s="24150" t="s">
        <v>808</v>
      </c>
      <c r="DD16" s="24229"/>
      <c r="DE16" s="24227" t="s">
        <v>1358</v>
      </c>
      <c r="DF16" s="24258"/>
      <c r="DG16" s="24227" t="s">
        <v>1361</v>
      </c>
      <c r="DH16" s="24258"/>
      <c r="DI16" s="24227" t="s">
        <v>1361</v>
      </c>
      <c r="DJ16" s="24258"/>
      <c r="DK16" s="24266"/>
      <c r="DL16" s="24259"/>
      <c r="DM16" s="24259"/>
      <c r="DN16" s="24259"/>
      <c r="DO16" s="24259"/>
      <c r="DP16" s="24259"/>
      <c r="DQ16" s="24259"/>
      <c r="DR16" s="24259"/>
      <c r="DS16" s="24259"/>
      <c r="DT16" s="24259"/>
      <c r="DU16" s="24259"/>
      <c r="DV16" s="24259"/>
      <c r="DW16" s="24259"/>
      <c r="DX16" s="24259"/>
      <c r="DY16" s="24259"/>
      <c r="DZ16" s="24259"/>
      <c r="EA16" s="24259"/>
      <c r="EB16" s="24259"/>
      <c r="EC16" s="24259"/>
      <c r="ED16" s="24259"/>
      <c r="EE16" s="24259"/>
      <c r="EF16" s="24259"/>
      <c r="EG16" s="24259"/>
      <c r="EH16" s="24259"/>
      <c r="EI16" s="24259"/>
      <c r="EJ16" s="24259"/>
      <c r="EK16" s="24259"/>
      <c r="EL16" s="24259"/>
      <c r="EM16" s="24259"/>
      <c r="EN16" s="24259"/>
      <c r="EO16" s="24259"/>
      <c r="EP16" s="24259"/>
      <c r="EQ16" s="24259"/>
      <c r="ER16" s="24259"/>
      <c r="ES16" s="24259"/>
      <c r="ET16" s="24259"/>
      <c r="EU16" s="24259"/>
      <c r="EV16" s="24259"/>
      <c r="EW16" s="24259"/>
      <c r="EX16" s="24259"/>
      <c r="EY16" s="24259"/>
      <c r="EZ16" s="24259"/>
      <c r="FA16" s="24259"/>
      <c r="FB16" s="24259"/>
      <c r="FC16" s="24259"/>
      <c r="FD16" s="24259"/>
      <c r="FE16" s="24259"/>
      <c r="FF16" s="24259"/>
      <c r="FG16" s="24259"/>
      <c r="FH16" s="24259"/>
      <c r="FI16" s="24259"/>
      <c r="FJ16" s="24259"/>
      <c r="FK16" s="24259"/>
      <c r="FL16" s="24259"/>
      <c r="FM16" s="24259"/>
      <c r="FN16" s="24259"/>
      <c r="FO16" s="24259"/>
      <c r="FP16" s="24259"/>
      <c r="FQ16" s="24259"/>
      <c r="FR16" s="24259"/>
      <c r="FS16" s="24259"/>
      <c r="FT16" s="24259"/>
      <c r="FU16" s="24259"/>
      <c r="FV16" s="24259"/>
      <c r="FW16" s="24264"/>
      <c r="FX16" s="696"/>
      <c r="GC16" s="855">
        <v>12</v>
      </c>
    </row>
    <row r="17" spans="1:185" ht="15.75" customHeight="1">
      <c r="E17" s="866"/>
      <c r="F17" s="24046"/>
      <c r="G17" s="24046"/>
      <c r="H17" s="24046"/>
      <c r="I17" s="24046"/>
      <c r="J17" s="24276"/>
      <c r="K17" s="24276"/>
      <c r="L17" s="24276"/>
      <c r="M17" s="24276"/>
      <c r="N17" s="24276"/>
      <c r="O17" s="1117" t="s">
        <v>1362</v>
      </c>
      <c r="P17" s="1117" t="s">
        <v>1363</v>
      </c>
      <c r="Q17" s="1117" t="s">
        <v>1362</v>
      </c>
      <c r="R17" s="1117" t="s">
        <v>1363</v>
      </c>
      <c r="S17" s="1117" t="s">
        <v>1362</v>
      </c>
      <c r="T17" s="1117" t="s">
        <v>1363</v>
      </c>
      <c r="U17" s="1117" t="s">
        <v>1362</v>
      </c>
      <c r="V17" s="1117" t="s">
        <v>1363</v>
      </c>
      <c r="W17" s="1117" t="s">
        <v>1362</v>
      </c>
      <c r="X17" s="1117" t="s">
        <v>1363</v>
      </c>
      <c r="Y17" s="1117" t="s">
        <v>1362</v>
      </c>
      <c r="Z17" s="1117" t="s">
        <v>1363</v>
      </c>
      <c r="AA17" s="1117" t="s">
        <v>1362</v>
      </c>
      <c r="AB17" s="1117" t="s">
        <v>1363</v>
      </c>
      <c r="AC17" s="24259"/>
      <c r="AD17" s="24259"/>
      <c r="AE17" s="24259"/>
      <c r="AF17" s="24259"/>
      <c r="AG17" s="24259"/>
      <c r="AH17" s="24259"/>
      <c r="AI17" s="24259"/>
      <c r="AJ17" s="24259"/>
      <c r="AK17" s="24259"/>
      <c r="AL17" s="24259"/>
      <c r="AM17" s="24259"/>
      <c r="AN17" s="24259"/>
      <c r="AO17" s="24259"/>
      <c r="AP17" s="24259"/>
      <c r="AQ17" s="24259"/>
      <c r="AR17" s="24259"/>
      <c r="AS17" s="24259"/>
      <c r="AT17" s="24259"/>
      <c r="AU17" s="24259"/>
      <c r="AV17" s="24259"/>
      <c r="AW17" s="24259"/>
      <c r="AX17" s="24259"/>
      <c r="AY17" s="24259"/>
      <c r="AZ17" s="24259"/>
      <c r="BA17" s="24259"/>
      <c r="BB17" s="24259"/>
      <c r="BC17" s="24259"/>
      <c r="BD17" s="24259"/>
      <c r="BE17" s="24259"/>
      <c r="BF17" s="24259"/>
      <c r="BG17" s="24259"/>
      <c r="BH17" s="24259"/>
      <c r="BI17" s="24259"/>
      <c r="BJ17" s="24259"/>
      <c r="BK17" s="24259"/>
      <c r="BL17" s="24259"/>
      <c r="BM17" s="24259"/>
      <c r="BN17" s="24259"/>
      <c r="BO17" s="24259"/>
      <c r="BP17" s="24259"/>
      <c r="BQ17" s="24259"/>
      <c r="BR17" s="24259"/>
      <c r="BS17" s="24260"/>
      <c r="BT17" s="1117" t="s">
        <v>1362</v>
      </c>
      <c r="BU17" s="1117" t="s">
        <v>1363</v>
      </c>
      <c r="BV17" s="1117" t="s">
        <v>1362</v>
      </c>
      <c r="BW17" s="1117" t="s">
        <v>1363</v>
      </c>
      <c r="BX17" s="1117" t="s">
        <v>1362</v>
      </c>
      <c r="BY17" s="1117" t="s">
        <v>1363</v>
      </c>
      <c r="BZ17" s="1117" t="s">
        <v>1362</v>
      </c>
      <c r="CA17" s="1117" t="s">
        <v>1363</v>
      </c>
      <c r="CB17" s="1117" t="s">
        <v>1362</v>
      </c>
      <c r="CC17" s="1117" t="s">
        <v>1363</v>
      </c>
      <c r="CD17" s="1117" t="s">
        <v>1362</v>
      </c>
      <c r="CE17" s="1117" t="s">
        <v>1363</v>
      </c>
      <c r="CF17" s="1117" t="s">
        <v>1362</v>
      </c>
      <c r="CG17" s="1117" t="s">
        <v>1363</v>
      </c>
      <c r="CH17" s="1117" t="s">
        <v>1362</v>
      </c>
      <c r="CI17" s="1117" t="s">
        <v>1363</v>
      </c>
      <c r="CJ17" s="1117" t="s">
        <v>1362</v>
      </c>
      <c r="CK17" s="1117" t="s">
        <v>1363</v>
      </c>
      <c r="CL17" s="24266"/>
      <c r="CM17" s="24259"/>
      <c r="CN17" s="24259"/>
      <c r="CO17" s="24259"/>
      <c r="CP17" s="24259"/>
      <c r="CQ17" s="24259"/>
      <c r="CR17" s="24259"/>
      <c r="CS17" s="24259"/>
      <c r="CT17" s="24259"/>
      <c r="CU17" s="24259"/>
      <c r="CV17" s="24259"/>
      <c r="CW17" s="24259"/>
      <c r="CX17" s="24260"/>
      <c r="CY17" s="1117" t="s">
        <v>1362</v>
      </c>
      <c r="CZ17" s="1117" t="s">
        <v>1363</v>
      </c>
      <c r="DA17" s="1117" t="s">
        <v>1362</v>
      </c>
      <c r="DB17" s="1117" t="s">
        <v>1363</v>
      </c>
      <c r="DC17" s="1117" t="s">
        <v>1362</v>
      </c>
      <c r="DD17" s="1117" t="s">
        <v>1363</v>
      </c>
      <c r="DE17" s="1117" t="s">
        <v>1362</v>
      </c>
      <c r="DF17" s="1117" t="s">
        <v>1363</v>
      </c>
      <c r="DG17" s="1117" t="s">
        <v>1362</v>
      </c>
      <c r="DH17" s="1117" t="s">
        <v>1363</v>
      </c>
      <c r="DI17" s="1117" t="s">
        <v>1362</v>
      </c>
      <c r="DJ17" s="1117" t="s">
        <v>1363</v>
      </c>
      <c r="DK17" s="24266"/>
      <c r="DL17" s="24259"/>
      <c r="DM17" s="24259"/>
      <c r="DN17" s="24259"/>
      <c r="DO17" s="24259"/>
      <c r="DP17" s="24259"/>
      <c r="DQ17" s="24259"/>
      <c r="DR17" s="24259"/>
      <c r="DS17" s="24259"/>
      <c r="DT17" s="24259"/>
      <c r="DU17" s="24259"/>
      <c r="DV17" s="24259"/>
      <c r="DW17" s="24259"/>
      <c r="DX17" s="24259"/>
      <c r="DY17" s="24259"/>
      <c r="DZ17" s="24259"/>
      <c r="EA17" s="24259"/>
      <c r="EB17" s="24259"/>
      <c r="EC17" s="24259"/>
      <c r="ED17" s="24259"/>
      <c r="EE17" s="24259"/>
      <c r="EF17" s="24259"/>
      <c r="EG17" s="24259"/>
      <c r="EH17" s="24259"/>
      <c r="EI17" s="24259"/>
      <c r="EJ17" s="24259"/>
      <c r="EK17" s="24259"/>
      <c r="EL17" s="24259"/>
      <c r="EM17" s="24259"/>
      <c r="EN17" s="24259"/>
      <c r="EO17" s="24259"/>
      <c r="EP17" s="24259"/>
      <c r="EQ17" s="24259"/>
      <c r="ER17" s="24259"/>
      <c r="ES17" s="24259"/>
      <c r="ET17" s="24259"/>
      <c r="EU17" s="24259"/>
      <c r="EV17" s="24259"/>
      <c r="EW17" s="24259"/>
      <c r="EX17" s="24259"/>
      <c r="EY17" s="24259"/>
      <c r="EZ17" s="24259"/>
      <c r="FA17" s="24259"/>
      <c r="FB17" s="24259"/>
      <c r="FC17" s="24259"/>
      <c r="FD17" s="24259"/>
      <c r="FE17" s="24259"/>
      <c r="FF17" s="24259"/>
      <c r="FG17" s="24259"/>
      <c r="FH17" s="24259"/>
      <c r="FI17" s="24259"/>
      <c r="FJ17" s="24259"/>
      <c r="FK17" s="24259"/>
      <c r="FL17" s="24259"/>
      <c r="FM17" s="24259"/>
      <c r="FN17" s="24259"/>
      <c r="FO17" s="24259"/>
      <c r="FP17" s="24259"/>
      <c r="FQ17" s="24259"/>
      <c r="FR17" s="24259"/>
      <c r="FS17" s="24259"/>
      <c r="FT17" s="24259"/>
      <c r="FU17" s="24259"/>
      <c r="FV17" s="24259"/>
      <c r="FW17" s="24265"/>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605</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73</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9" width="93" style="1292" customWidth="1"/>
    <col min="10" max="17" width="10" style="1561" customWidth="1"/>
    <col min="18" max="18" width="10" style="611" customWidth="1"/>
    <col min="19" max="19" width="10.5703125" style="1561" hidden="1"/>
  </cols>
  <sheetData>
    <row r="1" spans="1:19" s="1292" customFormat="1" ht="15" hidden="1" customHeight="1">
      <c r="C1" s="608"/>
      <c r="H1" s="353">
        <v>4</v>
      </c>
      <c r="R1" s="356"/>
      <c r="S1" s="353" t="s">
        <v>1</v>
      </c>
    </row>
    <row r="2" spans="1:19" ht="22.5" hidden="1" customHeight="1">
      <c r="C2" s="1822" t="s">
        <v>96</v>
      </c>
      <c r="D2" s="475"/>
      <c r="E2" s="599"/>
      <c r="F2" s="1659" t="str">
        <f>IF(TEMPLATE_SPHERE="HEAT","Гкал/час","тыс. куб. м/сутки")</f>
        <v>тыс. куб. м/сутки</v>
      </c>
      <c r="G2" s="616"/>
      <c r="H2" s="616"/>
      <c r="I2" s="225"/>
      <c r="S2" s="441">
        <v>0</v>
      </c>
    </row>
    <row r="3" spans="1:19" s="1292" customFormat="1" ht="15" hidden="1" customHeight="1">
      <c r="C3" s="608"/>
      <c r="R3" s="356"/>
      <c r="S3" s="353">
        <v>0</v>
      </c>
    </row>
    <row r="4" spans="1:19" ht="15.75" customHeight="1">
      <c r="C4" s="113"/>
      <c r="D4" s="445"/>
      <c r="E4" s="445"/>
      <c r="F4" s="445"/>
      <c r="G4" s="445"/>
      <c r="H4" s="445"/>
      <c r="S4" s="441">
        <v>15</v>
      </c>
    </row>
    <row r="5" spans="1:19" ht="39.75" customHeight="1">
      <c r="C5" s="113"/>
      <c r="D5" s="24069"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4069"/>
      <c r="F5" s="24069"/>
      <c r="G5" s="24069"/>
      <c r="H5" s="24069"/>
      <c r="I5" s="473"/>
      <c r="S5" s="441">
        <v>38</v>
      </c>
    </row>
    <row r="6" spans="1:19" ht="15.75" customHeight="1">
      <c r="C6" s="113"/>
      <c r="D6" s="24042" t="str">
        <f>IF(org=0,"Не определено",org)</f>
        <v>ООО "Смоленскрегионтеплоэнерго"</v>
      </c>
      <c r="E6" s="24042"/>
      <c r="F6" s="24042"/>
      <c r="G6" s="24042"/>
      <c r="H6" s="24042"/>
      <c r="I6" s="473"/>
      <c r="S6" s="441">
        <v>15</v>
      </c>
    </row>
    <row r="7" spans="1:19" s="1561" customFormat="1" ht="15.75" customHeight="1">
      <c r="A7" s="693"/>
      <c r="C7" s="113"/>
      <c r="D7" s="612"/>
      <c r="E7" s="612"/>
      <c r="F7" s="612"/>
      <c r="G7" s="612"/>
      <c r="H7" s="688"/>
      <c r="I7" s="473"/>
      <c r="R7" s="611"/>
      <c r="S7" s="692">
        <v>15</v>
      </c>
    </row>
    <row r="8" spans="1:19" ht="1.1499999999999999" customHeight="1">
      <c r="C8" s="113"/>
      <c r="D8" s="445"/>
      <c r="E8" s="445"/>
      <c r="F8" s="445"/>
      <c r="G8" s="445"/>
      <c r="H8" s="473" t="s">
        <v>223</v>
      </c>
      <c r="S8" s="441">
        <v>1</v>
      </c>
    </row>
    <row r="9" spans="1:19" ht="15.75" customHeight="1">
      <c r="C9" s="113"/>
      <c r="D9" s="647"/>
      <c r="E9" s="24213" t="s">
        <v>214</v>
      </c>
      <c r="F9" s="24214"/>
      <c r="G9" s="746" t="str">
        <f>IF(G8="","",INDEX(DIFFERENTIATION_UNMERGE_VD,MATCH(G8,DIFFERENTIATION_ID_DIFF,0)))</f>
        <v/>
      </c>
      <c r="H9" s="746">
        <f>IF(H8="","",INDEX(DIFFERENTIATION_UNMERGE_VD,MATCH(H8,DIFFERENTIATION_ID_DIFF,0)))</f>
        <v>0</v>
      </c>
      <c r="I9" s="23947" t="s">
        <v>530</v>
      </c>
      <c r="S9" s="441">
        <v>15</v>
      </c>
    </row>
    <row r="10" spans="1:19" s="1561" customFormat="1" ht="15.75" customHeight="1">
      <c r="A10" s="693"/>
      <c r="C10" s="113"/>
      <c r="D10" s="647"/>
      <c r="E10" s="24213" t="s">
        <v>814</v>
      </c>
      <c r="F10" s="24214"/>
      <c r="G10" s="746" t="str">
        <f>IF(G8="","",INDEX(DIFFERENTIATION_UNMERGE_AREA,MATCH(G8,DIFFERENTIATION_ID_DIFF,0)))</f>
        <v/>
      </c>
      <c r="H10" s="746" t="str">
        <f>IF(H8="","",INDEX(DIFFERENTIATION_UNMERGE_AREA,MATCH(H8,DIFFERENTIATION_ID_DIFF,0)))</f>
        <v/>
      </c>
      <c r="I10" s="23947"/>
      <c r="R10" s="611"/>
      <c r="S10" s="692">
        <v>15</v>
      </c>
    </row>
    <row r="11" spans="1:19" s="1561" customFormat="1" ht="15.75" customHeight="1">
      <c r="A11" s="693"/>
      <c r="C11" s="113"/>
      <c r="D11" s="647"/>
      <c r="E11" s="24213" t="s">
        <v>815</v>
      </c>
      <c r="F11" s="24214"/>
      <c r="G11" s="746" t="str">
        <f>IF(G8="","",INDEX(DIFFERENTIATION_UNMERGE_SYSTEM,MATCH(G8,DIFFERENTIATION_ID_DIFF,0)))</f>
        <v/>
      </c>
      <c r="H11" s="746" t="str">
        <f>IF(H8="","",INDEX(DIFFERENTIATION_UNMERGE_SYSTEM,MATCH(H8,DIFFERENTIATION_ID_DIFF,0)))</f>
        <v>без дифференциации</v>
      </c>
      <c r="I11" s="23947"/>
      <c r="R11" s="611"/>
      <c r="S11" s="692">
        <v>15</v>
      </c>
    </row>
    <row r="12" spans="1:19" s="1561" customFormat="1" ht="15.75" customHeight="1">
      <c r="A12" s="693"/>
      <c r="C12" s="113"/>
      <c r="D12" s="24215" t="s">
        <v>529</v>
      </c>
      <c r="E12" s="24216"/>
      <c r="F12" s="24216"/>
      <c r="G12" s="816"/>
      <c r="H12" s="816"/>
      <c r="I12" s="23947"/>
      <c r="R12" s="611"/>
      <c r="S12" s="692">
        <v>15</v>
      </c>
    </row>
    <row r="13" spans="1:19" ht="35.65" customHeight="1">
      <c r="C13" s="113"/>
      <c r="D13" s="695" t="s">
        <v>79</v>
      </c>
      <c r="E13" s="694" t="s">
        <v>531</v>
      </c>
      <c r="F13" s="694" t="s">
        <v>816</v>
      </c>
      <c r="G13" s="738" t="s">
        <v>532</v>
      </c>
      <c r="H13" s="690" t="s">
        <v>532</v>
      </c>
      <c r="I13" s="23947"/>
      <c r="S13" s="441">
        <v>34</v>
      </c>
    </row>
    <row r="14" spans="1:19" ht="15" hidden="1" customHeight="1">
      <c r="C14" s="113"/>
      <c r="D14" s="529" t="s">
        <v>218</v>
      </c>
      <c r="E14" s="529" t="s">
        <v>95</v>
      </c>
      <c r="F14" s="529" t="s">
        <v>81</v>
      </c>
      <c r="G14" s="595" t="str">
        <f>G1&amp;".1"</f>
        <v>.1</v>
      </c>
      <c r="H14" s="595" t="str">
        <f>H1&amp;".1"</f>
        <v>4.1</v>
      </c>
      <c r="I14" s="225"/>
      <c r="S14" s="441">
        <v>0</v>
      </c>
    </row>
    <row r="15" spans="1:19" ht="15.75" customHeight="1">
      <c r="A15" s="441"/>
      <c r="C15" s="462"/>
      <c r="D15" s="457">
        <v>1</v>
      </c>
      <c r="E15" s="1824" t="str">
        <f>TP_P_A</f>
        <v xml:space="preserve">Количество поданных заявлений </v>
      </c>
      <c r="F15" s="457" t="s">
        <v>1364</v>
      </c>
      <c r="G15" s="621"/>
      <c r="H15" s="621"/>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1">
        <v>15</v>
      </c>
    </row>
    <row r="16" spans="1:19" ht="15.75" customHeight="1">
      <c r="A16" s="441"/>
      <c r="C16" s="462"/>
      <c r="D16" s="457">
        <v>2</v>
      </c>
      <c r="E16" s="1824" t="str">
        <f>TP_P_B</f>
        <v xml:space="preserve">Количество исполненных заявлений </v>
      </c>
      <c r="F16" s="457" t="s">
        <v>1364</v>
      </c>
      <c r="G16" s="621"/>
      <c r="H16" s="621"/>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1">
        <v>15</v>
      </c>
    </row>
    <row r="17" spans="1:19" ht="77.650000000000006" customHeight="1">
      <c r="A17" s="441"/>
      <c r="C17" s="462"/>
      <c r="D17" s="457">
        <v>3</v>
      </c>
      <c r="E17" s="182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1364</v>
      </c>
      <c r="G17" s="621"/>
      <c r="H17" s="621"/>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1">
        <v>74</v>
      </c>
    </row>
    <row r="18" spans="1:19" ht="54.75" customHeight="1">
      <c r="A18" s="441"/>
      <c r="C18" s="462"/>
      <c r="D18" s="457">
        <v>4</v>
      </c>
      <c r="E18" s="1824" t="str">
        <f>TP_P_V_1</f>
        <v>Причины отказа в заключении договора о подключении (технологическом присоединении) к централизованной системе горячего водоснабжения</v>
      </c>
      <c r="F18" s="457" t="s">
        <v>535</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24"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7" t="str">
        <f>IF(TEMPLATE_SPHERE="HEAT","Гкал/час","тыс. куб. м/сутки")</f>
        <v>тыс. куб. м/сутки</v>
      </c>
      <c r="G19" s="623">
        <f>SUM(G20:G22)</f>
        <v>0</v>
      </c>
      <c r="H19" s="623">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1">
        <v>57</v>
      </c>
    </row>
    <row r="20" spans="1:19" ht="15" hidden="1" customHeight="1">
      <c r="D20" s="445" t="s">
        <v>1365</v>
      </c>
      <c r="E20" s="624"/>
      <c r="F20" s="445"/>
      <c r="G20" s="445"/>
      <c r="H20" s="445"/>
      <c r="I20" s="1661"/>
      <c r="S20" s="441">
        <v>0</v>
      </c>
    </row>
    <row r="21" spans="1:19" ht="29.25" customHeight="1">
      <c r="C21" s="387"/>
      <c r="D21" s="475" t="s">
        <v>542</v>
      </c>
      <c r="E21" s="606"/>
      <c r="F21" s="1659" t="str">
        <f>IF(TEMPLATE_SPHERE="HEAT","Гкал/час","тыс. куб. м/сутки")</f>
        <v>тыс. куб. м/сутки</v>
      </c>
      <c r="G21" s="616"/>
      <c r="H21" s="616"/>
      <c r="I21" s="23996"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1">
        <v>28</v>
      </c>
    </row>
    <row r="22" spans="1:19" ht="15.75" customHeight="1">
      <c r="A22" s="441"/>
      <c r="C22" s="441"/>
      <c r="D22" s="283"/>
      <c r="E22" s="516" t="s">
        <v>1366</v>
      </c>
      <c r="F22" s="508"/>
      <c r="G22" s="508"/>
      <c r="H22" s="508"/>
      <c r="I22" s="23998"/>
      <c r="R22" s="441"/>
      <c r="S22" s="441">
        <v>15</v>
      </c>
    </row>
    <row r="23" spans="1:19" ht="22.5" hidden="1" customHeight="1">
      <c r="A23" s="385" t="s">
        <v>73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1979" hidden="1" customWidth="1"/>
    <col min="2" max="2" width="9.140625" style="1292" hidden="1" customWidth="1"/>
    <col min="3" max="3" width="3" style="280"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1"/>
      <c r="N1" s="191"/>
      <c r="P1" s="191"/>
      <c r="Q1" s="22" t="s">
        <v>1</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400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4003"/>
      <c r="F5" s="24003"/>
      <c r="G5" s="24004"/>
      <c r="Q5" s="22">
        <v>28</v>
      </c>
    </row>
    <row r="6" spans="1:17" s="1561" customFormat="1" ht="18.75" customHeight="1">
      <c r="A6" s="811"/>
      <c r="B6" s="353"/>
      <c r="C6" s="312"/>
      <c r="D6" s="24064" t="str">
        <f>IF(org=0,"Не определено",org)</f>
        <v>ООО "Смоленскрегионтеплоэнерго"</v>
      </c>
      <c r="E6" s="24065"/>
      <c r="F6" s="24065"/>
      <c r="G6" s="24066"/>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4050" t="s">
        <v>529</v>
      </c>
      <c r="E9" s="24050"/>
      <c r="F9" s="24050"/>
      <c r="G9" s="24230" t="s">
        <v>530</v>
      </c>
      <c r="Q9" s="22">
        <v>14</v>
      </c>
    </row>
    <row r="10" spans="1:17" ht="24" customHeight="1">
      <c r="C10" s="35"/>
      <c r="D10" s="44" t="s">
        <v>79</v>
      </c>
      <c r="E10" s="47" t="s">
        <v>531</v>
      </c>
      <c r="F10" s="47" t="s">
        <v>619</v>
      </c>
      <c r="G10" s="24230"/>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535</v>
      </c>
      <c r="G12" s="88"/>
      <c r="Q12" s="22">
        <v>62</v>
      </c>
    </row>
    <row r="13" spans="1:17" ht="24" customHeight="1">
      <c r="A13" s="129"/>
      <c r="C13" s="35"/>
      <c r="D13" s="84" t="s">
        <v>1271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535</v>
      </c>
      <c r="G13" s="88"/>
      <c r="Q13" s="22">
        <v>23</v>
      </c>
    </row>
    <row r="14" spans="1:17" ht="14.65" customHeight="1">
      <c r="A14" s="129"/>
      <c r="C14" s="35"/>
      <c r="D14" s="84" t="s">
        <v>1307</v>
      </c>
      <c r="E14" s="132"/>
      <c r="F14" s="150"/>
      <c r="G14" s="2399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1367</v>
      </c>
      <c r="F15" s="138"/>
      <c r="G15" s="23998"/>
      <c r="Q15" s="22">
        <v>15</v>
      </c>
    </row>
    <row r="16" spans="1:17" ht="14.65" customHeight="1">
      <c r="A16" s="129"/>
      <c r="C16" s="35"/>
      <c r="D16" s="84" t="s">
        <v>1273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535</v>
      </c>
      <c r="G16" s="273"/>
      <c r="Q16" s="22">
        <v>14</v>
      </c>
    </row>
    <row r="17" spans="1:17" ht="14.65" customHeight="1">
      <c r="A17" s="129"/>
      <c r="C17" s="35"/>
      <c r="D17" s="84" t="s">
        <v>1315</v>
      </c>
      <c r="E17" s="132"/>
      <c r="F17" s="321"/>
      <c r="G17" s="2399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1" customFormat="1" ht="21.95" customHeight="1">
      <c r="A18" s="279"/>
      <c r="B18" s="83"/>
      <c r="C18" s="243"/>
      <c r="D18" s="283"/>
      <c r="E18" s="285" t="s">
        <v>1368</v>
      </c>
      <c r="F18" s="274"/>
      <c r="G18" s="23998"/>
      <c r="I18" s="286"/>
      <c r="J18" s="286"/>
      <c r="Q18" s="278">
        <v>21</v>
      </c>
    </row>
    <row r="19" spans="1:17" s="1561" customFormat="1" ht="256.5" hidden="1" customHeight="1">
      <c r="A19" s="279"/>
      <c r="B19" s="353"/>
      <c r="C19" s="312"/>
      <c r="D19" s="813" t="s">
        <v>1275</v>
      </c>
      <c r="E19" s="812" t="s">
        <v>1369</v>
      </c>
      <c r="F19" s="321"/>
      <c r="G19" s="273" t="s">
        <v>1370</v>
      </c>
      <c r="I19" s="436"/>
      <c r="J19" s="436"/>
      <c r="Q19" s="692">
        <v>0</v>
      </c>
    </row>
    <row r="20" spans="1:17" s="1561" customFormat="1" ht="14.65" customHeight="1">
      <c r="A20" s="279"/>
      <c r="B20" s="83"/>
      <c r="C20" s="243"/>
      <c r="D20" s="814">
        <v>2</v>
      </c>
      <c r="E20" s="266" t="s">
        <v>1371</v>
      </c>
      <c r="F20" s="135" t="s">
        <v>535</v>
      </c>
      <c r="G20" s="273"/>
      <c r="I20" s="286"/>
      <c r="J20" s="286"/>
      <c r="Q20" s="278">
        <v>14</v>
      </c>
    </row>
    <row r="21" spans="1:17" s="1561" customFormat="1" ht="18.75" hidden="1" customHeight="1">
      <c r="A21" s="279"/>
      <c r="B21" s="83"/>
      <c r="C21" s="243"/>
      <c r="D21" s="269" t="s">
        <v>886</v>
      </c>
      <c r="E21" s="268"/>
      <c r="F21" s="267"/>
      <c r="G21" s="277"/>
      <c r="H21" s="270"/>
      <c r="I21" s="286"/>
      <c r="J21" s="286"/>
      <c r="Q21" s="278">
        <v>0</v>
      </c>
    </row>
    <row r="22" spans="1:17" ht="15.75" customHeight="1">
      <c r="A22" s="129"/>
      <c r="C22" s="35"/>
      <c r="D22" s="48"/>
      <c r="E22" s="140" t="s">
        <v>551</v>
      </c>
      <c r="F22" s="274"/>
      <c r="G22" s="275"/>
      <c r="Q22" s="22">
        <v>15</v>
      </c>
    </row>
    <row r="23" spans="1:17" s="1561" customFormat="1" ht="22.5" hidden="1" customHeight="1">
      <c r="A23" s="279"/>
      <c r="B23" s="1086"/>
      <c r="C23" s="312"/>
      <c r="D23" s="1599" t="s">
        <v>95</v>
      </c>
      <c r="E23" s="134" t="s">
        <v>1372</v>
      </c>
      <c r="F23" s="1596" t="s">
        <v>535</v>
      </c>
      <c r="G23" s="281"/>
      <c r="I23" s="1550"/>
      <c r="J23" s="1550"/>
      <c r="Q23" s="1557">
        <v>0</v>
      </c>
    </row>
    <row r="24" spans="1:17" s="1561" customFormat="1" ht="14.25" hidden="1" customHeight="1">
      <c r="A24" s="279"/>
      <c r="B24" s="1086"/>
      <c r="C24" s="312"/>
      <c r="D24" s="1599" t="s">
        <v>958</v>
      </c>
      <c r="E24" s="1598" t="s">
        <v>1373</v>
      </c>
      <c r="F24" s="1596" t="s">
        <v>535</v>
      </c>
      <c r="G24" s="273"/>
      <c r="I24" s="1550"/>
      <c r="J24" s="1550"/>
      <c r="Q24" s="1557">
        <v>0</v>
      </c>
    </row>
    <row r="25" spans="1:17" s="1561" customFormat="1" ht="14.25" hidden="1" customHeight="1">
      <c r="A25" s="279"/>
      <c r="B25" s="1086"/>
      <c r="C25" s="312"/>
      <c r="D25" s="1599" t="s">
        <v>961</v>
      </c>
      <c r="E25" s="132"/>
      <c r="F25" s="321"/>
      <c r="G25" s="23996" t="s">
        <v>1374</v>
      </c>
      <c r="I25" s="1550"/>
      <c r="J25" s="1550"/>
      <c r="Q25" s="1557">
        <v>0</v>
      </c>
    </row>
    <row r="26" spans="1:17" s="1561" customFormat="1" ht="22.5" hidden="1" customHeight="1">
      <c r="A26" s="279"/>
      <c r="B26" s="1086"/>
      <c r="C26" s="312"/>
      <c r="D26" s="283"/>
      <c r="E26" s="285" t="s">
        <v>1375</v>
      </c>
      <c r="F26" s="274"/>
      <c r="G26" s="23998"/>
      <c r="I26" s="1550"/>
      <c r="J26" s="1550"/>
      <c r="Q26" s="1557">
        <v>0</v>
      </c>
    </row>
    <row r="27" spans="1:17" ht="3" customHeight="1">
      <c r="Q27" s="22">
        <v>3</v>
      </c>
    </row>
    <row r="28" spans="1:17" ht="14.65" customHeight="1">
      <c r="D28" s="272"/>
      <c r="E28" s="271"/>
      <c r="F28" s="251"/>
      <c r="G28" s="251"/>
      <c r="H28" s="251"/>
      <c r="I28" s="251"/>
      <c r="J28" s="251"/>
      <c r="K28" s="251"/>
      <c r="L28" s="251"/>
      <c r="M28" s="251"/>
      <c r="N28" s="251"/>
      <c r="O28" s="251"/>
      <c r="P28" s="251"/>
      <c r="Q28" s="22">
        <v>14</v>
      </c>
    </row>
    <row r="29" spans="1:17" ht="14.65" customHeight="1">
      <c r="D29" s="272"/>
      <c r="E29" s="518"/>
      <c r="Q29" s="22">
        <v>14</v>
      </c>
    </row>
    <row r="30" spans="1:17" ht="14.65" customHeight="1">
      <c r="Q30" s="22">
        <v>14</v>
      </c>
    </row>
    <row r="31" spans="1:17" ht="14.65" customHeight="1">
      <c r="E31" s="692"/>
      <c r="Q31" s="22">
        <v>14</v>
      </c>
    </row>
    <row r="32" spans="1:17" ht="22.5" hidden="1" customHeight="1">
      <c r="A32" s="40" t="s">
        <v>73</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674" hidden="1" customWidth="1"/>
    <col min="2" max="2" width="9.140625" style="1292" hidden="1" customWidth="1"/>
    <col min="3" max="3" width="3" style="280"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v>
      </c>
    </row>
    <row r="2" spans="1:13" s="1561" customFormat="1" ht="18.75" hidden="1" customHeight="1">
      <c r="A2" s="1609"/>
      <c r="B2" s="1086"/>
      <c r="C2" s="1628" t="s">
        <v>96</v>
      </c>
      <c r="D2" s="1599"/>
      <c r="E2" s="136"/>
      <c r="F2" s="1596"/>
      <c r="G2" s="1596" t="s">
        <v>535</v>
      </c>
      <c r="H2" s="1087"/>
      <c r="K2" s="1550"/>
      <c r="L2" s="1550"/>
      <c r="M2" s="1557">
        <v>0</v>
      </c>
    </row>
    <row r="3" spans="1:13" s="1561" customFormat="1" ht="14.25" hidden="1" customHeight="1">
      <c r="A3" s="1288"/>
      <c r="B3" s="1086"/>
      <c r="C3" s="280"/>
      <c r="K3" s="1550"/>
      <c r="L3" s="1550"/>
      <c r="M3" s="1557">
        <v>0</v>
      </c>
    </row>
    <row r="4" spans="1:13" s="1561" customFormat="1" ht="18.75" hidden="1" customHeight="1">
      <c r="A4" s="1609"/>
      <c r="B4" s="1086"/>
      <c r="C4" s="1628" t="s">
        <v>96</v>
      </c>
      <c r="D4" s="1599"/>
      <c r="E4" s="142" t="s">
        <v>1376</v>
      </c>
      <c r="F4" s="1596"/>
      <c r="G4" s="193"/>
      <c r="H4" s="1596" t="s">
        <v>535</v>
      </c>
      <c r="K4" s="1550"/>
      <c r="L4" s="1550"/>
      <c r="M4" s="1557">
        <v>0</v>
      </c>
    </row>
    <row r="5" spans="1:13" s="1561" customFormat="1" ht="14.25" hidden="1" customHeight="1">
      <c r="A5" s="1288"/>
      <c r="B5" s="1086"/>
      <c r="C5" s="280"/>
      <c r="K5" s="1550"/>
      <c r="L5" s="1550"/>
      <c r="M5" s="1557">
        <v>0</v>
      </c>
    </row>
    <row r="6" spans="1:13" s="1561" customFormat="1" ht="18.75" hidden="1" customHeight="1">
      <c r="A6" s="1609"/>
      <c r="B6" s="1086"/>
      <c r="C6" s="1628" t="s">
        <v>96</v>
      </c>
      <c r="D6" s="1599"/>
      <c r="E6" s="143" t="s">
        <v>1377</v>
      </c>
      <c r="F6" s="1596"/>
      <c r="G6" s="193"/>
      <c r="H6" s="1596" t="s">
        <v>535</v>
      </c>
      <c r="K6" s="1550"/>
      <c r="L6" s="1550"/>
      <c r="M6" s="1557">
        <v>0</v>
      </c>
    </row>
    <row r="7" spans="1:13" s="1561" customFormat="1" ht="14.25" hidden="1" customHeight="1">
      <c r="A7" s="1288"/>
      <c r="B7" s="1086"/>
      <c r="C7" s="280"/>
      <c r="K7" s="1550"/>
      <c r="L7" s="1550"/>
      <c r="M7" s="1557">
        <v>0</v>
      </c>
    </row>
    <row r="8" spans="1:13" s="1561" customFormat="1" ht="18.75" hidden="1" customHeight="1">
      <c r="A8" s="1609"/>
      <c r="B8" s="1086"/>
      <c r="C8" s="1628" t="s">
        <v>96</v>
      </c>
      <c r="D8" s="1599"/>
      <c r="E8" s="143" t="s">
        <v>1378</v>
      </c>
      <c r="F8" s="1596"/>
      <c r="G8" s="193"/>
      <c r="H8" s="1596" t="s">
        <v>535</v>
      </c>
      <c r="K8" s="1550"/>
      <c r="L8" s="1550"/>
      <c r="M8" s="1557">
        <v>0</v>
      </c>
    </row>
    <row r="9" spans="1:13" s="1561" customFormat="1" ht="14.25" hidden="1" customHeight="1">
      <c r="A9" s="1288"/>
      <c r="B9" s="1086"/>
      <c r="C9" s="280"/>
      <c r="K9" s="1550"/>
      <c r="L9" s="1550"/>
      <c r="M9" s="1557">
        <v>0</v>
      </c>
    </row>
    <row r="10" spans="1:13" s="1561" customFormat="1" ht="18.75" hidden="1" customHeight="1">
      <c r="A10" s="1609"/>
      <c r="B10" s="1086"/>
      <c r="C10" s="1628" t="s">
        <v>96</v>
      </c>
      <c r="D10" s="1599"/>
      <c r="E10" s="143" t="s">
        <v>1379</v>
      </c>
      <c r="F10" s="1596"/>
      <c r="G10" s="1600"/>
      <c r="H10" s="1596" t="s">
        <v>535</v>
      </c>
      <c r="K10" s="1550"/>
      <c r="L10" s="1550" t="s">
        <v>1380</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400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4003"/>
      <c r="F14" s="24003"/>
      <c r="G14" s="24003"/>
      <c r="H14" s="24004"/>
      <c r="J14" s="1557"/>
      <c r="M14" s="22">
        <v>28</v>
      </c>
    </row>
    <row r="15" spans="1:13" s="1561" customFormat="1" ht="14.65" customHeight="1">
      <c r="A15" s="1288"/>
      <c r="B15" s="1086"/>
      <c r="C15" s="312"/>
      <c r="D15" s="24064" t="str">
        <f>IF(org=0,"Не определено",org)</f>
        <v>ООО "Смоленскрегионтеплоэнерго"</v>
      </c>
      <c r="E15" s="24065"/>
      <c r="F15" s="24065"/>
      <c r="G15" s="24065"/>
      <c r="H15" s="24066"/>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4050" t="s">
        <v>529</v>
      </c>
      <c r="E18" s="24050"/>
      <c r="F18" s="24050"/>
      <c r="G18" s="24050"/>
      <c r="H18" s="24050"/>
      <c r="I18" s="24230" t="s">
        <v>530</v>
      </c>
      <c r="M18" s="22">
        <v>21</v>
      </c>
    </row>
    <row r="19" spans="1:13" ht="21.95" customHeight="1">
      <c r="C19" s="35"/>
      <c r="D19" s="44" t="s">
        <v>79</v>
      </c>
      <c r="E19" s="47" t="s">
        <v>531</v>
      </c>
      <c r="F19" s="47"/>
      <c r="G19" s="47" t="s">
        <v>532</v>
      </c>
      <c r="H19" s="47" t="s">
        <v>619</v>
      </c>
      <c r="I19" s="24230"/>
      <c r="M19" s="22">
        <v>21</v>
      </c>
    </row>
    <row r="20" spans="1:13" ht="12" hidden="1" customHeight="1">
      <c r="C20" s="35"/>
      <c r="D20" s="26"/>
      <c r="E20" s="26"/>
      <c r="F20" s="26"/>
      <c r="G20" s="26"/>
      <c r="H20" s="26"/>
      <c r="I20" s="26"/>
      <c r="M20" s="22">
        <v>0</v>
      </c>
    </row>
    <row r="21" spans="1:13" ht="14.65" customHeight="1">
      <c r="A21" s="1609"/>
      <c r="C21" s="35"/>
      <c r="D21" s="84">
        <v>1</v>
      </c>
      <c r="E21" s="24280" t="s">
        <v>1381</v>
      </c>
      <c r="F21" s="24280"/>
      <c r="G21" s="24280"/>
      <c r="H21" s="24280"/>
      <c r="I21" s="145"/>
      <c r="M21" s="22">
        <v>14</v>
      </c>
    </row>
    <row r="22" spans="1:13" ht="21" customHeight="1">
      <c r="A22" s="1609"/>
      <c r="C22" s="35"/>
      <c r="D22" s="84" t="s">
        <v>1271</v>
      </c>
      <c r="E22" s="131" t="s">
        <v>1382</v>
      </c>
      <c r="F22" s="135"/>
      <c r="G22" s="1635"/>
      <c r="H22" s="135" t="s">
        <v>535</v>
      </c>
      <c r="I22" s="88" t="s">
        <v>1383</v>
      </c>
      <c r="M22" s="22">
        <v>20</v>
      </c>
    </row>
    <row r="23" spans="1:13" ht="60" customHeight="1">
      <c r="A23" s="1609"/>
      <c r="C23" s="35"/>
      <c r="D23" s="84" t="s">
        <v>1273</v>
      </c>
      <c r="E23" s="131" t="s">
        <v>1384</v>
      </c>
      <c r="F23" s="135"/>
      <c r="G23" s="193"/>
      <c r="H23" s="150"/>
      <c r="I23" s="194" t="s">
        <v>1385</v>
      </c>
      <c r="M23" s="22">
        <v>57</v>
      </c>
    </row>
    <row r="24" spans="1:13" ht="14.65" customHeight="1">
      <c r="A24" s="1609"/>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535</v>
      </c>
      <c r="H24" s="150"/>
      <c r="I24" s="195" t="s">
        <v>881</v>
      </c>
      <c r="M24" s="22">
        <v>14</v>
      </c>
    </row>
    <row r="25" spans="1:13" ht="48.2" customHeight="1">
      <c r="A25" s="1609"/>
      <c r="C25" s="35"/>
      <c r="D25" s="84">
        <v>3</v>
      </c>
      <c r="E25" s="2428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280"/>
      <c r="G25" s="24280"/>
      <c r="H25" s="24280"/>
      <c r="I25" s="192"/>
      <c r="M25" s="22">
        <v>46</v>
      </c>
    </row>
    <row r="26" spans="1:13" ht="14.65" customHeight="1">
      <c r="A26" s="1609"/>
      <c r="C26" s="35"/>
      <c r="D26" s="84" t="s">
        <v>553</v>
      </c>
      <c r="E26" s="136"/>
      <c r="F26" s="135"/>
      <c r="G26" s="135" t="s">
        <v>535</v>
      </c>
      <c r="H26" s="150"/>
      <c r="I26" s="23996" t="s">
        <v>1386</v>
      </c>
      <c r="M26" s="22">
        <v>14</v>
      </c>
    </row>
    <row r="27" spans="1:13" ht="15.75" customHeight="1">
      <c r="A27" s="1609" t="s">
        <v>218</v>
      </c>
      <c r="C27" s="35"/>
      <c r="D27" s="48"/>
      <c r="E27" s="140" t="s">
        <v>551</v>
      </c>
      <c r="F27" s="141"/>
      <c r="G27" s="141"/>
      <c r="H27" s="138"/>
      <c r="I27" s="23998"/>
      <c r="M27" s="22">
        <v>15</v>
      </c>
    </row>
    <row r="28" spans="1:13" ht="39.75" customHeight="1">
      <c r="A28" s="1609"/>
      <c r="B28" s="83">
        <v>3</v>
      </c>
      <c r="C28" s="35"/>
      <c r="D28" s="84">
        <v>4</v>
      </c>
      <c r="E28" s="2428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4280"/>
      <c r="G28" s="24280"/>
      <c r="H28" s="24280"/>
      <c r="I28" s="192"/>
      <c r="M28" s="22">
        <v>38</v>
      </c>
    </row>
    <row r="29" spans="1:13" ht="21" customHeight="1">
      <c r="A29" s="1609"/>
      <c r="C29" s="35"/>
      <c r="D29" s="84" t="s">
        <v>1003</v>
      </c>
      <c r="E29" s="142" t="s">
        <v>1376</v>
      </c>
      <c r="F29" s="135"/>
      <c r="G29" s="193"/>
      <c r="H29" s="135" t="s">
        <v>535</v>
      </c>
      <c r="I29" s="23996" t="s">
        <v>1387</v>
      </c>
      <c r="M29" s="22">
        <v>20</v>
      </c>
    </row>
    <row r="30" spans="1:13" ht="15.75" customHeight="1">
      <c r="A30" s="1609" t="s">
        <v>95</v>
      </c>
      <c r="C30" s="35"/>
      <c r="D30" s="48"/>
      <c r="E30" s="140" t="s">
        <v>551</v>
      </c>
      <c r="F30" s="141"/>
      <c r="G30" s="141"/>
      <c r="H30" s="138"/>
      <c r="I30" s="23998"/>
      <c r="M30" s="22">
        <v>15</v>
      </c>
    </row>
    <row r="31" spans="1:13" ht="31.5" customHeight="1">
      <c r="A31" s="1609"/>
      <c r="B31" s="83">
        <v>3</v>
      </c>
      <c r="C31" s="35"/>
      <c r="D31" s="84">
        <v>5</v>
      </c>
      <c r="E31" s="2428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4280"/>
      <c r="G31" s="24280"/>
      <c r="H31" s="24280"/>
      <c r="I31" s="192"/>
      <c r="M31" s="22">
        <v>30</v>
      </c>
    </row>
    <row r="32" spans="1:13" ht="27.4" customHeight="1">
      <c r="A32" s="1609"/>
      <c r="C32" s="35"/>
      <c r="D32" s="84" t="s">
        <v>542</v>
      </c>
      <c r="E32" s="2424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4243"/>
      <c r="G32" s="24243"/>
      <c r="H32" s="24243"/>
      <c r="I32" s="192"/>
      <c r="M32" s="22">
        <v>26</v>
      </c>
    </row>
    <row r="33" spans="1:13" ht="14.65" customHeight="1">
      <c r="A33" s="1609"/>
      <c r="C33" s="35"/>
      <c r="D33" s="84" t="s">
        <v>1388</v>
      </c>
      <c r="E33" s="143" t="s">
        <v>1377</v>
      </c>
      <c r="F33" s="135"/>
      <c r="G33" s="193"/>
      <c r="H33" s="135" t="s">
        <v>535</v>
      </c>
      <c r="I33" s="23996" t="s">
        <v>1389</v>
      </c>
      <c r="M33" s="22">
        <v>14</v>
      </c>
    </row>
    <row r="34" spans="1:13" ht="15.75" customHeight="1">
      <c r="A34" s="1609" t="s">
        <v>81</v>
      </c>
      <c r="C34" s="35"/>
      <c r="D34" s="48"/>
      <c r="E34" s="141" t="s">
        <v>551</v>
      </c>
      <c r="F34" s="137"/>
      <c r="G34" s="137"/>
      <c r="H34" s="138"/>
      <c r="I34" s="23998"/>
      <c r="M34" s="22">
        <v>15</v>
      </c>
    </row>
    <row r="35" spans="1:13" ht="25.15" customHeight="1">
      <c r="A35" s="1609"/>
      <c r="C35" s="35"/>
      <c r="D35" s="84" t="s">
        <v>1131</v>
      </c>
      <c r="E35" s="2424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4243"/>
      <c r="G35" s="24243"/>
      <c r="H35" s="24243"/>
      <c r="I35" s="192"/>
      <c r="M35" s="22">
        <v>24</v>
      </c>
    </row>
    <row r="36" spans="1:13" ht="14.65" customHeight="1">
      <c r="A36" s="1609"/>
      <c r="C36" s="35"/>
      <c r="D36" s="84" t="s">
        <v>1390</v>
      </c>
      <c r="E36" s="143" t="s">
        <v>1378</v>
      </c>
      <c r="F36" s="135"/>
      <c r="G36" s="193"/>
      <c r="H36" s="135" t="s">
        <v>535</v>
      </c>
      <c r="I36" s="23969" t="s">
        <v>1391</v>
      </c>
      <c r="M36" s="22">
        <v>14</v>
      </c>
    </row>
    <row r="37" spans="1:13" ht="15.75" customHeight="1">
      <c r="A37" s="1609" t="s">
        <v>82</v>
      </c>
      <c r="C37" s="35"/>
      <c r="D37" s="48"/>
      <c r="E37" s="141" t="s">
        <v>551</v>
      </c>
      <c r="F37" s="137"/>
      <c r="G37" s="137"/>
      <c r="H37" s="138"/>
      <c r="I37" s="23969"/>
      <c r="M37" s="22">
        <v>15</v>
      </c>
    </row>
    <row r="38" spans="1:13" ht="27.4" customHeight="1">
      <c r="A38" s="1609"/>
      <c r="C38" s="35"/>
      <c r="D38" s="84" t="s">
        <v>1132</v>
      </c>
      <c r="E38" s="2424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4243"/>
      <c r="G38" s="24243"/>
      <c r="H38" s="24243"/>
      <c r="I38" s="192"/>
      <c r="M38" s="22">
        <v>26</v>
      </c>
    </row>
    <row r="39" spans="1:13" ht="14.65" customHeight="1">
      <c r="A39" s="1609"/>
      <c r="C39" s="35"/>
      <c r="D39" s="84" t="s">
        <v>1133</v>
      </c>
      <c r="E39" s="143" t="s">
        <v>1379</v>
      </c>
      <c r="F39" s="135"/>
      <c r="G39" s="144"/>
      <c r="H39" s="135" t="s">
        <v>535</v>
      </c>
      <c r="I39" s="23996" t="s">
        <v>1392</v>
      </c>
      <c r="L39" s="92" t="s">
        <v>1380</v>
      </c>
      <c r="M39" s="22">
        <v>14</v>
      </c>
    </row>
    <row r="40" spans="1:13" ht="15.75" customHeight="1">
      <c r="A40" s="1609" t="s">
        <v>109</v>
      </c>
      <c r="C40" s="35"/>
      <c r="D40" s="48"/>
      <c r="E40" s="141" t="s">
        <v>551</v>
      </c>
      <c r="F40" s="137"/>
      <c r="G40" s="137"/>
      <c r="H40" s="138"/>
      <c r="I40" s="23998"/>
      <c r="M40" s="22">
        <v>15</v>
      </c>
    </row>
    <row r="41" spans="1:13" s="1720" customFormat="1" ht="3" customHeight="1">
      <c r="A41" s="1609"/>
      <c r="K41" s="133"/>
      <c r="L41" s="133"/>
      <c r="M41" s="78">
        <v>3</v>
      </c>
    </row>
    <row r="42" spans="1:13" ht="26.25" customHeight="1">
      <c r="D42" s="1607" t="s">
        <v>1053</v>
      </c>
      <c r="E42" s="2408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4087"/>
      <c r="G42" s="24087"/>
      <c r="H42" s="24087"/>
      <c r="I42" s="24087"/>
      <c r="M42" s="22">
        <v>25</v>
      </c>
    </row>
    <row r="43" spans="1:13" ht="22.5" hidden="1" customHeight="1">
      <c r="A43" s="1288" t="s">
        <v>73</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677" hidden="1" customWidth="1"/>
    <col min="3" max="3" width="9.140625" style="1613" hidden="1" customWidth="1"/>
    <col min="4" max="4" width="3" style="280"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677"/>
      <c r="B1" s="1677"/>
      <c r="C1" s="305"/>
      <c r="D1" s="280"/>
      <c r="N1" s="1562">
        <f>IFERROR(MATCH("метод экономически обоснованных расходов (затрат)",OFFER_METHOD,0),0)</f>
        <v>0</v>
      </c>
      <c r="O1" s="1550"/>
      <c r="P1" s="1550"/>
      <c r="T1" s="761"/>
      <c r="AG1" s="191"/>
      <c r="AH1" s="1557" t="s">
        <v>1</v>
      </c>
    </row>
    <row r="2" spans="1:34" s="1561" customFormat="1" ht="18.75" hidden="1" customHeight="1">
      <c r="A2" s="1678" t="s">
        <v>255</v>
      </c>
      <c r="B2" s="1678" t="s">
        <v>256</v>
      </c>
      <c r="C2" s="305"/>
      <c r="D2" s="280"/>
      <c r="E2" s="960"/>
      <c r="F2" s="960"/>
      <c r="G2" s="24256" t="str">
        <f>INDEX(PT_DIFFERENTIATION_NTAR,MATCH(B2,PT_DIFFERENTIATION_NTAR_ID,0))</f>
        <v/>
      </c>
      <c r="H2" s="1761"/>
      <c r="I2" s="1637"/>
      <c r="J2" s="1671"/>
      <c r="K2" s="1762"/>
      <c r="L2" s="1761" t="s">
        <v>535</v>
      </c>
      <c r="M2" s="1772"/>
      <c r="N2" s="270"/>
      <c r="O2" s="1550"/>
      <c r="P2" s="1550"/>
      <c r="AH2" s="1557">
        <v>0</v>
      </c>
    </row>
    <row r="3" spans="1:34" s="1561" customFormat="1" ht="18.75" hidden="1" customHeight="1">
      <c r="A3" s="1678"/>
      <c r="B3" s="1678"/>
      <c r="C3" s="305" t="s">
        <v>1393</v>
      </c>
      <c r="D3" s="280"/>
      <c r="E3" s="960"/>
      <c r="F3" s="960"/>
      <c r="G3" s="24256"/>
      <c r="H3" s="1426"/>
      <c r="I3" s="587" t="s">
        <v>1394</v>
      </c>
      <c r="J3" s="507"/>
      <c r="K3" s="1426"/>
      <c r="L3" s="151"/>
      <c r="M3" s="1772"/>
      <c r="N3" s="270"/>
      <c r="O3" s="1550"/>
      <c r="P3" s="1550"/>
      <c r="AH3" s="1557">
        <v>0</v>
      </c>
    </row>
    <row r="4" spans="1:34" s="1561" customFormat="1" ht="14.25" hidden="1" customHeight="1">
      <c r="A4" s="1677"/>
      <c r="B4" s="1677"/>
      <c r="C4" s="305"/>
      <c r="D4" s="280"/>
      <c r="N4" s="1562">
        <f>IFERROR(MATCH("метод экономически обоснованных расходов (затрат)",OFFER_METHOD,0),0)</f>
        <v>0</v>
      </c>
      <c r="O4" s="1550"/>
      <c r="P4" s="1550"/>
      <c r="T4" s="761"/>
      <c r="AG4" s="191"/>
      <c r="AH4" s="1557">
        <v>0</v>
      </c>
    </row>
    <row r="5" spans="1:34" s="1561" customFormat="1" ht="18.75" hidden="1" customHeight="1">
      <c r="A5" s="1678" t="s">
        <v>255</v>
      </c>
      <c r="B5" s="1678" t="s">
        <v>256</v>
      </c>
      <c r="C5" s="305"/>
      <c r="D5" s="280"/>
      <c r="E5" s="960"/>
      <c r="F5" s="960"/>
      <c r="G5" s="24256" t="str">
        <f>INDEX(PT_DIFFERENTIATION_NTAR,MATCH(B5,PT_DIFFERENTIATION_NTAR_ID,0))</f>
        <v/>
      </c>
      <c r="H5" s="1761"/>
      <c r="I5" s="1637"/>
      <c r="J5" s="1671"/>
      <c r="K5" s="1676"/>
      <c r="L5" s="1761" t="s">
        <v>535</v>
      </c>
      <c r="M5" s="1772"/>
      <c r="N5" s="270"/>
      <c r="O5" s="1550"/>
      <c r="P5" s="1550"/>
      <c r="AH5" s="1557">
        <v>0</v>
      </c>
    </row>
    <row r="6" spans="1:34" s="1561" customFormat="1" ht="18.75" hidden="1" customHeight="1">
      <c r="A6" s="1678"/>
      <c r="B6" s="1678"/>
      <c r="C6" s="305" t="s">
        <v>1395</v>
      </c>
      <c r="D6" s="280"/>
      <c r="E6" s="960"/>
      <c r="F6" s="960"/>
      <c r="G6" s="24256"/>
      <c r="H6" s="1426"/>
      <c r="I6" s="587" t="s">
        <v>1394</v>
      </c>
      <c r="J6" s="507"/>
      <c r="K6" s="1426"/>
      <c r="L6" s="151"/>
      <c r="M6" s="1772"/>
      <c r="N6" s="270"/>
      <c r="O6" s="1550"/>
      <c r="P6" s="1550"/>
      <c r="AH6" s="1557">
        <v>0</v>
      </c>
    </row>
    <row r="7" spans="1:34" s="1561" customFormat="1" ht="14.25" hidden="1" customHeight="1">
      <c r="A7" s="1677"/>
      <c r="B7" s="1677"/>
      <c r="C7" s="305"/>
      <c r="D7" s="280"/>
      <c r="N7" s="1562">
        <f>IFERROR(MATCH("метод экономически обоснованных расходов (затрат)",OFFER_METHOD,0),0)</f>
        <v>0</v>
      </c>
      <c r="O7" s="1550"/>
      <c r="P7" s="1550"/>
      <c r="T7" s="761"/>
      <c r="AG7" s="191"/>
      <c r="AH7" s="1557">
        <v>0</v>
      </c>
    </row>
    <row r="8" spans="1:34" s="1561" customFormat="1" ht="56.25" hidden="1" customHeight="1">
      <c r="A8" s="1678"/>
      <c r="B8" s="1678"/>
      <c r="C8" s="305"/>
      <c r="D8" s="280"/>
      <c r="E8" s="960"/>
      <c r="F8" s="960"/>
      <c r="G8" s="960"/>
      <c r="H8" s="1669"/>
      <c r="I8" s="1637"/>
      <c r="J8" s="1671"/>
      <c r="K8" s="1762"/>
      <c r="L8" s="1669" t="s">
        <v>535</v>
      </c>
      <c r="M8" s="1772"/>
      <c r="N8" s="270"/>
      <c r="O8" s="1550"/>
      <c r="P8" s="1550"/>
      <c r="AH8" s="1557">
        <v>0</v>
      </c>
    </row>
    <row r="9" spans="1:34" ht="14.25" hidden="1" customHeight="1">
      <c r="T9" s="333"/>
      <c r="AG9" s="191"/>
      <c r="AH9" s="310">
        <v>0</v>
      </c>
    </row>
    <row r="10" spans="1:34" s="1561" customFormat="1" ht="56.25" hidden="1" customHeight="1">
      <c r="A10" s="1678"/>
      <c r="B10" s="1678"/>
      <c r="C10" s="305"/>
      <c r="D10" s="280"/>
      <c r="E10" s="960"/>
      <c r="F10" s="960"/>
      <c r="G10" s="960"/>
      <c r="H10" s="1668"/>
      <c r="I10" s="1637"/>
      <c r="J10" s="1671"/>
      <c r="K10" s="1676"/>
      <c r="L10" s="1669" t="s">
        <v>535</v>
      </c>
      <c r="M10" s="1772"/>
      <c r="N10" s="270"/>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28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4282"/>
      <c r="G14" s="24282"/>
      <c r="H14" s="24282"/>
      <c r="I14" s="24282"/>
      <c r="J14" s="24282"/>
      <c r="K14" s="24282"/>
      <c r="L14" s="24282"/>
      <c r="M14" s="156"/>
      <c r="AH14" s="310">
        <v>14</v>
      </c>
    </row>
    <row r="15" spans="1:34" ht="6.4" customHeight="1">
      <c r="D15" s="312"/>
      <c r="E15" s="299"/>
      <c r="F15" s="325"/>
      <c r="G15" s="325"/>
      <c r="H15" s="325"/>
      <c r="I15" s="325"/>
      <c r="J15" s="325"/>
      <c r="K15" s="325"/>
      <c r="L15" s="258"/>
      <c r="M15" s="130"/>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изменении тарифов</v>
      </c>
      <c r="G16" s="24080" t="str">
        <f>IF(TITLE_DATE_PR_CHANGE="",IF(TITLE_DATE_PR="","",TITLE_DATE_PR),TITLE_DATE_PR_CHANGE)</f>
        <v>20.12.2024</v>
      </c>
      <c r="H16" s="24080"/>
      <c r="I16" s="24080"/>
      <c r="J16" s="24080"/>
      <c r="K16" s="24080"/>
      <c r="L16" s="24080"/>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изменении тарифов</v>
      </c>
      <c r="G17" s="24081" t="str">
        <f>IF(TITLE_NUMBER_PR_CHANGE="",IF(TITLE_NUMBER_PR="","",TITLE_NUMBER_PR),TITLE_NUMBER_PR_CHANGE)</f>
        <v>403, 404</v>
      </c>
      <c r="H17" s="24081"/>
      <c r="I17" s="24081"/>
      <c r="J17" s="24081"/>
      <c r="K17" s="24081"/>
      <c r="L17" s="24081"/>
      <c r="M17" s="334"/>
      <c r="N17" s="262"/>
      <c r="AH17" s="310">
        <v>23</v>
      </c>
    </row>
    <row r="18" spans="1:34" ht="14.65" customHeight="1">
      <c r="D18" s="312"/>
      <c r="E18" s="299"/>
      <c r="F18" s="325"/>
      <c r="G18" s="325"/>
      <c r="H18" s="325"/>
      <c r="I18" s="325"/>
      <c r="J18" s="325"/>
      <c r="K18" s="325"/>
      <c r="L18" s="688"/>
      <c r="M18" s="130"/>
      <c r="AH18" s="310">
        <v>14</v>
      </c>
    </row>
    <row r="19" spans="1:34" ht="21.95" customHeight="1">
      <c r="D19" s="312"/>
      <c r="E19" s="24050" t="s">
        <v>529</v>
      </c>
      <c r="F19" s="24050"/>
      <c r="G19" s="24050"/>
      <c r="H19" s="24050"/>
      <c r="I19" s="24050"/>
      <c r="J19" s="24050"/>
      <c r="K19" s="24050"/>
      <c r="L19" s="24050"/>
      <c r="M19" s="24230" t="s">
        <v>530</v>
      </c>
      <c r="AH19" s="310">
        <v>21</v>
      </c>
    </row>
    <row r="20" spans="1:34" ht="21.95" customHeight="1">
      <c r="D20" s="312"/>
      <c r="E20" s="24105" t="s">
        <v>79</v>
      </c>
      <c r="F20" s="24056" t="s">
        <v>228</v>
      </c>
      <c r="G20" s="24056" t="s">
        <v>229</v>
      </c>
      <c r="H20" s="24227" t="s">
        <v>1396</v>
      </c>
      <c r="I20" s="24228"/>
      <c r="J20" s="24258"/>
      <c r="K20" s="24056" t="s">
        <v>532</v>
      </c>
      <c r="L20" s="24056" t="s">
        <v>619</v>
      </c>
      <c r="M20" s="24230"/>
      <c r="AH20" s="310">
        <v>21</v>
      </c>
    </row>
    <row r="21" spans="1:34" ht="21.95" customHeight="1">
      <c r="D21" s="312"/>
      <c r="E21" s="24107"/>
      <c r="F21" s="24057"/>
      <c r="G21" s="24057"/>
      <c r="H21" s="24055" t="s">
        <v>1397</v>
      </c>
      <c r="I21" s="24068"/>
      <c r="J21" s="47" t="s">
        <v>1398</v>
      </c>
      <c r="K21" s="24057"/>
      <c r="L21" s="24057"/>
      <c r="M21" s="24230"/>
      <c r="AH21" s="310">
        <v>21</v>
      </c>
    </row>
    <row r="22" spans="1:34" ht="12.75" customHeight="1">
      <c r="D22" s="312"/>
      <c r="E22" s="217"/>
      <c r="F22" s="217"/>
      <c r="G22" s="217"/>
      <c r="H22" s="24284"/>
      <c r="I22" s="24284"/>
      <c r="J22" s="217"/>
      <c r="K22" s="217"/>
      <c r="L22" s="217"/>
      <c r="M22" s="217"/>
      <c r="AH22" s="310">
        <v>12</v>
      </c>
    </row>
    <row r="23" spans="1:34" ht="19.899999999999999" customHeight="1">
      <c r="A23" s="1678"/>
      <c r="B23" s="1678"/>
      <c r="D23" s="312"/>
      <c r="E23" s="1763" t="s">
        <v>218</v>
      </c>
      <c r="F23" s="24285" t="str">
        <f>"Предлагаемый метод регулирования"&amp;IF(TEMPLATE_SPHERE="HEAT"," в сфере "&amp;TEMPLATE_SPHERE_RUS,"")</f>
        <v>Предлагаемый метод регулирования</v>
      </c>
      <c r="G23" s="24285"/>
      <c r="H23" s="24280"/>
      <c r="I23" s="24280"/>
      <c r="J23" s="24280"/>
      <c r="K23" s="24285" t="s">
        <v>535</v>
      </c>
      <c r="L23" s="24280"/>
      <c r="M23" s="1667"/>
      <c r="N23" s="270"/>
      <c r="AH23" s="310">
        <v>19</v>
      </c>
    </row>
    <row r="24" spans="1:34" ht="60.75" hidden="1" customHeight="1">
      <c r="A24" s="1678" t="s">
        <v>255</v>
      </c>
      <c r="B24" s="1678" t="s">
        <v>256</v>
      </c>
      <c r="D24" s="24283"/>
      <c r="E24" s="24045"/>
      <c r="F24" s="2428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256" t="str">
        <f>INDEX(PT_DIFFERENTIATION_NTAR,MATCH(B24,PT_DIFFERENTIATION_NTAR_ID,0))</f>
        <v/>
      </c>
      <c r="H24" s="1759"/>
      <c r="I24" s="1637"/>
      <c r="J24" s="1671"/>
      <c r="K24" s="1762"/>
      <c r="L24" s="1666" t="s">
        <v>535</v>
      </c>
      <c r="M24" s="239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561" customFormat="1" ht="18.75" hidden="1" customHeight="1">
      <c r="A25" s="1678"/>
      <c r="B25" s="1678"/>
      <c r="C25" s="305" t="s">
        <v>1393</v>
      </c>
      <c r="D25" s="24283"/>
      <c r="E25" s="24045"/>
      <c r="F25" s="24286"/>
      <c r="G25" s="24256"/>
      <c r="H25" s="1426"/>
      <c r="I25" s="587" t="s">
        <v>1394</v>
      </c>
      <c r="J25" s="507"/>
      <c r="K25" s="1426"/>
      <c r="L25" s="151"/>
      <c r="M25" s="23997"/>
      <c r="N25" s="270"/>
      <c r="O25" s="1550"/>
      <c r="P25" s="1550"/>
      <c r="AH25" s="1557">
        <v>0</v>
      </c>
    </row>
    <row r="26" spans="1:34" ht="0.75" hidden="1" customHeight="1">
      <c r="A26" s="1678"/>
      <c r="B26" s="1678"/>
      <c r="C26" s="305" t="s">
        <v>1399</v>
      </c>
      <c r="D26" s="24283"/>
      <c r="E26" s="24045"/>
      <c r="F26" s="24220"/>
      <c r="G26" s="336"/>
      <c r="H26" s="1426"/>
      <c r="I26" s="331"/>
      <c r="J26" s="285"/>
      <c r="K26" s="1426"/>
      <c r="L26" s="138"/>
      <c r="M26" s="23997"/>
      <c r="N26" s="270"/>
      <c r="AH26" s="310">
        <v>0</v>
      </c>
    </row>
    <row r="27" spans="1:34" s="1561" customFormat="1" ht="45" hidden="1" customHeight="1">
      <c r="A27" s="1678" t="s">
        <v>260</v>
      </c>
      <c r="B27" s="1678" t="s">
        <v>261</v>
      </c>
      <c r="C27" s="305"/>
      <c r="D27" s="24281"/>
      <c r="E27" s="24287"/>
      <c r="F27" s="24288" t="str">
        <f>INDEX(PT_DIFFERENTIATION_VTAR,MATCH(A27,PT_DIFFERENTIATION_VTAR_ID,0))</f>
        <v/>
      </c>
      <c r="G27" s="24256" t="str">
        <f>INDEX(PT_DIFFERENTIATION_NTAR,MATCH(B27,PT_DIFFERENTIATION_NTAR_ID,0))</f>
        <v/>
      </c>
      <c r="H27" s="1759"/>
      <c r="I27" s="1637"/>
      <c r="J27" s="1671"/>
      <c r="K27" s="1762"/>
      <c r="L27" s="1759" t="s">
        <v>535</v>
      </c>
      <c r="M27" s="23997"/>
      <c r="N27" s="270"/>
      <c r="O27" s="1550"/>
      <c r="P27" s="1550"/>
      <c r="AH27" s="1557">
        <v>0</v>
      </c>
    </row>
    <row r="28" spans="1:34" s="1561" customFormat="1" ht="18.75" hidden="1" customHeight="1">
      <c r="A28" s="1678"/>
      <c r="B28" s="1678"/>
      <c r="C28" s="305" t="s">
        <v>1393</v>
      </c>
      <c r="D28" s="24281"/>
      <c r="E28" s="24287"/>
      <c r="F28" s="24288"/>
      <c r="G28" s="24256"/>
      <c r="H28" s="1426"/>
      <c r="I28" s="587" t="s">
        <v>1394</v>
      </c>
      <c r="J28" s="507"/>
      <c r="K28" s="1426"/>
      <c r="L28" s="151"/>
      <c r="M28" s="23997"/>
      <c r="N28" s="270"/>
      <c r="O28" s="1550"/>
      <c r="P28" s="1550"/>
      <c r="AH28" s="1557">
        <v>0</v>
      </c>
    </row>
    <row r="29" spans="1:34" s="1561" customFormat="1" ht="0.75" hidden="1" customHeight="1">
      <c r="A29" s="1678"/>
      <c r="B29" s="1678"/>
      <c r="C29" s="305" t="s">
        <v>1399</v>
      </c>
      <c r="D29" s="24281"/>
      <c r="E29" s="24045"/>
      <c r="F29" s="24220"/>
      <c r="G29" s="336"/>
      <c r="H29" s="1426"/>
      <c r="I29" s="587"/>
      <c r="J29" s="507"/>
      <c r="K29" s="1426"/>
      <c r="L29" s="151"/>
      <c r="M29" s="23997"/>
      <c r="N29" s="270"/>
      <c r="O29" s="1550"/>
      <c r="P29" s="1550"/>
      <c r="AH29" s="1557">
        <v>0</v>
      </c>
    </row>
    <row r="30" spans="1:34" s="1561" customFormat="1" ht="45" hidden="1" customHeight="1">
      <c r="A30" s="1678" t="s">
        <v>267</v>
      </c>
      <c r="B30" s="1678" t="s">
        <v>268</v>
      </c>
      <c r="C30" s="305"/>
      <c r="D30" s="24281"/>
      <c r="E30" s="24045"/>
      <c r="F30" s="2422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256" t="str">
        <f>INDEX(PT_DIFFERENTIATION_NTAR,MATCH(B30,PT_DIFFERENTIATION_NTAR_ID,0))</f>
        <v/>
      </c>
      <c r="H30" s="1759"/>
      <c r="I30" s="1637"/>
      <c r="J30" s="1671"/>
      <c r="K30" s="1762"/>
      <c r="L30" s="1759" t="s">
        <v>535</v>
      </c>
      <c r="M30" s="23997"/>
      <c r="N30" s="270"/>
      <c r="O30" s="1550"/>
      <c r="P30" s="1550"/>
      <c r="AH30" s="1557">
        <v>0</v>
      </c>
    </row>
    <row r="31" spans="1:34" s="1561" customFormat="1" ht="18.75" hidden="1" customHeight="1">
      <c r="A31" s="1678"/>
      <c r="B31" s="1678"/>
      <c r="C31" s="305" t="s">
        <v>1393</v>
      </c>
      <c r="D31" s="24281"/>
      <c r="E31" s="24045"/>
      <c r="F31" s="24220"/>
      <c r="G31" s="24256"/>
      <c r="H31" s="1426"/>
      <c r="I31" s="587" t="s">
        <v>1394</v>
      </c>
      <c r="J31" s="507"/>
      <c r="K31" s="1426"/>
      <c r="L31" s="151"/>
      <c r="M31" s="23997"/>
      <c r="N31" s="270"/>
      <c r="O31" s="1550"/>
      <c r="P31" s="1550"/>
      <c r="AH31" s="1557">
        <v>0</v>
      </c>
    </row>
    <row r="32" spans="1:34" s="1561" customFormat="1" ht="0.75" hidden="1" customHeight="1">
      <c r="A32" s="1678"/>
      <c r="B32" s="1678"/>
      <c r="C32" s="305" t="s">
        <v>1399</v>
      </c>
      <c r="D32" s="24281"/>
      <c r="E32" s="24045"/>
      <c r="F32" s="24220"/>
      <c r="G32" s="336"/>
      <c r="H32" s="1426"/>
      <c r="I32" s="587"/>
      <c r="J32" s="507"/>
      <c r="K32" s="1426"/>
      <c r="L32" s="151"/>
      <c r="M32" s="23997"/>
      <c r="N32" s="270"/>
      <c r="O32" s="1550"/>
      <c r="P32" s="1550"/>
      <c r="AH32" s="1557">
        <v>0</v>
      </c>
    </row>
    <row r="33" spans="1:34" s="1561" customFormat="1" ht="45" hidden="1" customHeight="1">
      <c r="A33" s="1678" t="s">
        <v>273</v>
      </c>
      <c r="B33" s="1678" t="s">
        <v>274</v>
      </c>
      <c r="C33" s="305"/>
      <c r="D33" s="24281"/>
      <c r="E33" s="24045"/>
      <c r="F33" s="2422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256" t="str">
        <f>INDEX(PT_DIFFERENTIATION_NTAR,MATCH(B33,PT_DIFFERENTIATION_NTAR_ID,0))</f>
        <v/>
      </c>
      <c r="H33" s="1759"/>
      <c r="I33" s="1637"/>
      <c r="J33" s="1671"/>
      <c r="K33" s="1762"/>
      <c r="L33" s="1759" t="s">
        <v>535</v>
      </c>
      <c r="M33" s="23997"/>
      <c r="N33" s="270"/>
      <c r="O33" s="1550"/>
      <c r="P33" s="1550"/>
      <c r="AH33" s="1557">
        <v>0</v>
      </c>
    </row>
    <row r="34" spans="1:34" s="1561" customFormat="1" ht="18.75" hidden="1" customHeight="1">
      <c r="A34" s="1678"/>
      <c r="B34" s="1678"/>
      <c r="C34" s="305" t="s">
        <v>1393</v>
      </c>
      <c r="D34" s="24281"/>
      <c r="E34" s="24045"/>
      <c r="F34" s="24220"/>
      <c r="G34" s="24256"/>
      <c r="H34" s="1426"/>
      <c r="I34" s="587" t="s">
        <v>1394</v>
      </c>
      <c r="J34" s="507"/>
      <c r="K34" s="1426"/>
      <c r="L34" s="151"/>
      <c r="M34" s="23997"/>
      <c r="N34" s="270"/>
      <c r="O34" s="1550"/>
      <c r="P34" s="1550"/>
      <c r="AH34" s="1557">
        <v>0</v>
      </c>
    </row>
    <row r="35" spans="1:34" s="1561" customFormat="1" ht="0.75" hidden="1" customHeight="1">
      <c r="A35" s="1678"/>
      <c r="B35" s="1678"/>
      <c r="C35" s="305" t="s">
        <v>1399</v>
      </c>
      <c r="D35" s="24281"/>
      <c r="E35" s="24045"/>
      <c r="F35" s="24220"/>
      <c r="G35" s="336"/>
      <c r="H35" s="1426"/>
      <c r="I35" s="587"/>
      <c r="J35" s="507"/>
      <c r="K35" s="1426"/>
      <c r="L35" s="151"/>
      <c r="M35" s="23997"/>
      <c r="N35" s="270"/>
      <c r="O35" s="1550"/>
      <c r="P35" s="1550"/>
      <c r="AH35" s="1557">
        <v>0</v>
      </c>
    </row>
    <row r="36" spans="1:34" s="1561" customFormat="1" ht="18.75" hidden="1" customHeight="1">
      <c r="A36" s="1678" t="s">
        <v>279</v>
      </c>
      <c r="B36" s="1678" t="s">
        <v>280</v>
      </c>
      <c r="C36" s="305"/>
      <c r="D36" s="24281"/>
      <c r="E36" s="24045"/>
      <c r="F36" s="24220" t="str">
        <f>INDEX(PT_DIFFERENTIATION_VTAR,MATCH(A36,PT_DIFFERENTIATION_VTAR_ID,0))</f>
        <v>Тарифы на услуги по передаче тепловой энергии</v>
      </c>
      <c r="G36" s="24256" t="str">
        <f>INDEX(PT_DIFFERENTIATION_NTAR,MATCH(B36,PT_DIFFERENTIATION_NTAR_ID,0))</f>
        <v/>
      </c>
      <c r="H36" s="1759"/>
      <c r="I36" s="1637"/>
      <c r="J36" s="1671"/>
      <c r="K36" s="1762"/>
      <c r="L36" s="1759" t="s">
        <v>535</v>
      </c>
      <c r="M36" s="23997"/>
      <c r="N36" s="270"/>
      <c r="O36" s="1550"/>
      <c r="P36" s="1550"/>
      <c r="AH36" s="1557">
        <v>0</v>
      </c>
    </row>
    <row r="37" spans="1:34" s="1561" customFormat="1" ht="18.75" hidden="1" customHeight="1">
      <c r="A37" s="1678"/>
      <c r="B37" s="1678"/>
      <c r="C37" s="305" t="s">
        <v>1393</v>
      </c>
      <c r="D37" s="24281"/>
      <c r="E37" s="24045"/>
      <c r="F37" s="24220"/>
      <c r="G37" s="24256"/>
      <c r="H37" s="1426"/>
      <c r="I37" s="587" t="s">
        <v>1394</v>
      </c>
      <c r="J37" s="507"/>
      <c r="K37" s="1426"/>
      <c r="L37" s="151"/>
      <c r="M37" s="23997"/>
      <c r="N37" s="270"/>
      <c r="O37" s="1550"/>
      <c r="P37" s="1550"/>
      <c r="AH37" s="1557">
        <v>0</v>
      </c>
    </row>
    <row r="38" spans="1:34" s="1561" customFormat="1" ht="0.75" hidden="1" customHeight="1">
      <c r="A38" s="1678"/>
      <c r="B38" s="1678"/>
      <c r="C38" s="305" t="s">
        <v>1399</v>
      </c>
      <c r="D38" s="24281"/>
      <c r="E38" s="24045"/>
      <c r="F38" s="24220"/>
      <c r="G38" s="336"/>
      <c r="H38" s="1426"/>
      <c r="I38" s="587"/>
      <c r="J38" s="507"/>
      <c r="K38" s="1426"/>
      <c r="L38" s="151"/>
      <c r="M38" s="23997"/>
      <c r="N38" s="270"/>
      <c r="O38" s="1550"/>
      <c r="P38" s="1550"/>
      <c r="AH38" s="1557">
        <v>0</v>
      </c>
    </row>
    <row r="39" spans="1:34" s="1561" customFormat="1" ht="18.75" hidden="1" customHeight="1">
      <c r="A39" s="1678" t="s">
        <v>285</v>
      </c>
      <c r="B39" s="1678" t="s">
        <v>286</v>
      </c>
      <c r="C39" s="305"/>
      <c r="D39" s="24281"/>
      <c r="E39" s="24045"/>
      <c r="F39" s="24220" t="str">
        <f>INDEX(PT_DIFFERENTIATION_VTAR,MATCH(A39,PT_DIFFERENTIATION_VTAR_ID,0))</f>
        <v>Тарифы на услуги по передаче теплоносителя</v>
      </c>
      <c r="G39" s="24256" t="str">
        <f>INDEX(PT_DIFFERENTIATION_NTAR,MATCH(B39,PT_DIFFERENTIATION_NTAR_ID,0))</f>
        <v/>
      </c>
      <c r="H39" s="1759"/>
      <c r="I39" s="1637"/>
      <c r="J39" s="1671"/>
      <c r="K39" s="1762"/>
      <c r="L39" s="1759" t="s">
        <v>535</v>
      </c>
      <c r="M39" s="23997"/>
      <c r="N39" s="270"/>
      <c r="O39" s="1550"/>
      <c r="P39" s="1550"/>
      <c r="AH39" s="1557">
        <v>0</v>
      </c>
    </row>
    <row r="40" spans="1:34" s="1561" customFormat="1" ht="18.75" hidden="1" customHeight="1">
      <c r="A40" s="1678"/>
      <c r="B40" s="1678"/>
      <c r="C40" s="305" t="s">
        <v>1393</v>
      </c>
      <c r="D40" s="24281"/>
      <c r="E40" s="24045"/>
      <c r="F40" s="24220"/>
      <c r="G40" s="24256"/>
      <c r="H40" s="1426"/>
      <c r="I40" s="587" t="s">
        <v>1394</v>
      </c>
      <c r="J40" s="507"/>
      <c r="K40" s="1426"/>
      <c r="L40" s="151"/>
      <c r="M40" s="23997"/>
      <c r="N40" s="270"/>
      <c r="O40" s="1550"/>
      <c r="P40" s="1550"/>
      <c r="AH40" s="1557">
        <v>0</v>
      </c>
    </row>
    <row r="41" spans="1:34" s="1561" customFormat="1" ht="0.75" hidden="1" customHeight="1">
      <c r="A41" s="1678"/>
      <c r="B41" s="1678"/>
      <c r="C41" s="305" t="s">
        <v>1399</v>
      </c>
      <c r="D41" s="24281"/>
      <c r="E41" s="24045"/>
      <c r="F41" s="24220"/>
      <c r="G41" s="336"/>
      <c r="H41" s="1426"/>
      <c r="I41" s="587"/>
      <c r="J41" s="507"/>
      <c r="K41" s="1426"/>
      <c r="L41" s="151"/>
      <c r="M41" s="23997"/>
      <c r="N41" s="270"/>
      <c r="O41" s="1550"/>
      <c r="P41" s="1550"/>
      <c r="AH41" s="1557">
        <v>0</v>
      </c>
    </row>
    <row r="42" spans="1:34" s="1561" customFormat="1" ht="18.75" hidden="1" customHeight="1">
      <c r="A42" s="1678" t="s">
        <v>291</v>
      </c>
      <c r="B42" s="1678" t="s">
        <v>292</v>
      </c>
      <c r="C42" s="305"/>
      <c r="D42" s="24281"/>
      <c r="E42" s="24045"/>
      <c r="F42" s="24220" t="str">
        <f>INDEX(PT_DIFFERENTIATION_VTAR,MATCH(A42,PT_DIFFERENTIATION_VTAR_ID,0))</f>
        <v>Плата за услуги по поддержанию резервной тепловой мощности при отсутствии потребления тепловой энергии</v>
      </c>
      <c r="G42" s="24256" t="str">
        <f>INDEX(PT_DIFFERENTIATION_NTAR,MATCH(B42,PT_DIFFERENTIATION_NTAR_ID,0))</f>
        <v/>
      </c>
      <c r="H42" s="1759"/>
      <c r="I42" s="1637"/>
      <c r="J42" s="1671"/>
      <c r="K42" s="1762"/>
      <c r="L42" s="1759" t="s">
        <v>535</v>
      </c>
      <c r="M42" s="23997"/>
      <c r="N42" s="270"/>
      <c r="O42" s="1550"/>
      <c r="P42" s="1550"/>
      <c r="AH42" s="1557">
        <v>0</v>
      </c>
    </row>
    <row r="43" spans="1:34" s="1561" customFormat="1" ht="18.75" hidden="1" customHeight="1">
      <c r="A43" s="1678"/>
      <c r="B43" s="1678"/>
      <c r="C43" s="305" t="s">
        <v>1393</v>
      </c>
      <c r="D43" s="24281"/>
      <c r="E43" s="24045"/>
      <c r="F43" s="24220"/>
      <c r="G43" s="24256"/>
      <c r="H43" s="1426"/>
      <c r="I43" s="587" t="s">
        <v>1394</v>
      </c>
      <c r="J43" s="507"/>
      <c r="K43" s="1426"/>
      <c r="L43" s="151"/>
      <c r="M43" s="23997"/>
      <c r="N43" s="270"/>
      <c r="O43" s="1550"/>
      <c r="P43" s="1550"/>
      <c r="AH43" s="1557">
        <v>0</v>
      </c>
    </row>
    <row r="44" spans="1:34" s="1561" customFormat="1" ht="0.75" hidden="1" customHeight="1">
      <c r="A44" s="1678"/>
      <c r="B44" s="1678"/>
      <c r="C44" s="305" t="s">
        <v>1399</v>
      </c>
      <c r="D44" s="24281"/>
      <c r="E44" s="24045"/>
      <c r="F44" s="24220"/>
      <c r="G44" s="336"/>
      <c r="H44" s="1426"/>
      <c r="I44" s="587"/>
      <c r="J44" s="507"/>
      <c r="K44" s="1426"/>
      <c r="L44" s="151"/>
      <c r="M44" s="23997"/>
      <c r="N44" s="270"/>
      <c r="O44" s="1550"/>
      <c r="P44" s="1550"/>
      <c r="AH44" s="1557">
        <v>0</v>
      </c>
    </row>
    <row r="45" spans="1:34" s="1561" customFormat="1" ht="18.75" hidden="1" customHeight="1">
      <c r="A45" s="1678" t="s">
        <v>297</v>
      </c>
      <c r="B45" s="1678" t="s">
        <v>298</v>
      </c>
      <c r="C45" s="305"/>
      <c r="D45" s="24281"/>
      <c r="E45" s="24045"/>
      <c r="F45" s="24220" t="str">
        <f>INDEX(PT_DIFFERENTIATION_VTAR,MATCH(A45,PT_DIFFERENTIATION_VTAR_ID,0))</f>
        <v>Плата за подключение (технологическое присоединение) к системе теплоснабжения</v>
      </c>
      <c r="G45" s="24256" t="str">
        <f>INDEX(PT_DIFFERENTIATION_NTAR,MATCH(B45,PT_DIFFERENTIATION_NTAR_ID,0))</f>
        <v/>
      </c>
      <c r="H45" s="1759"/>
      <c r="I45" s="1637"/>
      <c r="J45" s="1671"/>
      <c r="K45" s="1762"/>
      <c r="L45" s="1759" t="s">
        <v>535</v>
      </c>
      <c r="M45" s="23997"/>
      <c r="N45" s="270"/>
      <c r="O45" s="1550"/>
      <c r="P45" s="1550"/>
      <c r="AH45" s="1557">
        <v>0</v>
      </c>
    </row>
    <row r="46" spans="1:34" s="1561" customFormat="1" ht="18.75" hidden="1" customHeight="1">
      <c r="A46" s="1678"/>
      <c r="B46" s="1678"/>
      <c r="C46" s="305" t="s">
        <v>1393</v>
      </c>
      <c r="D46" s="24281"/>
      <c r="E46" s="24045"/>
      <c r="F46" s="24220"/>
      <c r="G46" s="24256"/>
      <c r="H46" s="1426"/>
      <c r="I46" s="587" t="s">
        <v>1394</v>
      </c>
      <c r="J46" s="507"/>
      <c r="K46" s="1426"/>
      <c r="L46" s="151"/>
      <c r="M46" s="23997"/>
      <c r="N46" s="270"/>
      <c r="O46" s="1550"/>
      <c r="P46" s="1550"/>
      <c r="AH46" s="1557">
        <v>0</v>
      </c>
    </row>
    <row r="47" spans="1:34" s="1561" customFormat="1" ht="0.75" hidden="1" customHeight="1">
      <c r="A47" s="1678"/>
      <c r="B47" s="1678"/>
      <c r="C47" s="305" t="s">
        <v>1399</v>
      </c>
      <c r="D47" s="24281"/>
      <c r="E47" s="24045"/>
      <c r="F47" s="24220"/>
      <c r="G47" s="336"/>
      <c r="H47" s="1426"/>
      <c r="I47" s="587"/>
      <c r="J47" s="507"/>
      <c r="K47" s="1426"/>
      <c r="L47" s="151"/>
      <c r="M47" s="23997"/>
      <c r="N47" s="270"/>
      <c r="O47" s="1550"/>
      <c r="P47" s="1550"/>
      <c r="AH47" s="1557">
        <v>0</v>
      </c>
    </row>
    <row r="48" spans="1:34" s="1561" customFormat="1" ht="18.75" hidden="1" customHeight="1">
      <c r="A48" s="1678" t="s">
        <v>303</v>
      </c>
      <c r="B48" s="1678" t="s">
        <v>304</v>
      </c>
      <c r="C48" s="305"/>
      <c r="D48" s="24281"/>
      <c r="E48" s="24045"/>
      <c r="F48" s="24220" t="str">
        <f>INDEX(PT_DIFFERENTIATION_VTAR,MATCH(A48,PT_DIFFERENTIATION_VTAR_ID,0))</f>
        <v>Плата за подключение (технологическое присоединение) к системе теплоснабжения (индивидуальная)</v>
      </c>
      <c r="G48" s="24256" t="str">
        <f>INDEX(PT_DIFFERENTIATION_NTAR,MATCH(B48,PT_DIFFERENTIATION_NTAR_ID,0))</f>
        <v/>
      </c>
      <c r="H48" s="1883"/>
      <c r="I48" s="1637"/>
      <c r="J48" s="1671"/>
      <c r="K48" s="1762"/>
      <c r="L48" s="1883" t="s">
        <v>535</v>
      </c>
      <c r="M48" s="23997"/>
      <c r="N48" s="270"/>
      <c r="O48" s="1550"/>
      <c r="P48" s="1550"/>
      <c r="AH48" s="1557">
        <v>0</v>
      </c>
    </row>
    <row r="49" spans="1:34" s="1561" customFormat="1" ht="18.75" hidden="1" customHeight="1">
      <c r="A49" s="1678"/>
      <c r="B49" s="1678"/>
      <c r="C49" s="305" t="s">
        <v>1393</v>
      </c>
      <c r="D49" s="24281"/>
      <c r="E49" s="24045"/>
      <c r="F49" s="24220"/>
      <c r="G49" s="24256"/>
      <c r="H49" s="1426"/>
      <c r="I49" s="587" t="s">
        <v>1394</v>
      </c>
      <c r="J49" s="507"/>
      <c r="K49" s="1426"/>
      <c r="L49" s="151"/>
      <c r="M49" s="23997"/>
      <c r="N49" s="270"/>
      <c r="O49" s="1550"/>
      <c r="P49" s="1550"/>
      <c r="AH49" s="1557">
        <v>0</v>
      </c>
    </row>
    <row r="50" spans="1:34" s="1561" customFormat="1" ht="0.75" hidden="1" customHeight="1">
      <c r="A50" s="1678"/>
      <c r="B50" s="1678"/>
      <c r="C50" s="305" t="s">
        <v>1399</v>
      </c>
      <c r="D50" s="24281"/>
      <c r="E50" s="24045"/>
      <c r="F50" s="24220"/>
      <c r="G50" s="336"/>
      <c r="H50" s="1426"/>
      <c r="I50" s="587"/>
      <c r="J50" s="507"/>
      <c r="K50" s="1426"/>
      <c r="L50" s="151"/>
      <c r="M50" s="23997"/>
      <c r="N50" s="270"/>
      <c r="O50" s="1550"/>
      <c r="P50" s="1550"/>
      <c r="AH50" s="1557">
        <v>0</v>
      </c>
    </row>
    <row r="51" spans="1:34" s="1561" customFormat="1" ht="18.75" hidden="1" customHeight="1">
      <c r="A51" s="1678" t="s">
        <v>323</v>
      </c>
      <c r="B51" s="1678" t="s">
        <v>324</v>
      </c>
      <c r="C51" s="305"/>
      <c r="D51" s="24281"/>
      <c r="E51" s="24045"/>
      <c r="F51" s="24220" t="str">
        <f>INDEX(PT_DIFFERENTIATION_VTAR,MATCH(A51,PT_DIFFERENTIATION_VTAR_ID,0))</f>
        <v>Тариф на питьевую воду (питьевое водоснабжение)</v>
      </c>
      <c r="G51" s="24256" t="str">
        <f>INDEX(PT_DIFFERENTIATION_NTAR,MATCH(B51,PT_DIFFERENTIATION_NTAR_ID,0))</f>
        <v/>
      </c>
      <c r="H51" s="1759"/>
      <c r="I51" s="1637"/>
      <c r="J51" s="1671"/>
      <c r="K51" s="1762"/>
      <c r="L51" s="1759" t="s">
        <v>535</v>
      </c>
      <c r="M51" s="23997"/>
      <c r="N51" s="270"/>
      <c r="O51" s="1550"/>
      <c r="P51" s="1550"/>
      <c r="AH51" s="1557">
        <v>0</v>
      </c>
    </row>
    <row r="52" spans="1:34" s="1561" customFormat="1" ht="18.75" hidden="1" customHeight="1">
      <c r="A52" s="1678"/>
      <c r="B52" s="1678"/>
      <c r="C52" s="305" t="s">
        <v>1393</v>
      </c>
      <c r="D52" s="24281"/>
      <c r="E52" s="24045"/>
      <c r="F52" s="24220"/>
      <c r="G52" s="24256"/>
      <c r="H52" s="1426"/>
      <c r="I52" s="587" t="s">
        <v>1394</v>
      </c>
      <c r="J52" s="507"/>
      <c r="K52" s="1426"/>
      <c r="L52" s="151"/>
      <c r="M52" s="23997"/>
      <c r="N52" s="270"/>
      <c r="O52" s="1550"/>
      <c r="P52" s="1550"/>
      <c r="AH52" s="1557">
        <v>0</v>
      </c>
    </row>
    <row r="53" spans="1:34" s="1561" customFormat="1" ht="0.75" hidden="1" customHeight="1">
      <c r="A53" s="1678"/>
      <c r="B53" s="1678"/>
      <c r="C53" s="305" t="s">
        <v>1399</v>
      </c>
      <c r="D53" s="24281"/>
      <c r="E53" s="24045"/>
      <c r="F53" s="24220"/>
      <c r="G53" s="336"/>
      <c r="H53" s="1426"/>
      <c r="I53" s="587"/>
      <c r="J53" s="507"/>
      <c r="K53" s="1426"/>
      <c r="L53" s="151"/>
      <c r="M53" s="23997"/>
      <c r="N53" s="270"/>
      <c r="O53" s="1550"/>
      <c r="P53" s="1550"/>
      <c r="AH53" s="1557">
        <v>0</v>
      </c>
    </row>
    <row r="54" spans="1:34" s="1561" customFormat="1" ht="18.75" hidden="1" customHeight="1">
      <c r="A54" s="1678" t="s">
        <v>328</v>
      </c>
      <c r="B54" s="1678" t="s">
        <v>329</v>
      </c>
      <c r="C54" s="305"/>
      <c r="D54" s="24281"/>
      <c r="E54" s="24045"/>
      <c r="F54" s="24220" t="str">
        <f>INDEX(PT_DIFFERENTIATION_VTAR,MATCH(A54,PT_DIFFERENTIATION_VTAR_ID,0))</f>
        <v>Тариф на техническую воду</v>
      </c>
      <c r="G54" s="24256" t="str">
        <f>INDEX(PT_DIFFERENTIATION_NTAR,MATCH(B54,PT_DIFFERENTIATION_NTAR_ID,0))</f>
        <v/>
      </c>
      <c r="H54" s="1759"/>
      <c r="I54" s="1637"/>
      <c r="J54" s="1671"/>
      <c r="K54" s="1762"/>
      <c r="L54" s="1759" t="s">
        <v>535</v>
      </c>
      <c r="M54" s="23997"/>
      <c r="N54" s="270"/>
      <c r="O54" s="1550"/>
      <c r="P54" s="1550"/>
      <c r="AH54" s="1557">
        <v>0</v>
      </c>
    </row>
    <row r="55" spans="1:34" s="1561" customFormat="1" ht="18.75" hidden="1" customHeight="1">
      <c r="A55" s="1678"/>
      <c r="B55" s="1678"/>
      <c r="C55" s="305" t="s">
        <v>1393</v>
      </c>
      <c r="D55" s="24281"/>
      <c r="E55" s="24045"/>
      <c r="F55" s="24220"/>
      <c r="G55" s="24256"/>
      <c r="H55" s="1426"/>
      <c r="I55" s="587" t="s">
        <v>1394</v>
      </c>
      <c r="J55" s="507"/>
      <c r="K55" s="1426"/>
      <c r="L55" s="151"/>
      <c r="M55" s="23997"/>
      <c r="N55" s="270"/>
      <c r="O55" s="1550"/>
      <c r="P55" s="1550"/>
      <c r="AH55" s="1557">
        <v>0</v>
      </c>
    </row>
    <row r="56" spans="1:34" s="1561" customFormat="1" ht="0.75" hidden="1" customHeight="1">
      <c r="A56" s="1678"/>
      <c r="B56" s="1678"/>
      <c r="C56" s="305" t="s">
        <v>1399</v>
      </c>
      <c r="D56" s="24281"/>
      <c r="E56" s="24045"/>
      <c r="F56" s="24220"/>
      <c r="G56" s="336"/>
      <c r="H56" s="1426"/>
      <c r="I56" s="587"/>
      <c r="J56" s="507"/>
      <c r="K56" s="1426"/>
      <c r="L56" s="151"/>
      <c r="M56" s="23997"/>
      <c r="N56" s="270"/>
      <c r="O56" s="1550"/>
      <c r="P56" s="1550"/>
      <c r="AH56" s="1557">
        <v>0</v>
      </c>
    </row>
    <row r="57" spans="1:34" s="1561" customFormat="1" ht="18.75" hidden="1" customHeight="1">
      <c r="A57" s="1678" t="s">
        <v>333</v>
      </c>
      <c r="B57" s="1678" t="s">
        <v>334</v>
      </c>
      <c r="C57" s="305"/>
      <c r="D57" s="24281"/>
      <c r="E57" s="24045"/>
      <c r="F57" s="24220" t="str">
        <f>INDEX(PT_DIFFERENTIATION_VTAR,MATCH(A57,PT_DIFFERENTIATION_VTAR_ID,0))</f>
        <v>Тариф на транспортировку воды</v>
      </c>
      <c r="G57" s="24256" t="str">
        <f>INDEX(PT_DIFFERENTIATION_NTAR,MATCH(B57,PT_DIFFERENTIATION_NTAR_ID,0))</f>
        <v/>
      </c>
      <c r="H57" s="1759"/>
      <c r="I57" s="1637"/>
      <c r="J57" s="1671"/>
      <c r="K57" s="1762"/>
      <c r="L57" s="1759" t="s">
        <v>535</v>
      </c>
      <c r="M57" s="23997"/>
      <c r="N57" s="270"/>
      <c r="O57" s="1550"/>
      <c r="P57" s="1550"/>
      <c r="AH57" s="1557">
        <v>0</v>
      </c>
    </row>
    <row r="58" spans="1:34" s="1561" customFormat="1" ht="18.75" hidden="1" customHeight="1">
      <c r="A58" s="1678"/>
      <c r="B58" s="1678"/>
      <c r="C58" s="305" t="s">
        <v>1393</v>
      </c>
      <c r="D58" s="24281"/>
      <c r="E58" s="24045"/>
      <c r="F58" s="24220"/>
      <c r="G58" s="24256"/>
      <c r="H58" s="1426"/>
      <c r="I58" s="587" t="s">
        <v>1394</v>
      </c>
      <c r="J58" s="507"/>
      <c r="K58" s="1426"/>
      <c r="L58" s="151"/>
      <c r="M58" s="23997"/>
      <c r="N58" s="270"/>
      <c r="O58" s="1550"/>
      <c r="P58" s="1550"/>
      <c r="AH58" s="1557">
        <v>0</v>
      </c>
    </row>
    <row r="59" spans="1:34" s="1561" customFormat="1" ht="0.75" hidden="1" customHeight="1">
      <c r="A59" s="1678"/>
      <c r="B59" s="1678"/>
      <c r="C59" s="305" t="s">
        <v>1399</v>
      </c>
      <c r="D59" s="24281"/>
      <c r="E59" s="24045"/>
      <c r="F59" s="24220"/>
      <c r="G59" s="336"/>
      <c r="H59" s="1426"/>
      <c r="I59" s="587"/>
      <c r="J59" s="507"/>
      <c r="K59" s="1426"/>
      <c r="L59" s="151"/>
      <c r="M59" s="23997"/>
      <c r="N59" s="270"/>
      <c r="O59" s="1550"/>
      <c r="P59" s="1550"/>
      <c r="AH59" s="1557">
        <v>0</v>
      </c>
    </row>
    <row r="60" spans="1:34" s="1561" customFormat="1" ht="18.75" hidden="1" customHeight="1">
      <c r="A60" s="1678" t="s">
        <v>338</v>
      </c>
      <c r="B60" s="1678" t="s">
        <v>339</v>
      </c>
      <c r="C60" s="305"/>
      <c r="D60" s="24281"/>
      <c r="E60" s="24045"/>
      <c r="F60" s="24220" t="str">
        <f>INDEX(PT_DIFFERENTIATION_VTAR,MATCH(A60,PT_DIFFERENTIATION_VTAR_ID,0))</f>
        <v>Тариф на подвоз воды</v>
      </c>
      <c r="G60" s="24256" t="str">
        <f>INDEX(PT_DIFFERENTIATION_NTAR,MATCH(B60,PT_DIFFERENTIATION_NTAR_ID,0))</f>
        <v/>
      </c>
      <c r="H60" s="1759"/>
      <c r="I60" s="1637"/>
      <c r="J60" s="1671"/>
      <c r="K60" s="1762"/>
      <c r="L60" s="1759" t="s">
        <v>535</v>
      </c>
      <c r="M60" s="23997"/>
      <c r="N60" s="270"/>
      <c r="O60" s="1550"/>
      <c r="P60" s="1550"/>
      <c r="AH60" s="1557">
        <v>0</v>
      </c>
    </row>
    <row r="61" spans="1:34" s="1561" customFormat="1" ht="18.75" hidden="1" customHeight="1">
      <c r="A61" s="1678"/>
      <c r="B61" s="1678"/>
      <c r="C61" s="305" t="s">
        <v>1393</v>
      </c>
      <c r="D61" s="24281"/>
      <c r="E61" s="24045"/>
      <c r="F61" s="24220"/>
      <c r="G61" s="24256"/>
      <c r="H61" s="1426"/>
      <c r="I61" s="587" t="s">
        <v>1394</v>
      </c>
      <c r="J61" s="507"/>
      <c r="K61" s="1426"/>
      <c r="L61" s="151"/>
      <c r="M61" s="23997"/>
      <c r="N61" s="270"/>
      <c r="O61" s="1550"/>
      <c r="P61" s="1550"/>
      <c r="AH61" s="1557">
        <v>0</v>
      </c>
    </row>
    <row r="62" spans="1:34" s="1561" customFormat="1" ht="0.75" hidden="1" customHeight="1">
      <c r="A62" s="1678"/>
      <c r="B62" s="1678"/>
      <c r="C62" s="305" t="s">
        <v>1399</v>
      </c>
      <c r="D62" s="24281"/>
      <c r="E62" s="24045"/>
      <c r="F62" s="24220"/>
      <c r="G62" s="336"/>
      <c r="H62" s="1426"/>
      <c r="I62" s="587"/>
      <c r="J62" s="507"/>
      <c r="K62" s="1426"/>
      <c r="L62" s="151"/>
      <c r="M62" s="23997"/>
      <c r="N62" s="270"/>
      <c r="O62" s="1550"/>
      <c r="P62" s="1550"/>
      <c r="AH62" s="1557">
        <v>0</v>
      </c>
    </row>
    <row r="63" spans="1:34" s="1561" customFormat="1" ht="18.75" hidden="1" customHeight="1">
      <c r="A63" s="1678" t="s">
        <v>343</v>
      </c>
      <c r="B63" s="1678" t="s">
        <v>344</v>
      </c>
      <c r="C63" s="305"/>
      <c r="D63" s="24281"/>
      <c r="E63" s="24045"/>
      <c r="F63" s="2422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256" t="str">
        <f>INDEX(PT_DIFFERENTIATION_NTAR,MATCH(B63,PT_DIFFERENTIATION_NTAR_ID,0))</f>
        <v/>
      </c>
      <c r="H63" s="1759"/>
      <c r="I63" s="1637"/>
      <c r="J63" s="1671"/>
      <c r="K63" s="1762"/>
      <c r="L63" s="1759" t="s">
        <v>535</v>
      </c>
      <c r="M63" s="23997"/>
      <c r="N63" s="270"/>
      <c r="O63" s="1550"/>
      <c r="P63" s="1550"/>
      <c r="AH63" s="1557">
        <v>0</v>
      </c>
    </row>
    <row r="64" spans="1:34" s="1561" customFormat="1" ht="18.75" hidden="1" customHeight="1">
      <c r="A64" s="1678"/>
      <c r="B64" s="1678"/>
      <c r="C64" s="305" t="s">
        <v>1393</v>
      </c>
      <c r="D64" s="24281"/>
      <c r="E64" s="24045"/>
      <c r="F64" s="24220"/>
      <c r="G64" s="24256"/>
      <c r="H64" s="1426"/>
      <c r="I64" s="587" t="s">
        <v>1394</v>
      </c>
      <c r="J64" s="507"/>
      <c r="K64" s="1426"/>
      <c r="L64" s="151"/>
      <c r="M64" s="23997"/>
      <c r="N64" s="270"/>
      <c r="O64" s="1550"/>
      <c r="P64" s="1550"/>
      <c r="AH64" s="1557">
        <v>0</v>
      </c>
    </row>
    <row r="65" spans="1:34" s="1561" customFormat="1" ht="0.75" hidden="1" customHeight="1">
      <c r="A65" s="1678"/>
      <c r="B65" s="1678"/>
      <c r="C65" s="305" t="s">
        <v>1399</v>
      </c>
      <c r="D65" s="24281"/>
      <c r="E65" s="24045"/>
      <c r="F65" s="24220"/>
      <c r="G65" s="336"/>
      <c r="H65" s="1426"/>
      <c r="I65" s="587"/>
      <c r="J65" s="507"/>
      <c r="K65" s="1426"/>
      <c r="L65" s="151"/>
      <c r="M65" s="23997"/>
      <c r="N65" s="270"/>
      <c r="O65" s="1550"/>
      <c r="P65" s="1550"/>
      <c r="AH65" s="1557">
        <v>0</v>
      </c>
    </row>
    <row r="66" spans="1:34" s="1561" customFormat="1" ht="18.75" hidden="1" customHeight="1">
      <c r="A66" s="1678" t="s">
        <v>351</v>
      </c>
      <c r="B66" s="1678" t="s">
        <v>352</v>
      </c>
      <c r="C66" s="305"/>
      <c r="D66" s="24281"/>
      <c r="E66" s="24045"/>
      <c r="F66" s="24220" t="str">
        <f>INDEX(PT_DIFFERENTIATION_VTAR,MATCH(A66,PT_DIFFERENTIATION_VTAR_ID,0))</f>
        <v>Тариф на горячую воду (горячее водоснабжение)</v>
      </c>
      <c r="G66" s="24256" t="str">
        <f>INDEX(PT_DIFFERENTIATION_NTAR,MATCH(B66,PT_DIFFERENTIATION_NTAR_ID,0))</f>
        <v>Тариф на горячую воду с использованием закрытой системы горячего водоснабжения</v>
      </c>
      <c r="H66" s="1759"/>
      <c r="I66" s="1637"/>
      <c r="J66" s="1671"/>
      <c r="K66" s="1762"/>
      <c r="L66" s="1759" t="s">
        <v>535</v>
      </c>
      <c r="M66" s="23997"/>
      <c r="N66" s="270"/>
      <c r="O66" s="1550"/>
      <c r="P66" s="1550"/>
      <c r="AH66" s="1557">
        <v>0</v>
      </c>
    </row>
    <row r="67" spans="1:34" s="1561" customFormat="1" ht="18.75" hidden="1" customHeight="1">
      <c r="A67" s="1678"/>
      <c r="B67" s="1678"/>
      <c r="C67" s="305" t="s">
        <v>1393</v>
      </c>
      <c r="D67" s="24281"/>
      <c r="E67" s="24045"/>
      <c r="F67" s="24220"/>
      <c r="G67" s="24256"/>
      <c r="H67" s="1426"/>
      <c r="I67" s="587" t="s">
        <v>1394</v>
      </c>
      <c r="J67" s="507"/>
      <c r="K67" s="1426"/>
      <c r="L67" s="151"/>
      <c r="M67" s="23997"/>
      <c r="N67" s="270"/>
      <c r="O67" s="1550"/>
      <c r="P67" s="1550"/>
      <c r="AH67" s="1557">
        <v>0</v>
      </c>
    </row>
    <row r="68" spans="1:34" s="1561" customFormat="1" ht="0.75" hidden="1" customHeight="1">
      <c r="A68" s="1678"/>
      <c r="B68" s="1678"/>
      <c r="C68" s="305" t="s">
        <v>1399</v>
      </c>
      <c r="D68" s="24281"/>
      <c r="E68" s="24045"/>
      <c r="F68" s="24220"/>
      <c r="G68" s="336"/>
      <c r="H68" s="1426"/>
      <c r="I68" s="587"/>
      <c r="J68" s="507"/>
      <c r="K68" s="1426"/>
      <c r="L68" s="151"/>
      <c r="M68" s="23997"/>
      <c r="N68" s="270"/>
      <c r="O68" s="1550"/>
      <c r="P68" s="1550"/>
      <c r="AH68" s="1557">
        <v>0</v>
      </c>
    </row>
    <row r="69" spans="1:34" s="1561" customFormat="1" ht="18.75" hidden="1" customHeight="1">
      <c r="A69" s="1678" t="s">
        <v>484</v>
      </c>
      <c r="B69" s="1678" t="s">
        <v>485</v>
      </c>
      <c r="C69" s="305"/>
      <c r="D69" s="24281"/>
      <c r="E69" s="24045"/>
      <c r="F69" s="24220" t="str">
        <f>INDEX(PT_DIFFERENTIATION_VTAR,MATCH(A69,PT_DIFFERENTIATION_VTAR_ID,0))</f>
        <v>Тариф на транспортировку горячей воды</v>
      </c>
      <c r="G69" s="24256" t="str">
        <f>INDEX(PT_DIFFERENTIATION_NTAR,MATCH(B69,PT_DIFFERENTIATION_NTAR_ID,0))</f>
        <v/>
      </c>
      <c r="H69" s="1759"/>
      <c r="I69" s="1637"/>
      <c r="J69" s="1671"/>
      <c r="K69" s="1762"/>
      <c r="L69" s="1759" t="s">
        <v>535</v>
      </c>
      <c r="M69" s="23997"/>
      <c r="N69" s="270"/>
      <c r="O69" s="1550"/>
      <c r="P69" s="1550"/>
      <c r="AH69" s="1557">
        <v>0</v>
      </c>
    </row>
    <row r="70" spans="1:34" s="1561" customFormat="1" ht="18.75" hidden="1" customHeight="1">
      <c r="A70" s="1678"/>
      <c r="B70" s="1678"/>
      <c r="C70" s="305" t="s">
        <v>1393</v>
      </c>
      <c r="D70" s="24281"/>
      <c r="E70" s="24045"/>
      <c r="F70" s="24220"/>
      <c r="G70" s="24256"/>
      <c r="H70" s="1426"/>
      <c r="I70" s="587" t="s">
        <v>1394</v>
      </c>
      <c r="J70" s="507"/>
      <c r="K70" s="1426"/>
      <c r="L70" s="151"/>
      <c r="M70" s="23997"/>
      <c r="N70" s="270"/>
      <c r="O70" s="1550"/>
      <c r="P70" s="1550"/>
      <c r="AH70" s="1557">
        <v>0</v>
      </c>
    </row>
    <row r="71" spans="1:34" s="1561" customFormat="1" ht="0.75" hidden="1" customHeight="1">
      <c r="A71" s="1678"/>
      <c r="B71" s="1678"/>
      <c r="C71" s="305" t="s">
        <v>1399</v>
      </c>
      <c r="D71" s="24281"/>
      <c r="E71" s="24045"/>
      <c r="F71" s="24220"/>
      <c r="G71" s="336"/>
      <c r="H71" s="1426"/>
      <c r="I71" s="587"/>
      <c r="J71" s="507"/>
      <c r="K71" s="1426"/>
      <c r="L71" s="151"/>
      <c r="M71" s="23997"/>
      <c r="N71" s="270"/>
      <c r="O71" s="1550"/>
      <c r="P71" s="1550"/>
      <c r="AH71" s="1557">
        <v>0</v>
      </c>
    </row>
    <row r="72" spans="1:34" s="1561" customFormat="1" ht="18.75" hidden="1" customHeight="1">
      <c r="A72" s="1678" t="s">
        <v>489</v>
      </c>
      <c r="B72" s="1678" t="s">
        <v>490</v>
      </c>
      <c r="C72" s="305"/>
      <c r="D72" s="24281"/>
      <c r="E72" s="24045"/>
      <c r="F72" s="24220" t="str">
        <f>INDEX(PT_DIFFERENTIATION_VTAR,MATCH(A72,PT_DIFFERENTIATION_VTAR_ID,0))</f>
        <v>Тариф на подключение (технологическое присоединение) к централизованной системе горячего водоснабжения</v>
      </c>
      <c r="G72" s="24256" t="str">
        <f>INDEX(PT_DIFFERENTIATION_NTAR,MATCH(B72,PT_DIFFERENTIATION_NTAR_ID,0))</f>
        <v/>
      </c>
      <c r="H72" s="1759"/>
      <c r="I72" s="1637"/>
      <c r="J72" s="1671"/>
      <c r="K72" s="1762"/>
      <c r="L72" s="1759" t="s">
        <v>535</v>
      </c>
      <c r="M72" s="23997"/>
      <c r="N72" s="270"/>
      <c r="O72" s="1550"/>
      <c r="P72" s="1550"/>
      <c r="AH72" s="1557">
        <v>0</v>
      </c>
    </row>
    <row r="73" spans="1:34" s="1561" customFormat="1" ht="18.75" hidden="1" customHeight="1">
      <c r="A73" s="1678"/>
      <c r="B73" s="1678"/>
      <c r="C73" s="305" t="s">
        <v>1393</v>
      </c>
      <c r="D73" s="24281"/>
      <c r="E73" s="24045"/>
      <c r="F73" s="24220"/>
      <c r="G73" s="24256"/>
      <c r="H73" s="1426"/>
      <c r="I73" s="587" t="s">
        <v>1394</v>
      </c>
      <c r="J73" s="507"/>
      <c r="K73" s="1426"/>
      <c r="L73" s="151"/>
      <c r="M73" s="23997"/>
      <c r="N73" s="270"/>
      <c r="O73" s="1550"/>
      <c r="P73" s="1550"/>
      <c r="AH73" s="1557">
        <v>0</v>
      </c>
    </row>
    <row r="74" spans="1:34" s="1561" customFormat="1" ht="0.75" hidden="1" customHeight="1">
      <c r="A74" s="1678"/>
      <c r="B74" s="1678"/>
      <c r="C74" s="305" t="s">
        <v>1399</v>
      </c>
      <c r="D74" s="24281"/>
      <c r="E74" s="24045"/>
      <c r="F74" s="24220"/>
      <c r="G74" s="336"/>
      <c r="H74" s="1426"/>
      <c r="I74" s="587"/>
      <c r="J74" s="507"/>
      <c r="K74" s="1426"/>
      <c r="L74" s="151"/>
      <c r="M74" s="23997"/>
      <c r="N74" s="270"/>
      <c r="O74" s="1550"/>
      <c r="P74" s="1550"/>
      <c r="AH74" s="1557">
        <v>0</v>
      </c>
    </row>
    <row r="75" spans="1:34" s="1561" customFormat="1" ht="18.75" hidden="1" customHeight="1">
      <c r="A75" s="1678" t="s">
        <v>494</v>
      </c>
      <c r="B75" s="1678" t="s">
        <v>495</v>
      </c>
      <c r="C75" s="305"/>
      <c r="D75" s="24281"/>
      <c r="E75" s="24045"/>
      <c r="F75" s="24220" t="str">
        <f>INDEX(PT_DIFFERENTIATION_VTAR,MATCH(A75,PT_DIFFERENTIATION_VTAR_ID,0))</f>
        <v>Тариф на водоотведение</v>
      </c>
      <c r="G75" s="24256" t="str">
        <f>INDEX(PT_DIFFERENTIATION_NTAR,MATCH(B75,PT_DIFFERENTIATION_NTAR_ID,0))</f>
        <v/>
      </c>
      <c r="H75" s="1759"/>
      <c r="I75" s="1637"/>
      <c r="J75" s="1671"/>
      <c r="K75" s="1762"/>
      <c r="L75" s="1759" t="s">
        <v>535</v>
      </c>
      <c r="M75" s="23997"/>
      <c r="N75" s="270"/>
      <c r="O75" s="1550"/>
      <c r="P75" s="1550"/>
      <c r="AH75" s="1557">
        <v>0</v>
      </c>
    </row>
    <row r="76" spans="1:34" s="1561" customFormat="1" ht="18.75" hidden="1" customHeight="1">
      <c r="A76" s="1678"/>
      <c r="B76" s="1678"/>
      <c r="C76" s="305" t="s">
        <v>1393</v>
      </c>
      <c r="D76" s="24281"/>
      <c r="E76" s="24045"/>
      <c r="F76" s="24220"/>
      <c r="G76" s="24256"/>
      <c r="H76" s="1426"/>
      <c r="I76" s="587" t="s">
        <v>1394</v>
      </c>
      <c r="J76" s="507"/>
      <c r="K76" s="1426"/>
      <c r="L76" s="151"/>
      <c r="M76" s="23997"/>
      <c r="N76" s="270"/>
      <c r="O76" s="1550"/>
      <c r="P76" s="1550"/>
      <c r="AH76" s="1557">
        <v>0</v>
      </c>
    </row>
    <row r="77" spans="1:34" s="1561" customFormat="1" ht="0.75" hidden="1" customHeight="1">
      <c r="A77" s="1678"/>
      <c r="B77" s="1678"/>
      <c r="C77" s="305" t="s">
        <v>1399</v>
      </c>
      <c r="D77" s="24281"/>
      <c r="E77" s="24045"/>
      <c r="F77" s="24220"/>
      <c r="G77" s="336"/>
      <c r="H77" s="1426"/>
      <c r="I77" s="587"/>
      <c r="J77" s="507"/>
      <c r="K77" s="1426"/>
      <c r="L77" s="151"/>
      <c r="M77" s="23997"/>
      <c r="N77" s="270"/>
      <c r="O77" s="1550"/>
      <c r="P77" s="1550"/>
      <c r="AH77" s="1557">
        <v>0</v>
      </c>
    </row>
    <row r="78" spans="1:34" s="1561" customFormat="1" ht="18.75" hidden="1" customHeight="1">
      <c r="A78" s="1678" t="s">
        <v>499</v>
      </c>
      <c r="B78" s="1678" t="s">
        <v>500</v>
      </c>
      <c r="C78" s="305"/>
      <c r="D78" s="24281"/>
      <c r="E78" s="24045"/>
      <c r="F78" s="24220" t="str">
        <f>INDEX(PT_DIFFERENTIATION_VTAR,MATCH(A78,PT_DIFFERENTIATION_VTAR_ID,0))</f>
        <v>Тариф на транспортировку сточных вод</v>
      </c>
      <c r="G78" s="24256" t="str">
        <f>INDEX(PT_DIFFERENTIATION_NTAR,MATCH(B78,PT_DIFFERENTIATION_NTAR_ID,0))</f>
        <v/>
      </c>
      <c r="H78" s="1759"/>
      <c r="I78" s="1637"/>
      <c r="J78" s="1671"/>
      <c r="K78" s="1762"/>
      <c r="L78" s="1759" t="s">
        <v>535</v>
      </c>
      <c r="M78" s="23997"/>
      <c r="N78" s="270"/>
      <c r="O78" s="1550"/>
      <c r="P78" s="1550"/>
      <c r="AH78" s="1557">
        <v>0</v>
      </c>
    </row>
    <row r="79" spans="1:34" s="1561" customFormat="1" ht="18.75" hidden="1" customHeight="1">
      <c r="A79" s="1678"/>
      <c r="B79" s="1678"/>
      <c r="C79" s="305" t="s">
        <v>1393</v>
      </c>
      <c r="D79" s="24281"/>
      <c r="E79" s="24045"/>
      <c r="F79" s="24220"/>
      <c r="G79" s="24256"/>
      <c r="H79" s="1426"/>
      <c r="I79" s="587" t="s">
        <v>1394</v>
      </c>
      <c r="J79" s="507"/>
      <c r="K79" s="1426"/>
      <c r="L79" s="151"/>
      <c r="M79" s="23997"/>
      <c r="N79" s="270"/>
      <c r="O79" s="1550"/>
      <c r="P79" s="1550"/>
      <c r="AH79" s="1557">
        <v>0</v>
      </c>
    </row>
    <row r="80" spans="1:34" s="1561" customFormat="1" ht="0.75" hidden="1" customHeight="1">
      <c r="A80" s="1678"/>
      <c r="B80" s="1678"/>
      <c r="C80" s="305" t="s">
        <v>1399</v>
      </c>
      <c r="D80" s="24281"/>
      <c r="E80" s="24045"/>
      <c r="F80" s="24220"/>
      <c r="G80" s="336"/>
      <c r="H80" s="1426"/>
      <c r="I80" s="587"/>
      <c r="J80" s="507"/>
      <c r="K80" s="1426"/>
      <c r="L80" s="151"/>
      <c r="M80" s="23997"/>
      <c r="N80" s="270"/>
      <c r="O80" s="1550"/>
      <c r="P80" s="1550"/>
      <c r="AH80" s="1557">
        <v>0</v>
      </c>
    </row>
    <row r="81" spans="1:34" s="1561" customFormat="1" ht="18.75" hidden="1" customHeight="1">
      <c r="A81" s="1678" t="s">
        <v>504</v>
      </c>
      <c r="B81" s="1678" t="s">
        <v>505</v>
      </c>
      <c r="C81" s="305"/>
      <c r="D81" s="24281"/>
      <c r="E81" s="24045"/>
      <c r="F81" s="24220" t="str">
        <f>INDEX(PT_DIFFERENTIATION_VTAR,MATCH(A81,PT_DIFFERENTIATION_VTAR_ID,0))</f>
        <v>Тариф на подключение (технологическое присоединение) к централизованной системе водоотведения</v>
      </c>
      <c r="G81" s="24256" t="str">
        <f>INDEX(PT_DIFFERENTIATION_NTAR,MATCH(B81,PT_DIFFERENTIATION_NTAR_ID,0))</f>
        <v/>
      </c>
      <c r="H81" s="1759"/>
      <c r="I81" s="1637"/>
      <c r="J81" s="1671"/>
      <c r="K81" s="1762"/>
      <c r="L81" s="1759" t="s">
        <v>535</v>
      </c>
      <c r="M81" s="23997"/>
      <c r="N81" s="270"/>
      <c r="O81" s="1550"/>
      <c r="P81" s="1550"/>
      <c r="AH81" s="1557">
        <v>0</v>
      </c>
    </row>
    <row r="82" spans="1:34" s="1561" customFormat="1" ht="18.75" hidden="1" customHeight="1">
      <c r="A82" s="1678"/>
      <c r="B82" s="1678"/>
      <c r="C82" s="305" t="s">
        <v>1393</v>
      </c>
      <c r="D82" s="24281"/>
      <c r="E82" s="24045"/>
      <c r="F82" s="24220"/>
      <c r="G82" s="24256"/>
      <c r="H82" s="1426"/>
      <c r="I82" s="587" t="s">
        <v>1394</v>
      </c>
      <c r="J82" s="507"/>
      <c r="K82" s="1426"/>
      <c r="L82" s="151"/>
      <c r="M82" s="23997"/>
      <c r="N82" s="270"/>
      <c r="O82" s="1550"/>
      <c r="P82" s="1550"/>
      <c r="AH82" s="1557">
        <v>0</v>
      </c>
    </row>
    <row r="83" spans="1:34" s="1561" customFormat="1" ht="1.1499999999999999" customHeight="1">
      <c r="A83" s="1678"/>
      <c r="B83" s="1678"/>
      <c r="C83" s="305" t="s">
        <v>1399</v>
      </c>
      <c r="D83" s="24281"/>
      <c r="E83" s="24045"/>
      <c r="F83" s="24220"/>
      <c r="G83" s="336"/>
      <c r="H83" s="1426"/>
      <c r="I83" s="587"/>
      <c r="J83" s="507"/>
      <c r="K83" s="1426"/>
      <c r="L83" s="151"/>
      <c r="M83" s="23997"/>
      <c r="N83" s="270"/>
      <c r="O83" s="1550"/>
      <c r="P83" s="1550"/>
      <c r="AH83" s="1557">
        <v>1</v>
      </c>
    </row>
    <row r="84" spans="1:34" ht="19.899999999999999" customHeight="1">
      <c r="A84" s="1678"/>
      <c r="B84" s="1678"/>
      <c r="D84" s="312"/>
      <c r="E84" s="84" t="s">
        <v>95</v>
      </c>
      <c r="F84" s="2428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4280"/>
      <c r="H84" s="24280"/>
      <c r="I84" s="24280"/>
      <c r="J84" s="24280"/>
      <c r="K84" s="24280"/>
      <c r="L84" s="24280"/>
      <c r="M84" s="233"/>
      <c r="N84" s="270"/>
      <c r="AH84" s="310">
        <v>19</v>
      </c>
    </row>
    <row r="85" spans="1:34" ht="35.65" customHeight="1">
      <c r="A85" s="1678"/>
      <c r="B85" s="1678"/>
      <c r="D85" s="312"/>
      <c r="E85" s="335"/>
      <c r="F85" s="135" t="s">
        <v>535</v>
      </c>
      <c r="G85" s="135" t="s">
        <v>535</v>
      </c>
      <c r="H85" s="24055" t="s">
        <v>535</v>
      </c>
      <c r="I85" s="24068"/>
      <c r="J85" s="135" t="s">
        <v>535</v>
      </c>
      <c r="K85" s="135" t="s">
        <v>535</v>
      </c>
      <c r="L85" s="337"/>
      <c r="M85" s="281" t="s">
        <v>1400</v>
      </c>
      <c r="N85" s="270"/>
      <c r="AH85" s="310">
        <v>34</v>
      </c>
    </row>
    <row r="86" spans="1:34" ht="19.899999999999999" customHeight="1">
      <c r="A86" s="1678"/>
      <c r="B86" s="1678"/>
      <c r="D86" s="312"/>
      <c r="E86" s="84" t="s">
        <v>81</v>
      </c>
      <c r="F86" s="24280" t="s">
        <v>1401</v>
      </c>
      <c r="G86" s="24280"/>
      <c r="H86" s="24280"/>
      <c r="I86" s="24280"/>
      <c r="J86" s="24280"/>
      <c r="K86" s="24280"/>
      <c r="L86" s="24280"/>
      <c r="M86" s="233"/>
      <c r="N86" s="270"/>
      <c r="AH86" s="310">
        <v>19</v>
      </c>
    </row>
    <row r="87" spans="1:34" s="1561" customFormat="1" ht="60.75" hidden="1" customHeight="1">
      <c r="A87" s="1678" t="s">
        <v>255</v>
      </c>
      <c r="B87" s="1678" t="s">
        <v>256</v>
      </c>
      <c r="C87" s="305"/>
      <c r="D87" s="24281"/>
      <c r="E87" s="24045"/>
      <c r="F87" s="2422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256" t="str">
        <f>INDEX(PT_DIFFERENTIATION_NTAR,MATCH(B87,PT_DIFFERENTIATION_NTAR_ID,0))</f>
        <v/>
      </c>
      <c r="H87" s="1759"/>
      <c r="I87" s="1637"/>
      <c r="J87" s="1671"/>
      <c r="K87" s="1676"/>
      <c r="L87" s="1759" t="s">
        <v>535</v>
      </c>
      <c r="M87" s="239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50"/>
      <c r="P87" s="1550"/>
      <c r="AH87" s="1557">
        <v>0</v>
      </c>
    </row>
    <row r="88" spans="1:34" s="1561" customFormat="1" ht="18.75" hidden="1" customHeight="1">
      <c r="A88" s="1678"/>
      <c r="B88" s="1678"/>
      <c r="C88" s="305" t="s">
        <v>1395</v>
      </c>
      <c r="D88" s="24281"/>
      <c r="E88" s="24045"/>
      <c r="F88" s="24220"/>
      <c r="G88" s="24256"/>
      <c r="H88" s="1426"/>
      <c r="I88" s="587" t="s">
        <v>1394</v>
      </c>
      <c r="J88" s="507"/>
      <c r="K88" s="1426"/>
      <c r="L88" s="151"/>
      <c r="M88" s="23997"/>
      <c r="N88" s="270"/>
      <c r="O88" s="1550"/>
      <c r="P88" s="1550"/>
      <c r="AH88" s="1557">
        <v>0</v>
      </c>
    </row>
    <row r="89" spans="1:34" s="1561" customFormat="1" ht="0.75" hidden="1" customHeight="1">
      <c r="A89" s="1678"/>
      <c r="B89" s="1678"/>
      <c r="C89" s="305" t="s">
        <v>1402</v>
      </c>
      <c r="D89" s="24281"/>
      <c r="E89" s="24045"/>
      <c r="F89" s="24220"/>
      <c r="G89" s="336"/>
      <c r="H89" s="1426"/>
      <c r="I89" s="587"/>
      <c r="J89" s="507"/>
      <c r="K89" s="1426"/>
      <c r="L89" s="151"/>
      <c r="M89" s="23997"/>
      <c r="N89" s="270"/>
      <c r="O89" s="1550"/>
      <c r="P89" s="1550"/>
      <c r="AH89" s="1557">
        <v>0</v>
      </c>
    </row>
    <row r="90" spans="1:34" s="1561" customFormat="1" ht="45" hidden="1" customHeight="1">
      <c r="A90" s="1678" t="s">
        <v>260</v>
      </c>
      <c r="B90" s="1678" t="s">
        <v>261</v>
      </c>
      <c r="C90" s="305"/>
      <c r="D90" s="24281"/>
      <c r="E90" s="24045"/>
      <c r="F90" s="24220" t="str">
        <f>INDEX(PT_DIFFERENTIATION_VTAR,MATCH(A90,PT_DIFFERENTIATION_VTAR_ID,0))</f>
        <v/>
      </c>
      <c r="G90" s="24256" t="str">
        <f>INDEX(PT_DIFFERENTIATION_NTAR,MATCH(B90,PT_DIFFERENTIATION_NTAR_ID,0))</f>
        <v/>
      </c>
      <c r="H90" s="1759"/>
      <c r="I90" s="1637"/>
      <c r="J90" s="1671"/>
      <c r="K90" s="1676"/>
      <c r="L90" s="1759" t="s">
        <v>535</v>
      </c>
      <c r="M90" s="23998"/>
      <c r="N90" s="270"/>
      <c r="O90" s="1550"/>
      <c r="P90" s="1550"/>
      <c r="AH90" s="1557">
        <v>0</v>
      </c>
    </row>
    <row r="91" spans="1:34" s="1561" customFormat="1" ht="18.75" hidden="1" customHeight="1">
      <c r="A91" s="1678"/>
      <c r="B91" s="1678"/>
      <c r="C91" s="305" t="s">
        <v>1395</v>
      </c>
      <c r="D91" s="24281"/>
      <c r="E91" s="24045"/>
      <c r="F91" s="24220"/>
      <c r="G91" s="24256"/>
      <c r="H91" s="1426"/>
      <c r="I91" s="587" t="s">
        <v>1394</v>
      </c>
      <c r="J91" s="507"/>
      <c r="K91" s="1426"/>
      <c r="L91" s="151"/>
      <c r="M91" s="1758"/>
      <c r="N91" s="270"/>
      <c r="O91" s="1550"/>
      <c r="P91" s="1550"/>
      <c r="AH91" s="1557">
        <v>0</v>
      </c>
    </row>
    <row r="92" spans="1:34" s="1561" customFormat="1" ht="0.75" hidden="1" customHeight="1">
      <c r="A92" s="1678"/>
      <c r="B92" s="1678"/>
      <c r="C92" s="305" t="s">
        <v>1402</v>
      </c>
      <c r="D92" s="24281"/>
      <c r="E92" s="24045"/>
      <c r="F92" s="24220"/>
      <c r="G92" s="336"/>
      <c r="H92" s="1426"/>
      <c r="I92" s="587"/>
      <c r="J92" s="507"/>
      <c r="K92" s="1426"/>
      <c r="L92" s="151"/>
      <c r="M92" s="277"/>
      <c r="N92" s="270"/>
      <c r="O92" s="1550"/>
      <c r="P92" s="1550"/>
      <c r="AH92" s="1557">
        <v>0</v>
      </c>
    </row>
    <row r="93" spans="1:34" s="1561" customFormat="1" ht="45" hidden="1" customHeight="1">
      <c r="A93" s="1678" t="s">
        <v>267</v>
      </c>
      <c r="B93" s="1678" t="s">
        <v>268</v>
      </c>
      <c r="C93" s="305"/>
      <c r="D93" s="24281"/>
      <c r="E93" s="24045"/>
      <c r="F93" s="2422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256" t="str">
        <f>INDEX(PT_DIFFERENTIATION_NTAR,MATCH(B93,PT_DIFFERENTIATION_NTAR_ID,0))</f>
        <v/>
      </c>
      <c r="H93" s="1759"/>
      <c r="I93" s="1637"/>
      <c r="J93" s="1671"/>
      <c r="K93" s="1676"/>
      <c r="L93" s="1759" t="s">
        <v>535</v>
      </c>
      <c r="M93" s="277"/>
      <c r="N93" s="270"/>
      <c r="O93" s="1550"/>
      <c r="P93" s="1550"/>
      <c r="AH93" s="1557">
        <v>0</v>
      </c>
    </row>
    <row r="94" spans="1:34" s="1561" customFormat="1" ht="18.75" hidden="1" customHeight="1">
      <c r="A94" s="1678"/>
      <c r="B94" s="1678"/>
      <c r="C94" s="305" t="s">
        <v>1395</v>
      </c>
      <c r="D94" s="24281"/>
      <c r="E94" s="24045"/>
      <c r="F94" s="24220"/>
      <c r="G94" s="24256"/>
      <c r="H94" s="1426"/>
      <c r="I94" s="587" t="s">
        <v>1394</v>
      </c>
      <c r="J94" s="507"/>
      <c r="K94" s="1426"/>
      <c r="L94" s="151"/>
      <c r="M94" s="277"/>
      <c r="N94" s="270"/>
      <c r="O94" s="1550"/>
      <c r="P94" s="1550"/>
      <c r="AH94" s="1557">
        <v>0</v>
      </c>
    </row>
    <row r="95" spans="1:34" s="1561" customFormat="1" ht="0.75" hidden="1" customHeight="1">
      <c r="A95" s="1678"/>
      <c r="B95" s="1678"/>
      <c r="C95" s="305" t="s">
        <v>1402</v>
      </c>
      <c r="D95" s="24281"/>
      <c r="E95" s="24045"/>
      <c r="F95" s="24220"/>
      <c r="G95" s="336"/>
      <c r="H95" s="1426"/>
      <c r="I95" s="587"/>
      <c r="J95" s="507"/>
      <c r="K95" s="1426"/>
      <c r="L95" s="151"/>
      <c r="M95" s="277"/>
      <c r="N95" s="270"/>
      <c r="O95" s="1550"/>
      <c r="P95" s="1550"/>
      <c r="AH95" s="1557">
        <v>0</v>
      </c>
    </row>
    <row r="96" spans="1:34" s="1561" customFormat="1" ht="45" hidden="1" customHeight="1">
      <c r="A96" s="1678" t="s">
        <v>273</v>
      </c>
      <c r="B96" s="1678" t="s">
        <v>274</v>
      </c>
      <c r="C96" s="305"/>
      <c r="D96" s="24281"/>
      <c r="E96" s="24045"/>
      <c r="F96" s="2422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256" t="str">
        <f>INDEX(PT_DIFFERENTIATION_NTAR,MATCH(B96,PT_DIFFERENTIATION_NTAR_ID,0))</f>
        <v/>
      </c>
      <c r="H96" s="1759"/>
      <c r="I96" s="1637"/>
      <c r="J96" s="1671"/>
      <c r="K96" s="1676"/>
      <c r="L96" s="1759" t="s">
        <v>535</v>
      </c>
      <c r="M96" s="277"/>
      <c r="N96" s="270"/>
      <c r="O96" s="1550"/>
      <c r="P96" s="1550"/>
      <c r="AH96" s="1557">
        <v>0</v>
      </c>
    </row>
    <row r="97" spans="1:34" s="1561" customFormat="1" ht="18.75" hidden="1" customHeight="1">
      <c r="A97" s="1678"/>
      <c r="B97" s="1678"/>
      <c r="C97" s="305" t="s">
        <v>1395</v>
      </c>
      <c r="D97" s="24281"/>
      <c r="E97" s="24045"/>
      <c r="F97" s="24220"/>
      <c r="G97" s="24256"/>
      <c r="H97" s="1426"/>
      <c r="I97" s="587" t="s">
        <v>1394</v>
      </c>
      <c r="J97" s="507"/>
      <c r="K97" s="1426"/>
      <c r="L97" s="151"/>
      <c r="M97" s="277"/>
      <c r="N97" s="270"/>
      <c r="O97" s="1550"/>
      <c r="P97" s="1550"/>
      <c r="AH97" s="1557">
        <v>0</v>
      </c>
    </row>
    <row r="98" spans="1:34" s="1561" customFormat="1" ht="0.75" hidden="1" customHeight="1">
      <c r="A98" s="1678"/>
      <c r="B98" s="1678"/>
      <c r="C98" s="305" t="s">
        <v>1402</v>
      </c>
      <c r="D98" s="24281"/>
      <c r="E98" s="24045"/>
      <c r="F98" s="24220"/>
      <c r="G98" s="336"/>
      <c r="H98" s="1426"/>
      <c r="I98" s="587"/>
      <c r="J98" s="507"/>
      <c r="K98" s="1426"/>
      <c r="L98" s="151"/>
      <c r="M98" s="277"/>
      <c r="N98" s="270"/>
      <c r="O98" s="1550"/>
      <c r="P98" s="1550"/>
      <c r="AH98" s="1557">
        <v>0</v>
      </c>
    </row>
    <row r="99" spans="1:34" s="1561" customFormat="1" ht="18.75" hidden="1" customHeight="1">
      <c r="A99" s="1678" t="s">
        <v>279</v>
      </c>
      <c r="B99" s="1678" t="s">
        <v>280</v>
      </c>
      <c r="C99" s="305"/>
      <c r="D99" s="24281"/>
      <c r="E99" s="24045"/>
      <c r="F99" s="24220" t="str">
        <f>INDEX(PT_DIFFERENTIATION_VTAR,MATCH(A99,PT_DIFFERENTIATION_VTAR_ID,0))</f>
        <v>Тарифы на услуги по передаче тепловой энергии</v>
      </c>
      <c r="G99" s="24256" t="str">
        <f>INDEX(PT_DIFFERENTIATION_NTAR,MATCH(B99,PT_DIFFERENTIATION_NTAR_ID,0))</f>
        <v/>
      </c>
      <c r="H99" s="1759"/>
      <c r="I99" s="1637"/>
      <c r="J99" s="1671"/>
      <c r="K99" s="1676"/>
      <c r="L99" s="1759" t="s">
        <v>535</v>
      </c>
      <c r="M99" s="277"/>
      <c r="N99" s="270"/>
      <c r="O99" s="1550"/>
      <c r="P99" s="1550"/>
      <c r="AH99" s="1557">
        <v>0</v>
      </c>
    </row>
    <row r="100" spans="1:34" s="1561" customFormat="1" ht="18.75" hidden="1" customHeight="1">
      <c r="A100" s="1678"/>
      <c r="B100" s="1678"/>
      <c r="C100" s="305" t="s">
        <v>1395</v>
      </c>
      <c r="D100" s="24281"/>
      <c r="E100" s="24045"/>
      <c r="F100" s="24220"/>
      <c r="G100" s="24256"/>
      <c r="H100" s="1426"/>
      <c r="I100" s="587" t="s">
        <v>1394</v>
      </c>
      <c r="J100" s="507"/>
      <c r="K100" s="1426"/>
      <c r="L100" s="151"/>
      <c r="M100" s="277"/>
      <c r="N100" s="270"/>
      <c r="O100" s="1550"/>
      <c r="P100" s="1550"/>
      <c r="AH100" s="1557">
        <v>0</v>
      </c>
    </row>
    <row r="101" spans="1:34" s="1561" customFormat="1" ht="0.75" hidden="1" customHeight="1">
      <c r="A101" s="1678"/>
      <c r="B101" s="1678"/>
      <c r="C101" s="305" t="s">
        <v>1402</v>
      </c>
      <c r="D101" s="24281"/>
      <c r="E101" s="24045"/>
      <c r="F101" s="24220"/>
      <c r="G101" s="336"/>
      <c r="H101" s="1426"/>
      <c r="I101" s="587"/>
      <c r="J101" s="507"/>
      <c r="K101" s="1426"/>
      <c r="L101" s="151"/>
      <c r="M101" s="277"/>
      <c r="N101" s="270"/>
      <c r="O101" s="1550"/>
      <c r="P101" s="1550"/>
      <c r="AH101" s="1557">
        <v>0</v>
      </c>
    </row>
    <row r="102" spans="1:34" s="1561" customFormat="1" ht="18.75" hidden="1" customHeight="1">
      <c r="A102" s="1678" t="s">
        <v>285</v>
      </c>
      <c r="B102" s="1678" t="s">
        <v>286</v>
      </c>
      <c r="C102" s="305"/>
      <c r="D102" s="24281"/>
      <c r="E102" s="24045"/>
      <c r="F102" s="24220" t="str">
        <f>INDEX(PT_DIFFERENTIATION_VTAR,MATCH(A102,PT_DIFFERENTIATION_VTAR_ID,0))</f>
        <v>Тарифы на услуги по передаче теплоносителя</v>
      </c>
      <c r="G102" s="24256" t="str">
        <f>INDEX(PT_DIFFERENTIATION_NTAR,MATCH(B102,PT_DIFFERENTIATION_NTAR_ID,0))</f>
        <v/>
      </c>
      <c r="H102" s="1759"/>
      <c r="I102" s="1637"/>
      <c r="J102" s="1671"/>
      <c r="K102" s="1676"/>
      <c r="L102" s="1759" t="s">
        <v>535</v>
      </c>
      <c r="M102" s="277"/>
      <c r="N102" s="270"/>
      <c r="O102" s="1550"/>
      <c r="P102" s="1550"/>
      <c r="AH102" s="1557">
        <v>0</v>
      </c>
    </row>
    <row r="103" spans="1:34" s="1561" customFormat="1" ht="18.75" hidden="1" customHeight="1">
      <c r="A103" s="1678"/>
      <c r="B103" s="1678"/>
      <c r="C103" s="305" t="s">
        <v>1395</v>
      </c>
      <c r="D103" s="24281"/>
      <c r="E103" s="24045"/>
      <c r="F103" s="24220"/>
      <c r="G103" s="24256"/>
      <c r="H103" s="1426"/>
      <c r="I103" s="587" t="s">
        <v>1394</v>
      </c>
      <c r="J103" s="507"/>
      <c r="K103" s="1426"/>
      <c r="L103" s="151"/>
      <c r="M103" s="277"/>
      <c r="N103" s="270"/>
      <c r="O103" s="1550"/>
      <c r="P103" s="1550"/>
      <c r="AH103" s="1557">
        <v>0</v>
      </c>
    </row>
    <row r="104" spans="1:34" s="1561" customFormat="1" ht="0.75" hidden="1" customHeight="1">
      <c r="A104" s="1678"/>
      <c r="B104" s="1678"/>
      <c r="C104" s="305" t="s">
        <v>1402</v>
      </c>
      <c r="D104" s="24281"/>
      <c r="E104" s="24045"/>
      <c r="F104" s="24220"/>
      <c r="G104" s="336"/>
      <c r="H104" s="1426"/>
      <c r="I104" s="587"/>
      <c r="J104" s="507"/>
      <c r="K104" s="1426"/>
      <c r="L104" s="151"/>
      <c r="M104" s="277"/>
      <c r="N104" s="270"/>
      <c r="O104" s="1550"/>
      <c r="P104" s="1550"/>
      <c r="AH104" s="1557">
        <v>0</v>
      </c>
    </row>
    <row r="105" spans="1:34" s="1561" customFormat="1" ht="18.75" hidden="1" customHeight="1">
      <c r="A105" s="1678" t="s">
        <v>291</v>
      </c>
      <c r="B105" s="1678" t="s">
        <v>292</v>
      </c>
      <c r="C105" s="305"/>
      <c r="D105" s="24281"/>
      <c r="E105" s="24045"/>
      <c r="F105" s="2422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256" t="str">
        <f>INDEX(PT_DIFFERENTIATION_NTAR,MATCH(B105,PT_DIFFERENTIATION_NTAR_ID,0))</f>
        <v/>
      </c>
      <c r="H105" s="1759"/>
      <c r="I105" s="1637"/>
      <c r="J105" s="1671"/>
      <c r="K105" s="1676"/>
      <c r="L105" s="1759" t="s">
        <v>535</v>
      </c>
      <c r="M105" s="277"/>
      <c r="N105" s="270"/>
      <c r="O105" s="1550"/>
      <c r="P105" s="1550"/>
      <c r="AH105" s="1557">
        <v>0</v>
      </c>
    </row>
    <row r="106" spans="1:34" s="1561" customFormat="1" ht="18.75" hidden="1" customHeight="1">
      <c r="A106" s="1678"/>
      <c r="B106" s="1678"/>
      <c r="C106" s="305" t="s">
        <v>1395</v>
      </c>
      <c r="D106" s="24281"/>
      <c r="E106" s="24045"/>
      <c r="F106" s="24220"/>
      <c r="G106" s="24256"/>
      <c r="H106" s="1426"/>
      <c r="I106" s="587" t="s">
        <v>1394</v>
      </c>
      <c r="J106" s="507"/>
      <c r="K106" s="1426"/>
      <c r="L106" s="151"/>
      <c r="M106" s="277"/>
      <c r="N106" s="270"/>
      <c r="O106" s="1550"/>
      <c r="P106" s="1550"/>
      <c r="AH106" s="1557">
        <v>0</v>
      </c>
    </row>
    <row r="107" spans="1:34" s="1561" customFormat="1" ht="0.75" hidden="1" customHeight="1">
      <c r="A107" s="1678"/>
      <c r="B107" s="1678"/>
      <c r="C107" s="305" t="s">
        <v>1402</v>
      </c>
      <c r="D107" s="24281"/>
      <c r="E107" s="24045"/>
      <c r="F107" s="24220"/>
      <c r="G107" s="336"/>
      <c r="H107" s="1426"/>
      <c r="I107" s="587"/>
      <c r="J107" s="507"/>
      <c r="K107" s="1426"/>
      <c r="L107" s="151"/>
      <c r="M107" s="277"/>
      <c r="N107" s="270"/>
      <c r="O107" s="1550"/>
      <c r="P107" s="1550"/>
      <c r="AH107" s="1557">
        <v>0</v>
      </c>
    </row>
    <row r="108" spans="1:34" s="1561" customFormat="1" ht="18.75" hidden="1" customHeight="1">
      <c r="A108" s="1678" t="s">
        <v>297</v>
      </c>
      <c r="B108" s="1678" t="s">
        <v>298</v>
      </c>
      <c r="C108" s="305"/>
      <c r="D108" s="24281"/>
      <c r="E108" s="24045"/>
      <c r="F108" s="24220" t="str">
        <f>INDEX(PT_DIFFERENTIATION_VTAR,MATCH(A108,PT_DIFFERENTIATION_VTAR_ID,0))</f>
        <v>Плата за подключение (технологическое присоединение) к системе теплоснабжения</v>
      </c>
      <c r="G108" s="24256" t="str">
        <f>INDEX(PT_DIFFERENTIATION_NTAR,MATCH(B108,PT_DIFFERENTIATION_NTAR_ID,0))</f>
        <v/>
      </c>
      <c r="H108" s="1759"/>
      <c r="I108" s="1637"/>
      <c r="J108" s="1671"/>
      <c r="K108" s="1676"/>
      <c r="L108" s="1759" t="s">
        <v>535</v>
      </c>
      <c r="M108" s="277"/>
      <c r="N108" s="270"/>
      <c r="O108" s="1550"/>
      <c r="P108" s="1550"/>
      <c r="AH108" s="1557">
        <v>0</v>
      </c>
    </row>
    <row r="109" spans="1:34" s="1561" customFormat="1" ht="18.75" hidden="1" customHeight="1">
      <c r="A109" s="1678"/>
      <c r="B109" s="1678"/>
      <c r="C109" s="305" t="s">
        <v>1395</v>
      </c>
      <c r="D109" s="24281"/>
      <c r="E109" s="24045"/>
      <c r="F109" s="24220"/>
      <c r="G109" s="24256"/>
      <c r="H109" s="1426"/>
      <c r="I109" s="587" t="s">
        <v>1394</v>
      </c>
      <c r="J109" s="507"/>
      <c r="K109" s="1426"/>
      <c r="L109" s="151"/>
      <c r="M109" s="277"/>
      <c r="N109" s="270"/>
      <c r="O109" s="1550"/>
      <c r="P109" s="1550"/>
      <c r="AH109" s="1557">
        <v>0</v>
      </c>
    </row>
    <row r="110" spans="1:34" s="1561" customFormat="1" ht="0.75" hidden="1" customHeight="1">
      <c r="A110" s="1678"/>
      <c r="B110" s="1678"/>
      <c r="C110" s="305" t="s">
        <v>1402</v>
      </c>
      <c r="D110" s="24281"/>
      <c r="E110" s="24045"/>
      <c r="F110" s="24220"/>
      <c r="G110" s="336"/>
      <c r="H110" s="1426"/>
      <c r="I110" s="587"/>
      <c r="J110" s="507"/>
      <c r="K110" s="1426"/>
      <c r="L110" s="151"/>
      <c r="M110" s="277"/>
      <c r="N110" s="270"/>
      <c r="O110" s="1550"/>
      <c r="P110" s="1550"/>
      <c r="AH110" s="1557">
        <v>0</v>
      </c>
    </row>
    <row r="111" spans="1:34" s="1561" customFormat="1" ht="18.75" hidden="1" customHeight="1">
      <c r="A111" s="1678" t="s">
        <v>303</v>
      </c>
      <c r="B111" s="1678" t="s">
        <v>304</v>
      </c>
      <c r="C111" s="305"/>
      <c r="D111" s="24281"/>
      <c r="E111" s="24045"/>
      <c r="F111" s="24220" t="str">
        <f>INDEX(PT_DIFFERENTIATION_VTAR,MATCH(A111,PT_DIFFERENTIATION_VTAR_ID,0))</f>
        <v>Плата за подключение (технологическое присоединение) к системе теплоснабжения (индивидуальная)</v>
      </c>
      <c r="G111" s="24256" t="str">
        <f>INDEX(PT_DIFFERENTIATION_NTAR,MATCH(B111,PT_DIFFERENTIATION_NTAR_ID,0))</f>
        <v/>
      </c>
      <c r="H111" s="1883"/>
      <c r="I111" s="1637"/>
      <c r="J111" s="1671"/>
      <c r="K111" s="1676"/>
      <c r="L111" s="1883" t="s">
        <v>535</v>
      </c>
      <c r="M111" s="277"/>
      <c r="N111" s="270"/>
      <c r="O111" s="1550"/>
      <c r="P111" s="1550"/>
      <c r="AH111" s="1557">
        <v>0</v>
      </c>
    </row>
    <row r="112" spans="1:34" s="1561" customFormat="1" ht="18.75" hidden="1" customHeight="1">
      <c r="A112" s="1678"/>
      <c r="B112" s="1678"/>
      <c r="C112" s="305" t="s">
        <v>1395</v>
      </c>
      <c r="D112" s="24281"/>
      <c r="E112" s="24045"/>
      <c r="F112" s="24220"/>
      <c r="G112" s="24256"/>
      <c r="H112" s="1426"/>
      <c r="I112" s="587" t="s">
        <v>1394</v>
      </c>
      <c r="J112" s="507"/>
      <c r="K112" s="1426"/>
      <c r="L112" s="151"/>
      <c r="M112" s="277"/>
      <c r="N112" s="270"/>
      <c r="O112" s="1550"/>
      <c r="P112" s="1550"/>
      <c r="AH112" s="1557">
        <v>0</v>
      </c>
    </row>
    <row r="113" spans="1:34" s="1561" customFormat="1" ht="0.75" hidden="1" customHeight="1">
      <c r="A113" s="1678"/>
      <c r="B113" s="1678"/>
      <c r="C113" s="305" t="s">
        <v>1402</v>
      </c>
      <c r="D113" s="24281"/>
      <c r="E113" s="24045"/>
      <c r="F113" s="24220"/>
      <c r="G113" s="336"/>
      <c r="H113" s="1426"/>
      <c r="I113" s="587"/>
      <c r="J113" s="507"/>
      <c r="K113" s="1426"/>
      <c r="L113" s="151"/>
      <c r="M113" s="277"/>
      <c r="N113" s="270"/>
      <c r="O113" s="1550"/>
      <c r="P113" s="1550"/>
      <c r="AH113" s="1557">
        <v>0</v>
      </c>
    </row>
    <row r="114" spans="1:34" s="1561" customFormat="1" ht="18.75" hidden="1" customHeight="1">
      <c r="A114" s="1678" t="s">
        <v>323</v>
      </c>
      <c r="B114" s="1678" t="s">
        <v>324</v>
      </c>
      <c r="C114" s="305"/>
      <c r="D114" s="24281"/>
      <c r="E114" s="24045"/>
      <c r="F114" s="24220" t="str">
        <f>INDEX(PT_DIFFERENTIATION_VTAR,MATCH(A114,PT_DIFFERENTIATION_VTAR_ID,0))</f>
        <v>Тариф на питьевую воду (питьевое водоснабжение)</v>
      </c>
      <c r="G114" s="24256" t="str">
        <f>INDEX(PT_DIFFERENTIATION_NTAR,MATCH(B114,PT_DIFFERENTIATION_NTAR_ID,0))</f>
        <v/>
      </c>
      <c r="H114" s="1759"/>
      <c r="I114" s="1637"/>
      <c r="J114" s="1671"/>
      <c r="K114" s="1676"/>
      <c r="L114" s="1759" t="s">
        <v>535</v>
      </c>
      <c r="M114" s="277"/>
      <c r="N114" s="270"/>
      <c r="O114" s="1550"/>
      <c r="P114" s="1550"/>
      <c r="AH114" s="1557">
        <v>0</v>
      </c>
    </row>
    <row r="115" spans="1:34" s="1561" customFormat="1" ht="18.75" hidden="1" customHeight="1">
      <c r="A115" s="1678"/>
      <c r="B115" s="1678"/>
      <c r="C115" s="305" t="s">
        <v>1395</v>
      </c>
      <c r="D115" s="24281"/>
      <c r="E115" s="24045"/>
      <c r="F115" s="24220"/>
      <c r="G115" s="24256"/>
      <c r="H115" s="1426"/>
      <c r="I115" s="587" t="s">
        <v>1394</v>
      </c>
      <c r="J115" s="507"/>
      <c r="K115" s="1426"/>
      <c r="L115" s="151"/>
      <c r="M115" s="277"/>
      <c r="N115" s="270"/>
      <c r="O115" s="1550"/>
      <c r="P115" s="1550"/>
      <c r="AH115" s="1557">
        <v>0</v>
      </c>
    </row>
    <row r="116" spans="1:34" s="1561" customFormat="1" ht="0.75" hidden="1" customHeight="1">
      <c r="A116" s="1678"/>
      <c r="B116" s="1678"/>
      <c r="C116" s="305" t="s">
        <v>1402</v>
      </c>
      <c r="D116" s="24281"/>
      <c r="E116" s="24045"/>
      <c r="F116" s="24220"/>
      <c r="G116" s="336"/>
      <c r="H116" s="1426"/>
      <c r="I116" s="587"/>
      <c r="J116" s="507"/>
      <c r="K116" s="1426"/>
      <c r="L116" s="151"/>
      <c r="M116" s="277"/>
      <c r="N116" s="270"/>
      <c r="O116" s="1550"/>
      <c r="P116" s="1550"/>
      <c r="AH116" s="1557">
        <v>0</v>
      </c>
    </row>
    <row r="117" spans="1:34" s="1561" customFormat="1" ht="18.75" hidden="1" customHeight="1">
      <c r="A117" s="1678" t="s">
        <v>328</v>
      </c>
      <c r="B117" s="1678" t="s">
        <v>329</v>
      </c>
      <c r="C117" s="305"/>
      <c r="D117" s="24281"/>
      <c r="E117" s="24045"/>
      <c r="F117" s="24220" t="str">
        <f>INDEX(PT_DIFFERENTIATION_VTAR,MATCH(A117,PT_DIFFERENTIATION_VTAR_ID,0))</f>
        <v>Тариф на техническую воду</v>
      </c>
      <c r="G117" s="24256" t="str">
        <f>INDEX(PT_DIFFERENTIATION_NTAR,MATCH(B117,PT_DIFFERENTIATION_NTAR_ID,0))</f>
        <v/>
      </c>
      <c r="H117" s="1759"/>
      <c r="I117" s="1637"/>
      <c r="J117" s="1671"/>
      <c r="K117" s="1676"/>
      <c r="L117" s="1759" t="s">
        <v>535</v>
      </c>
      <c r="M117" s="277"/>
      <c r="N117" s="270"/>
      <c r="O117" s="1550"/>
      <c r="P117" s="1550"/>
      <c r="AH117" s="1557">
        <v>0</v>
      </c>
    </row>
    <row r="118" spans="1:34" s="1561" customFormat="1" ht="18.75" hidden="1" customHeight="1">
      <c r="A118" s="1678"/>
      <c r="B118" s="1678"/>
      <c r="C118" s="305" t="s">
        <v>1395</v>
      </c>
      <c r="D118" s="24281"/>
      <c r="E118" s="24045"/>
      <c r="F118" s="24220"/>
      <c r="G118" s="24256"/>
      <c r="H118" s="1426"/>
      <c r="I118" s="587" t="s">
        <v>1394</v>
      </c>
      <c r="J118" s="507"/>
      <c r="K118" s="1426"/>
      <c r="L118" s="151"/>
      <c r="M118" s="277"/>
      <c r="N118" s="270"/>
      <c r="O118" s="1550"/>
      <c r="P118" s="1550"/>
      <c r="AH118" s="1557">
        <v>0</v>
      </c>
    </row>
    <row r="119" spans="1:34" s="1561" customFormat="1" ht="0.75" hidden="1" customHeight="1">
      <c r="A119" s="1678"/>
      <c r="B119" s="1678"/>
      <c r="C119" s="305" t="s">
        <v>1402</v>
      </c>
      <c r="D119" s="24281"/>
      <c r="E119" s="24045"/>
      <c r="F119" s="24220"/>
      <c r="G119" s="336"/>
      <c r="H119" s="1426"/>
      <c r="I119" s="587"/>
      <c r="J119" s="507"/>
      <c r="K119" s="1426"/>
      <c r="L119" s="151"/>
      <c r="M119" s="277"/>
      <c r="N119" s="270"/>
      <c r="O119" s="1550"/>
      <c r="P119" s="1550"/>
      <c r="AH119" s="1557">
        <v>0</v>
      </c>
    </row>
    <row r="120" spans="1:34" s="1561" customFormat="1" ht="18.75" hidden="1" customHeight="1">
      <c r="A120" s="1678" t="s">
        <v>333</v>
      </c>
      <c r="B120" s="1678" t="s">
        <v>334</v>
      </c>
      <c r="C120" s="305"/>
      <c r="D120" s="24281"/>
      <c r="E120" s="24045"/>
      <c r="F120" s="24220" t="str">
        <f>INDEX(PT_DIFFERENTIATION_VTAR,MATCH(A120,PT_DIFFERENTIATION_VTAR_ID,0))</f>
        <v>Тариф на транспортировку воды</v>
      </c>
      <c r="G120" s="24256" t="str">
        <f>INDEX(PT_DIFFERENTIATION_NTAR,MATCH(B120,PT_DIFFERENTIATION_NTAR_ID,0))</f>
        <v/>
      </c>
      <c r="H120" s="1759"/>
      <c r="I120" s="1637"/>
      <c r="J120" s="1671"/>
      <c r="K120" s="1676"/>
      <c r="L120" s="1759" t="s">
        <v>535</v>
      </c>
      <c r="M120" s="277"/>
      <c r="N120" s="270"/>
      <c r="O120" s="1550"/>
      <c r="P120" s="1550"/>
      <c r="AH120" s="1557">
        <v>0</v>
      </c>
    </row>
    <row r="121" spans="1:34" s="1561" customFormat="1" ht="18.75" hidden="1" customHeight="1">
      <c r="A121" s="1678"/>
      <c r="B121" s="1678"/>
      <c r="C121" s="305" t="s">
        <v>1395</v>
      </c>
      <c r="D121" s="24281"/>
      <c r="E121" s="24045"/>
      <c r="F121" s="24220"/>
      <c r="G121" s="24256"/>
      <c r="H121" s="1426"/>
      <c r="I121" s="587" t="s">
        <v>1394</v>
      </c>
      <c r="J121" s="507"/>
      <c r="K121" s="1426"/>
      <c r="L121" s="151"/>
      <c r="M121" s="277"/>
      <c r="N121" s="270"/>
      <c r="O121" s="1550"/>
      <c r="P121" s="1550"/>
      <c r="AH121" s="1557">
        <v>0</v>
      </c>
    </row>
    <row r="122" spans="1:34" s="1561" customFormat="1" ht="0.75" hidden="1" customHeight="1">
      <c r="A122" s="1678"/>
      <c r="B122" s="1678"/>
      <c r="C122" s="305" t="s">
        <v>1402</v>
      </c>
      <c r="D122" s="24281"/>
      <c r="E122" s="24045"/>
      <c r="F122" s="24220"/>
      <c r="G122" s="336"/>
      <c r="H122" s="1426"/>
      <c r="I122" s="587"/>
      <c r="J122" s="507"/>
      <c r="K122" s="1426"/>
      <c r="L122" s="151"/>
      <c r="M122" s="277"/>
      <c r="N122" s="270"/>
      <c r="O122" s="1550"/>
      <c r="P122" s="1550"/>
      <c r="AH122" s="1557">
        <v>0</v>
      </c>
    </row>
    <row r="123" spans="1:34" s="1561" customFormat="1" ht="18.75" hidden="1" customHeight="1">
      <c r="A123" s="1678" t="s">
        <v>338</v>
      </c>
      <c r="B123" s="1678" t="s">
        <v>339</v>
      </c>
      <c r="C123" s="305"/>
      <c r="D123" s="24281"/>
      <c r="E123" s="24045"/>
      <c r="F123" s="24220" t="str">
        <f>INDEX(PT_DIFFERENTIATION_VTAR,MATCH(A123,PT_DIFFERENTIATION_VTAR_ID,0))</f>
        <v>Тариф на подвоз воды</v>
      </c>
      <c r="G123" s="24256" t="str">
        <f>INDEX(PT_DIFFERENTIATION_NTAR,MATCH(B123,PT_DIFFERENTIATION_NTAR_ID,0))</f>
        <v/>
      </c>
      <c r="H123" s="1759"/>
      <c r="I123" s="1637"/>
      <c r="J123" s="1671"/>
      <c r="K123" s="1676"/>
      <c r="L123" s="1759" t="s">
        <v>535</v>
      </c>
      <c r="M123" s="277"/>
      <c r="N123" s="270"/>
      <c r="O123" s="1550"/>
      <c r="P123" s="1550"/>
      <c r="AH123" s="1557">
        <v>0</v>
      </c>
    </row>
    <row r="124" spans="1:34" s="1561" customFormat="1" ht="18.75" hidden="1" customHeight="1">
      <c r="A124" s="1678"/>
      <c r="B124" s="1678"/>
      <c r="C124" s="305" t="s">
        <v>1395</v>
      </c>
      <c r="D124" s="24281"/>
      <c r="E124" s="24045"/>
      <c r="F124" s="24220"/>
      <c r="G124" s="24256"/>
      <c r="H124" s="1426"/>
      <c r="I124" s="587" t="s">
        <v>1394</v>
      </c>
      <c r="J124" s="507"/>
      <c r="K124" s="1426"/>
      <c r="L124" s="151"/>
      <c r="M124" s="277"/>
      <c r="N124" s="270"/>
      <c r="O124" s="1550"/>
      <c r="P124" s="1550"/>
      <c r="AH124" s="1557">
        <v>0</v>
      </c>
    </row>
    <row r="125" spans="1:34" s="1561" customFormat="1" ht="0.75" hidden="1" customHeight="1">
      <c r="A125" s="1678"/>
      <c r="B125" s="1678"/>
      <c r="C125" s="305" t="s">
        <v>1402</v>
      </c>
      <c r="D125" s="24281"/>
      <c r="E125" s="24045"/>
      <c r="F125" s="24220"/>
      <c r="G125" s="336"/>
      <c r="H125" s="1426"/>
      <c r="I125" s="587"/>
      <c r="J125" s="507"/>
      <c r="K125" s="1426"/>
      <c r="L125" s="151"/>
      <c r="M125" s="277"/>
      <c r="N125" s="270"/>
      <c r="O125" s="1550"/>
      <c r="P125" s="1550"/>
      <c r="AH125" s="1557">
        <v>0</v>
      </c>
    </row>
    <row r="126" spans="1:34" s="1561" customFormat="1" ht="18.75" hidden="1" customHeight="1">
      <c r="A126" s="1678" t="s">
        <v>343</v>
      </c>
      <c r="B126" s="1678" t="s">
        <v>344</v>
      </c>
      <c r="C126" s="305"/>
      <c r="D126" s="24281"/>
      <c r="E126" s="24045"/>
      <c r="F126" s="2422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256" t="str">
        <f>INDEX(PT_DIFFERENTIATION_NTAR,MATCH(B126,PT_DIFFERENTIATION_NTAR_ID,0))</f>
        <v/>
      </c>
      <c r="H126" s="1759"/>
      <c r="I126" s="1637"/>
      <c r="J126" s="1671"/>
      <c r="K126" s="1676"/>
      <c r="L126" s="1759" t="s">
        <v>535</v>
      </c>
      <c r="M126" s="277"/>
      <c r="N126" s="270"/>
      <c r="O126" s="1550"/>
      <c r="P126" s="1550"/>
      <c r="AH126" s="1557">
        <v>0</v>
      </c>
    </row>
    <row r="127" spans="1:34" s="1561" customFormat="1" ht="18.75" hidden="1" customHeight="1">
      <c r="A127" s="1678"/>
      <c r="B127" s="1678"/>
      <c r="C127" s="305" t="s">
        <v>1395</v>
      </c>
      <c r="D127" s="24281"/>
      <c r="E127" s="24045"/>
      <c r="F127" s="24220"/>
      <c r="G127" s="24256"/>
      <c r="H127" s="1426"/>
      <c r="I127" s="587" t="s">
        <v>1394</v>
      </c>
      <c r="J127" s="507"/>
      <c r="K127" s="1426"/>
      <c r="L127" s="151"/>
      <c r="M127" s="277"/>
      <c r="N127" s="270"/>
      <c r="O127" s="1550"/>
      <c r="P127" s="1550"/>
      <c r="AH127" s="1557">
        <v>0</v>
      </c>
    </row>
    <row r="128" spans="1:34" s="1561" customFormat="1" ht="0.75" hidden="1" customHeight="1">
      <c r="A128" s="1678"/>
      <c r="B128" s="1678"/>
      <c r="C128" s="305" t="s">
        <v>1402</v>
      </c>
      <c r="D128" s="24281"/>
      <c r="E128" s="24045"/>
      <c r="F128" s="24220"/>
      <c r="G128" s="336"/>
      <c r="H128" s="1426"/>
      <c r="I128" s="587"/>
      <c r="J128" s="507"/>
      <c r="K128" s="1426"/>
      <c r="L128" s="151"/>
      <c r="M128" s="277"/>
      <c r="N128" s="270"/>
      <c r="O128" s="1550"/>
      <c r="P128" s="1550"/>
      <c r="AH128" s="1557">
        <v>0</v>
      </c>
    </row>
    <row r="129" spans="1:34" s="1561" customFormat="1" ht="18.75" hidden="1" customHeight="1">
      <c r="A129" s="1678" t="s">
        <v>351</v>
      </c>
      <c r="B129" s="1678" t="s">
        <v>352</v>
      </c>
      <c r="C129" s="305"/>
      <c r="D129" s="24281"/>
      <c r="E129" s="24045"/>
      <c r="F129" s="24220" t="str">
        <f>INDEX(PT_DIFFERENTIATION_VTAR,MATCH(A129,PT_DIFFERENTIATION_VTAR_ID,0))</f>
        <v>Тариф на горячую воду (горячее водоснабжение)</v>
      </c>
      <c r="G129" s="24256" t="str">
        <f>INDEX(PT_DIFFERENTIATION_NTAR,MATCH(B129,PT_DIFFERENTIATION_NTAR_ID,0))</f>
        <v>Тариф на горячую воду с использованием закрытой системы горячего водоснабжения</v>
      </c>
      <c r="H129" s="1759"/>
      <c r="I129" s="1637"/>
      <c r="J129" s="1671"/>
      <c r="K129" s="1676"/>
      <c r="L129" s="1759" t="s">
        <v>535</v>
      </c>
      <c r="M129" s="277"/>
      <c r="N129" s="270"/>
      <c r="O129" s="1550"/>
      <c r="P129" s="1550"/>
      <c r="AH129" s="1557">
        <v>0</v>
      </c>
    </row>
    <row r="130" spans="1:34" s="1561" customFormat="1" ht="18.75" hidden="1" customHeight="1">
      <c r="A130" s="1678"/>
      <c r="B130" s="1678"/>
      <c r="C130" s="305" t="s">
        <v>1395</v>
      </c>
      <c r="D130" s="24281"/>
      <c r="E130" s="24045"/>
      <c r="F130" s="24220"/>
      <c r="G130" s="24256"/>
      <c r="H130" s="1426"/>
      <c r="I130" s="587" t="s">
        <v>1394</v>
      </c>
      <c r="J130" s="507"/>
      <c r="K130" s="1426"/>
      <c r="L130" s="151"/>
      <c r="M130" s="277"/>
      <c r="N130" s="270"/>
      <c r="O130" s="1550"/>
      <c r="P130" s="1550"/>
      <c r="AH130" s="1557">
        <v>0</v>
      </c>
    </row>
    <row r="131" spans="1:34" s="1561" customFormat="1" ht="0.75" hidden="1" customHeight="1">
      <c r="A131" s="1678"/>
      <c r="B131" s="1678"/>
      <c r="C131" s="305" t="s">
        <v>1402</v>
      </c>
      <c r="D131" s="24281"/>
      <c r="E131" s="24045"/>
      <c r="F131" s="24220"/>
      <c r="G131" s="336"/>
      <c r="H131" s="1426"/>
      <c r="I131" s="587"/>
      <c r="J131" s="507"/>
      <c r="K131" s="1426"/>
      <c r="L131" s="151"/>
      <c r="M131" s="277"/>
      <c r="N131" s="270"/>
      <c r="O131" s="1550"/>
      <c r="P131" s="1550"/>
      <c r="AH131" s="1557">
        <v>0</v>
      </c>
    </row>
    <row r="132" spans="1:34" s="1561" customFormat="1" ht="18.75" hidden="1" customHeight="1">
      <c r="A132" s="1678" t="s">
        <v>484</v>
      </c>
      <c r="B132" s="1678" t="s">
        <v>485</v>
      </c>
      <c r="C132" s="305"/>
      <c r="D132" s="24281"/>
      <c r="E132" s="24045"/>
      <c r="F132" s="24220" t="str">
        <f>INDEX(PT_DIFFERENTIATION_VTAR,MATCH(A132,PT_DIFFERENTIATION_VTAR_ID,0))</f>
        <v>Тариф на транспортировку горячей воды</v>
      </c>
      <c r="G132" s="24256" t="str">
        <f>INDEX(PT_DIFFERENTIATION_NTAR,MATCH(B132,PT_DIFFERENTIATION_NTAR_ID,0))</f>
        <v/>
      </c>
      <c r="H132" s="1759"/>
      <c r="I132" s="1637"/>
      <c r="J132" s="1671"/>
      <c r="K132" s="1676"/>
      <c r="L132" s="1759" t="s">
        <v>535</v>
      </c>
      <c r="M132" s="277"/>
      <c r="N132" s="270"/>
      <c r="O132" s="1550"/>
      <c r="P132" s="1550"/>
      <c r="AH132" s="1557">
        <v>0</v>
      </c>
    </row>
    <row r="133" spans="1:34" s="1561" customFormat="1" ht="18.75" hidden="1" customHeight="1">
      <c r="A133" s="1678"/>
      <c r="B133" s="1678"/>
      <c r="C133" s="305" t="s">
        <v>1395</v>
      </c>
      <c r="D133" s="24281"/>
      <c r="E133" s="24045"/>
      <c r="F133" s="24220"/>
      <c r="G133" s="24256"/>
      <c r="H133" s="1426"/>
      <c r="I133" s="587" t="s">
        <v>1394</v>
      </c>
      <c r="J133" s="507"/>
      <c r="K133" s="1426"/>
      <c r="L133" s="151"/>
      <c r="M133" s="277"/>
      <c r="N133" s="270"/>
      <c r="O133" s="1550"/>
      <c r="P133" s="1550"/>
      <c r="AH133" s="1557">
        <v>0</v>
      </c>
    </row>
    <row r="134" spans="1:34" s="1561" customFormat="1" ht="0.75" hidden="1" customHeight="1">
      <c r="A134" s="1678"/>
      <c r="B134" s="1678"/>
      <c r="C134" s="305" t="s">
        <v>1402</v>
      </c>
      <c r="D134" s="24281"/>
      <c r="E134" s="24045"/>
      <c r="F134" s="24220"/>
      <c r="G134" s="336"/>
      <c r="H134" s="1426"/>
      <c r="I134" s="587"/>
      <c r="J134" s="507"/>
      <c r="K134" s="1426"/>
      <c r="L134" s="151"/>
      <c r="M134" s="277"/>
      <c r="N134" s="270"/>
      <c r="O134" s="1550"/>
      <c r="P134" s="1550"/>
      <c r="AH134" s="1557">
        <v>0</v>
      </c>
    </row>
    <row r="135" spans="1:34" s="1561" customFormat="1" ht="18.75" hidden="1" customHeight="1">
      <c r="A135" s="1678" t="s">
        <v>489</v>
      </c>
      <c r="B135" s="1678" t="s">
        <v>490</v>
      </c>
      <c r="C135" s="305"/>
      <c r="D135" s="24281"/>
      <c r="E135" s="24045"/>
      <c r="F135" s="2422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256" t="str">
        <f>INDEX(PT_DIFFERENTIATION_NTAR,MATCH(B135,PT_DIFFERENTIATION_NTAR_ID,0))</f>
        <v/>
      </c>
      <c r="H135" s="1759"/>
      <c r="I135" s="1637"/>
      <c r="J135" s="1671"/>
      <c r="K135" s="1676"/>
      <c r="L135" s="1759" t="s">
        <v>535</v>
      </c>
      <c r="M135" s="277"/>
      <c r="N135" s="270"/>
      <c r="O135" s="1550"/>
      <c r="P135" s="1550"/>
      <c r="AH135" s="1557">
        <v>0</v>
      </c>
    </row>
    <row r="136" spans="1:34" s="1561" customFormat="1" ht="18.75" hidden="1" customHeight="1">
      <c r="A136" s="1678"/>
      <c r="B136" s="1678"/>
      <c r="C136" s="305" t="s">
        <v>1395</v>
      </c>
      <c r="D136" s="24281"/>
      <c r="E136" s="24045"/>
      <c r="F136" s="24220"/>
      <c r="G136" s="24256"/>
      <c r="H136" s="1426"/>
      <c r="I136" s="587" t="s">
        <v>1394</v>
      </c>
      <c r="J136" s="507"/>
      <c r="K136" s="1426"/>
      <c r="L136" s="151"/>
      <c r="M136" s="277"/>
      <c r="N136" s="270"/>
      <c r="O136" s="1550"/>
      <c r="P136" s="1550"/>
      <c r="AH136" s="1557">
        <v>0</v>
      </c>
    </row>
    <row r="137" spans="1:34" s="1561" customFormat="1" ht="0.75" hidden="1" customHeight="1">
      <c r="A137" s="1678"/>
      <c r="B137" s="1678"/>
      <c r="C137" s="305" t="s">
        <v>1402</v>
      </c>
      <c r="D137" s="24281"/>
      <c r="E137" s="24045"/>
      <c r="F137" s="24220"/>
      <c r="G137" s="336"/>
      <c r="H137" s="1426"/>
      <c r="I137" s="587"/>
      <c r="J137" s="507"/>
      <c r="K137" s="1426"/>
      <c r="L137" s="151"/>
      <c r="M137" s="277"/>
      <c r="N137" s="270"/>
      <c r="O137" s="1550"/>
      <c r="P137" s="1550"/>
      <c r="AH137" s="1557">
        <v>0</v>
      </c>
    </row>
    <row r="138" spans="1:34" s="1561" customFormat="1" ht="18.75" hidden="1" customHeight="1">
      <c r="A138" s="1678" t="s">
        <v>494</v>
      </c>
      <c r="B138" s="1678" t="s">
        <v>495</v>
      </c>
      <c r="C138" s="305"/>
      <c r="D138" s="24281"/>
      <c r="E138" s="24045"/>
      <c r="F138" s="24220" t="str">
        <f>INDEX(PT_DIFFERENTIATION_VTAR,MATCH(A138,PT_DIFFERENTIATION_VTAR_ID,0))</f>
        <v>Тариф на водоотведение</v>
      </c>
      <c r="G138" s="24256" t="str">
        <f>INDEX(PT_DIFFERENTIATION_NTAR,MATCH(B138,PT_DIFFERENTIATION_NTAR_ID,0))</f>
        <v/>
      </c>
      <c r="H138" s="1759"/>
      <c r="I138" s="1637"/>
      <c r="J138" s="1671"/>
      <c r="K138" s="1676"/>
      <c r="L138" s="1759" t="s">
        <v>535</v>
      </c>
      <c r="M138" s="277"/>
      <c r="N138" s="270"/>
      <c r="O138" s="1550"/>
      <c r="P138" s="1550"/>
      <c r="AH138" s="1557">
        <v>0</v>
      </c>
    </row>
    <row r="139" spans="1:34" s="1561" customFormat="1" ht="18.75" hidden="1" customHeight="1">
      <c r="A139" s="1678"/>
      <c r="B139" s="1678"/>
      <c r="C139" s="305" t="s">
        <v>1395</v>
      </c>
      <c r="D139" s="24281"/>
      <c r="E139" s="24045"/>
      <c r="F139" s="24220"/>
      <c r="G139" s="24256"/>
      <c r="H139" s="1426"/>
      <c r="I139" s="587" t="s">
        <v>1394</v>
      </c>
      <c r="J139" s="507"/>
      <c r="K139" s="1426"/>
      <c r="L139" s="151"/>
      <c r="M139" s="277"/>
      <c r="N139" s="270"/>
      <c r="O139" s="1550"/>
      <c r="P139" s="1550"/>
      <c r="AH139" s="1557">
        <v>0</v>
      </c>
    </row>
    <row r="140" spans="1:34" s="1561" customFormat="1" ht="0.75" hidden="1" customHeight="1">
      <c r="A140" s="1678"/>
      <c r="B140" s="1678"/>
      <c r="C140" s="305" t="s">
        <v>1402</v>
      </c>
      <c r="D140" s="24281"/>
      <c r="E140" s="24045"/>
      <c r="F140" s="24220"/>
      <c r="G140" s="336"/>
      <c r="H140" s="1426"/>
      <c r="I140" s="587"/>
      <c r="J140" s="507"/>
      <c r="K140" s="1426"/>
      <c r="L140" s="151"/>
      <c r="M140" s="277"/>
      <c r="N140" s="270"/>
      <c r="O140" s="1550"/>
      <c r="P140" s="1550"/>
      <c r="AH140" s="1557">
        <v>0</v>
      </c>
    </row>
    <row r="141" spans="1:34" s="1561" customFormat="1" ht="18.75" hidden="1" customHeight="1">
      <c r="A141" s="1678" t="s">
        <v>499</v>
      </c>
      <c r="B141" s="1678" t="s">
        <v>500</v>
      </c>
      <c r="C141" s="305"/>
      <c r="D141" s="24281"/>
      <c r="E141" s="24045"/>
      <c r="F141" s="24220" t="str">
        <f>INDEX(PT_DIFFERENTIATION_VTAR,MATCH(A141,PT_DIFFERENTIATION_VTAR_ID,0))</f>
        <v>Тариф на транспортировку сточных вод</v>
      </c>
      <c r="G141" s="24256" t="str">
        <f>INDEX(PT_DIFFERENTIATION_NTAR,MATCH(B141,PT_DIFFERENTIATION_NTAR_ID,0))</f>
        <v/>
      </c>
      <c r="H141" s="1759"/>
      <c r="I141" s="1637"/>
      <c r="J141" s="1671"/>
      <c r="K141" s="1676"/>
      <c r="L141" s="1759" t="s">
        <v>535</v>
      </c>
      <c r="M141" s="277"/>
      <c r="N141" s="270"/>
      <c r="O141" s="1550"/>
      <c r="P141" s="1550"/>
      <c r="AH141" s="1557">
        <v>0</v>
      </c>
    </row>
    <row r="142" spans="1:34" s="1561" customFormat="1" ht="18.75" hidden="1" customHeight="1">
      <c r="A142" s="1678"/>
      <c r="B142" s="1678"/>
      <c r="C142" s="305" t="s">
        <v>1395</v>
      </c>
      <c r="D142" s="24281"/>
      <c r="E142" s="24045"/>
      <c r="F142" s="24220"/>
      <c r="G142" s="24256"/>
      <c r="H142" s="1426"/>
      <c r="I142" s="587" t="s">
        <v>1394</v>
      </c>
      <c r="J142" s="507"/>
      <c r="K142" s="1426"/>
      <c r="L142" s="151"/>
      <c r="M142" s="277"/>
      <c r="N142" s="270"/>
      <c r="O142" s="1550"/>
      <c r="P142" s="1550"/>
      <c r="AH142" s="1557">
        <v>0</v>
      </c>
    </row>
    <row r="143" spans="1:34" s="1561" customFormat="1" ht="0.75" hidden="1" customHeight="1">
      <c r="A143" s="1678"/>
      <c r="B143" s="1678"/>
      <c r="C143" s="305" t="s">
        <v>1402</v>
      </c>
      <c r="D143" s="24281"/>
      <c r="E143" s="24045"/>
      <c r="F143" s="24220"/>
      <c r="G143" s="336"/>
      <c r="H143" s="1426"/>
      <c r="I143" s="587"/>
      <c r="J143" s="507"/>
      <c r="K143" s="1426"/>
      <c r="L143" s="151"/>
      <c r="M143" s="277"/>
      <c r="N143" s="270"/>
      <c r="O143" s="1550"/>
      <c r="P143" s="1550"/>
      <c r="AH143" s="1557">
        <v>0</v>
      </c>
    </row>
    <row r="144" spans="1:34" s="1561" customFormat="1" ht="18.75" hidden="1" customHeight="1">
      <c r="A144" s="1678" t="s">
        <v>504</v>
      </c>
      <c r="B144" s="1678" t="s">
        <v>505</v>
      </c>
      <c r="C144" s="305"/>
      <c r="D144" s="24281"/>
      <c r="E144" s="24045"/>
      <c r="F144" s="24220" t="str">
        <f>INDEX(PT_DIFFERENTIATION_VTAR,MATCH(A144,PT_DIFFERENTIATION_VTAR_ID,0))</f>
        <v>Тариф на подключение (технологическое присоединение) к централизованной системе водоотведения</v>
      </c>
      <c r="G144" s="24256" t="str">
        <f>INDEX(PT_DIFFERENTIATION_NTAR,MATCH(B144,PT_DIFFERENTIATION_NTAR_ID,0))</f>
        <v/>
      </c>
      <c r="H144" s="1759"/>
      <c r="I144" s="1637"/>
      <c r="J144" s="1671"/>
      <c r="K144" s="1676"/>
      <c r="L144" s="1759" t="s">
        <v>535</v>
      </c>
      <c r="M144" s="277"/>
      <c r="N144" s="270"/>
      <c r="O144" s="1550"/>
      <c r="P144" s="1550"/>
      <c r="AH144" s="1557">
        <v>0</v>
      </c>
    </row>
    <row r="145" spans="1:34" s="1561" customFormat="1" ht="18.75" hidden="1" customHeight="1">
      <c r="A145" s="1678"/>
      <c r="B145" s="1678"/>
      <c r="C145" s="305" t="s">
        <v>1395</v>
      </c>
      <c r="D145" s="24281"/>
      <c r="E145" s="24045"/>
      <c r="F145" s="24220"/>
      <c r="G145" s="24256"/>
      <c r="H145" s="1426"/>
      <c r="I145" s="587" t="s">
        <v>1394</v>
      </c>
      <c r="J145" s="507"/>
      <c r="K145" s="1426"/>
      <c r="L145" s="151"/>
      <c r="M145" s="277"/>
      <c r="N145" s="270"/>
      <c r="O145" s="1550"/>
      <c r="P145" s="1550"/>
      <c r="AH145" s="1557">
        <v>0</v>
      </c>
    </row>
    <row r="146" spans="1:34" s="1561" customFormat="1" ht="1.1499999999999999" customHeight="1">
      <c r="A146" s="1678"/>
      <c r="B146" s="1678"/>
      <c r="C146" s="305" t="s">
        <v>1402</v>
      </c>
      <c r="D146" s="24281"/>
      <c r="E146" s="24045"/>
      <c r="F146" s="24220"/>
      <c r="G146" s="336"/>
      <c r="H146" s="1426"/>
      <c r="I146" s="587"/>
      <c r="J146" s="507"/>
      <c r="K146" s="1426"/>
      <c r="L146" s="151"/>
      <c r="M146" s="277"/>
      <c r="N146" s="270"/>
      <c r="O146" s="1550"/>
      <c r="P146" s="1550"/>
      <c r="AH146" s="1557">
        <v>1</v>
      </c>
    </row>
    <row r="147" spans="1:34" ht="19.899999999999999" customHeight="1">
      <c r="A147" s="1678"/>
      <c r="B147" s="1678"/>
      <c r="D147" s="312"/>
      <c r="E147" s="84" t="s">
        <v>82</v>
      </c>
      <c r="F147" s="2428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4280"/>
      <c r="H147" s="24280"/>
      <c r="I147" s="24280"/>
      <c r="J147" s="24280"/>
      <c r="K147" s="24280"/>
      <c r="L147" s="24280"/>
      <c r="M147" s="233"/>
      <c r="N147" s="270"/>
      <c r="AH147" s="310">
        <v>19</v>
      </c>
    </row>
    <row r="148" spans="1:34" s="1561" customFormat="1" ht="60.75" hidden="1" customHeight="1">
      <c r="A148" s="1678" t="s">
        <v>255</v>
      </c>
      <c r="B148" s="1678" t="s">
        <v>256</v>
      </c>
      <c r="C148" s="305"/>
      <c r="D148" s="24281"/>
      <c r="E148" s="24045"/>
      <c r="F148" s="2422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256" t="str">
        <f>INDEX(PT_DIFFERENTIATION_NTAR,MATCH(B148,PT_DIFFERENTIATION_NTAR_ID,0))</f>
        <v/>
      </c>
      <c r="H148" s="1759"/>
      <c r="I148" s="1637"/>
      <c r="J148" s="1671"/>
      <c r="K148" s="1676"/>
      <c r="L148" s="1759" t="s">
        <v>535</v>
      </c>
      <c r="M148" s="239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550"/>
      <c r="P148" s="1550"/>
      <c r="AH148" s="1557">
        <v>0</v>
      </c>
    </row>
    <row r="149" spans="1:34" s="1561" customFormat="1" ht="18.75" hidden="1" customHeight="1">
      <c r="A149" s="1678"/>
      <c r="B149" s="1678"/>
      <c r="C149" s="305" t="s">
        <v>1395</v>
      </c>
      <c r="D149" s="24281"/>
      <c r="E149" s="24045"/>
      <c r="F149" s="24220"/>
      <c r="G149" s="24256"/>
      <c r="H149" s="1426"/>
      <c r="I149" s="587" t="s">
        <v>1394</v>
      </c>
      <c r="J149" s="507"/>
      <c r="K149" s="1426"/>
      <c r="L149" s="151"/>
      <c r="M149" s="23997"/>
      <c r="N149" s="270"/>
      <c r="O149" s="1550"/>
      <c r="P149" s="1550"/>
      <c r="AH149" s="1557">
        <v>0</v>
      </c>
    </row>
    <row r="150" spans="1:34" s="1561" customFormat="1" ht="0.75" hidden="1" customHeight="1">
      <c r="A150" s="1678"/>
      <c r="B150" s="1678"/>
      <c r="C150" s="305" t="s">
        <v>1402</v>
      </c>
      <c r="D150" s="24281"/>
      <c r="E150" s="24045"/>
      <c r="F150" s="24220"/>
      <c r="G150" s="336"/>
      <c r="H150" s="1426"/>
      <c r="I150" s="587"/>
      <c r="J150" s="507"/>
      <c r="K150" s="1426"/>
      <c r="L150" s="151"/>
      <c r="M150" s="23997"/>
      <c r="N150" s="270"/>
      <c r="O150" s="1550"/>
      <c r="P150" s="1550"/>
      <c r="AH150" s="1557">
        <v>0</v>
      </c>
    </row>
    <row r="151" spans="1:34" s="1561" customFormat="1" ht="45" hidden="1" customHeight="1">
      <c r="A151" s="1678" t="s">
        <v>260</v>
      </c>
      <c r="B151" s="1678" t="s">
        <v>261</v>
      </c>
      <c r="C151" s="305"/>
      <c r="D151" s="24281"/>
      <c r="E151" s="24045"/>
      <c r="F151" s="24220" t="str">
        <f>INDEX(PT_DIFFERENTIATION_VTAR,MATCH(A151,PT_DIFFERENTIATION_VTAR_ID,0))</f>
        <v/>
      </c>
      <c r="G151" s="24256" t="str">
        <f>INDEX(PT_DIFFERENTIATION_NTAR,MATCH(B151,PT_DIFFERENTIATION_NTAR_ID,0))</f>
        <v/>
      </c>
      <c r="H151" s="1759"/>
      <c r="I151" s="1637"/>
      <c r="J151" s="1671"/>
      <c r="K151" s="1676"/>
      <c r="L151" s="1759" t="s">
        <v>535</v>
      </c>
      <c r="M151" s="23998"/>
      <c r="N151" s="270"/>
      <c r="O151" s="1550"/>
      <c r="P151" s="1550"/>
      <c r="AH151" s="1557">
        <v>0</v>
      </c>
    </row>
    <row r="152" spans="1:34" s="1561" customFormat="1" ht="18.75" hidden="1" customHeight="1">
      <c r="A152" s="1678"/>
      <c r="B152" s="1678"/>
      <c r="C152" s="305" t="s">
        <v>1395</v>
      </c>
      <c r="D152" s="24281"/>
      <c r="E152" s="24045"/>
      <c r="F152" s="24220"/>
      <c r="G152" s="24256"/>
      <c r="H152" s="1426"/>
      <c r="I152" s="587" t="s">
        <v>1394</v>
      </c>
      <c r="J152" s="507"/>
      <c r="K152" s="1426"/>
      <c r="L152" s="151"/>
      <c r="M152" s="1758"/>
      <c r="N152" s="270"/>
      <c r="O152" s="1550"/>
      <c r="P152" s="1550"/>
      <c r="AH152" s="1557">
        <v>0</v>
      </c>
    </row>
    <row r="153" spans="1:34" s="1561" customFormat="1" ht="0.75" hidden="1" customHeight="1">
      <c r="A153" s="1678"/>
      <c r="B153" s="1678"/>
      <c r="C153" s="305" t="s">
        <v>1402</v>
      </c>
      <c r="D153" s="24281"/>
      <c r="E153" s="24045"/>
      <c r="F153" s="24220"/>
      <c r="G153" s="336"/>
      <c r="H153" s="1426"/>
      <c r="I153" s="587"/>
      <c r="J153" s="507"/>
      <c r="K153" s="1426"/>
      <c r="L153" s="151"/>
      <c r="M153" s="277"/>
      <c r="N153" s="270"/>
      <c r="O153" s="1550"/>
      <c r="P153" s="1550"/>
      <c r="AH153" s="1557">
        <v>0</v>
      </c>
    </row>
    <row r="154" spans="1:34" s="1561" customFormat="1" ht="45" hidden="1" customHeight="1">
      <c r="A154" s="1678" t="s">
        <v>267</v>
      </c>
      <c r="B154" s="1678" t="s">
        <v>268</v>
      </c>
      <c r="C154" s="305"/>
      <c r="D154" s="24281"/>
      <c r="E154" s="24045"/>
      <c r="F154" s="2422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256" t="str">
        <f>INDEX(PT_DIFFERENTIATION_NTAR,MATCH(B154,PT_DIFFERENTIATION_NTAR_ID,0))</f>
        <v/>
      </c>
      <c r="H154" s="1759"/>
      <c r="I154" s="1637"/>
      <c r="J154" s="1671"/>
      <c r="K154" s="1676"/>
      <c r="L154" s="1759" t="s">
        <v>535</v>
      </c>
      <c r="M154" s="277"/>
      <c r="N154" s="270"/>
      <c r="O154" s="1550"/>
      <c r="P154" s="1550"/>
      <c r="AH154" s="1557">
        <v>0</v>
      </c>
    </row>
    <row r="155" spans="1:34" s="1561" customFormat="1" ht="18.75" hidden="1" customHeight="1">
      <c r="A155" s="1678"/>
      <c r="B155" s="1678"/>
      <c r="C155" s="305" t="s">
        <v>1395</v>
      </c>
      <c r="D155" s="24281"/>
      <c r="E155" s="24045"/>
      <c r="F155" s="24220"/>
      <c r="G155" s="24256"/>
      <c r="H155" s="1426"/>
      <c r="I155" s="587" t="s">
        <v>1394</v>
      </c>
      <c r="J155" s="507"/>
      <c r="K155" s="1426"/>
      <c r="L155" s="151"/>
      <c r="M155" s="277"/>
      <c r="N155" s="270"/>
      <c r="O155" s="1550"/>
      <c r="P155" s="1550"/>
      <c r="AH155" s="1557">
        <v>0</v>
      </c>
    </row>
    <row r="156" spans="1:34" s="1561" customFormat="1" ht="0.75" hidden="1" customHeight="1">
      <c r="A156" s="1678"/>
      <c r="B156" s="1678"/>
      <c r="C156" s="305" t="s">
        <v>1402</v>
      </c>
      <c r="D156" s="24281"/>
      <c r="E156" s="24045"/>
      <c r="F156" s="24220"/>
      <c r="G156" s="336"/>
      <c r="H156" s="1426"/>
      <c r="I156" s="587"/>
      <c r="J156" s="507"/>
      <c r="K156" s="1426"/>
      <c r="L156" s="151"/>
      <c r="M156" s="277"/>
      <c r="N156" s="270"/>
      <c r="O156" s="1550"/>
      <c r="P156" s="1550"/>
      <c r="AH156" s="1557">
        <v>0</v>
      </c>
    </row>
    <row r="157" spans="1:34" s="1561" customFormat="1" ht="45" hidden="1" customHeight="1">
      <c r="A157" s="1678" t="s">
        <v>273</v>
      </c>
      <c r="B157" s="1678" t="s">
        <v>274</v>
      </c>
      <c r="C157" s="305"/>
      <c r="D157" s="24281"/>
      <c r="E157" s="24045"/>
      <c r="F157" s="2422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256" t="str">
        <f>INDEX(PT_DIFFERENTIATION_NTAR,MATCH(B157,PT_DIFFERENTIATION_NTAR_ID,0))</f>
        <v/>
      </c>
      <c r="H157" s="1759"/>
      <c r="I157" s="1637"/>
      <c r="J157" s="1671"/>
      <c r="K157" s="1676"/>
      <c r="L157" s="1759" t="s">
        <v>535</v>
      </c>
      <c r="M157" s="277"/>
      <c r="N157" s="270"/>
      <c r="O157" s="1550"/>
      <c r="P157" s="1550"/>
      <c r="AH157" s="1557">
        <v>0</v>
      </c>
    </row>
    <row r="158" spans="1:34" s="1561" customFormat="1" ht="18.75" hidden="1" customHeight="1">
      <c r="A158" s="1678"/>
      <c r="B158" s="1678"/>
      <c r="C158" s="305" t="s">
        <v>1395</v>
      </c>
      <c r="D158" s="24281"/>
      <c r="E158" s="24045"/>
      <c r="F158" s="24220"/>
      <c r="G158" s="24256"/>
      <c r="H158" s="1426"/>
      <c r="I158" s="587" t="s">
        <v>1394</v>
      </c>
      <c r="J158" s="507"/>
      <c r="K158" s="1426"/>
      <c r="L158" s="151"/>
      <c r="M158" s="277"/>
      <c r="N158" s="270"/>
      <c r="O158" s="1550"/>
      <c r="P158" s="1550"/>
      <c r="AH158" s="1557">
        <v>0</v>
      </c>
    </row>
    <row r="159" spans="1:34" s="1561" customFormat="1" ht="0.75" hidden="1" customHeight="1">
      <c r="A159" s="1678"/>
      <c r="B159" s="1678"/>
      <c r="C159" s="305" t="s">
        <v>1402</v>
      </c>
      <c r="D159" s="24281"/>
      <c r="E159" s="24045"/>
      <c r="F159" s="24220"/>
      <c r="G159" s="336"/>
      <c r="H159" s="1426"/>
      <c r="I159" s="587"/>
      <c r="J159" s="507"/>
      <c r="K159" s="1426"/>
      <c r="L159" s="151"/>
      <c r="M159" s="277"/>
      <c r="N159" s="270"/>
      <c r="O159" s="1550"/>
      <c r="P159" s="1550"/>
      <c r="AH159" s="1557">
        <v>0</v>
      </c>
    </row>
    <row r="160" spans="1:34" s="1561" customFormat="1" ht="18.75" hidden="1" customHeight="1">
      <c r="A160" s="1678" t="s">
        <v>279</v>
      </c>
      <c r="B160" s="1678" t="s">
        <v>280</v>
      </c>
      <c r="C160" s="305"/>
      <c r="D160" s="24281"/>
      <c r="E160" s="24045"/>
      <c r="F160" s="24220" t="str">
        <f>INDEX(PT_DIFFERENTIATION_VTAR,MATCH(A160,PT_DIFFERENTIATION_VTAR_ID,0))</f>
        <v>Тарифы на услуги по передаче тепловой энергии</v>
      </c>
      <c r="G160" s="24256" t="str">
        <f>INDEX(PT_DIFFERENTIATION_NTAR,MATCH(B160,PT_DIFFERENTIATION_NTAR_ID,0))</f>
        <v/>
      </c>
      <c r="H160" s="1759"/>
      <c r="I160" s="1637"/>
      <c r="J160" s="1671"/>
      <c r="K160" s="1676"/>
      <c r="L160" s="1759" t="s">
        <v>535</v>
      </c>
      <c r="M160" s="277"/>
      <c r="N160" s="270"/>
      <c r="O160" s="1550"/>
      <c r="P160" s="1550"/>
      <c r="AH160" s="1557">
        <v>0</v>
      </c>
    </row>
    <row r="161" spans="1:34" s="1561" customFormat="1" ht="18.75" hidden="1" customHeight="1">
      <c r="A161" s="1678"/>
      <c r="B161" s="1678"/>
      <c r="C161" s="305" t="s">
        <v>1395</v>
      </c>
      <c r="D161" s="24281"/>
      <c r="E161" s="24045"/>
      <c r="F161" s="24220"/>
      <c r="G161" s="24256"/>
      <c r="H161" s="1426"/>
      <c r="I161" s="587" t="s">
        <v>1394</v>
      </c>
      <c r="J161" s="507"/>
      <c r="K161" s="1426"/>
      <c r="L161" s="151"/>
      <c r="M161" s="277"/>
      <c r="N161" s="270"/>
      <c r="O161" s="1550"/>
      <c r="P161" s="1550"/>
      <c r="AH161" s="1557">
        <v>0</v>
      </c>
    </row>
    <row r="162" spans="1:34" s="1561" customFormat="1" ht="0.75" hidden="1" customHeight="1">
      <c r="A162" s="1678"/>
      <c r="B162" s="1678"/>
      <c r="C162" s="305" t="s">
        <v>1402</v>
      </c>
      <c r="D162" s="24281"/>
      <c r="E162" s="24045"/>
      <c r="F162" s="24220"/>
      <c r="G162" s="336"/>
      <c r="H162" s="1426"/>
      <c r="I162" s="587"/>
      <c r="J162" s="507"/>
      <c r="K162" s="1426"/>
      <c r="L162" s="151"/>
      <c r="M162" s="277"/>
      <c r="N162" s="270"/>
      <c r="O162" s="1550"/>
      <c r="P162" s="1550"/>
      <c r="AH162" s="1557">
        <v>0</v>
      </c>
    </row>
    <row r="163" spans="1:34" s="1561" customFormat="1" ht="18.75" hidden="1" customHeight="1">
      <c r="A163" s="1678" t="s">
        <v>285</v>
      </c>
      <c r="B163" s="1678" t="s">
        <v>286</v>
      </c>
      <c r="C163" s="305"/>
      <c r="D163" s="24281"/>
      <c r="E163" s="24045"/>
      <c r="F163" s="24220" t="str">
        <f>INDEX(PT_DIFFERENTIATION_VTAR,MATCH(A163,PT_DIFFERENTIATION_VTAR_ID,0))</f>
        <v>Тарифы на услуги по передаче теплоносителя</v>
      </c>
      <c r="G163" s="24256" t="str">
        <f>INDEX(PT_DIFFERENTIATION_NTAR,MATCH(B163,PT_DIFFERENTIATION_NTAR_ID,0))</f>
        <v/>
      </c>
      <c r="H163" s="1759"/>
      <c r="I163" s="1637"/>
      <c r="J163" s="1671"/>
      <c r="K163" s="1676"/>
      <c r="L163" s="1759" t="s">
        <v>535</v>
      </c>
      <c r="M163" s="277"/>
      <c r="N163" s="270"/>
      <c r="O163" s="1550"/>
      <c r="P163" s="1550"/>
      <c r="AH163" s="1557">
        <v>0</v>
      </c>
    </row>
    <row r="164" spans="1:34" s="1561" customFormat="1" ht="18.75" hidden="1" customHeight="1">
      <c r="A164" s="1678"/>
      <c r="B164" s="1678"/>
      <c r="C164" s="305" t="s">
        <v>1395</v>
      </c>
      <c r="D164" s="24281"/>
      <c r="E164" s="24045"/>
      <c r="F164" s="24220"/>
      <c r="G164" s="24256"/>
      <c r="H164" s="1426"/>
      <c r="I164" s="587" t="s">
        <v>1394</v>
      </c>
      <c r="J164" s="507"/>
      <c r="K164" s="1426"/>
      <c r="L164" s="151"/>
      <c r="M164" s="277"/>
      <c r="N164" s="270"/>
      <c r="O164" s="1550"/>
      <c r="P164" s="1550"/>
      <c r="AH164" s="1557">
        <v>0</v>
      </c>
    </row>
    <row r="165" spans="1:34" s="1561" customFormat="1" ht="0.75" hidden="1" customHeight="1">
      <c r="A165" s="1678"/>
      <c r="B165" s="1678"/>
      <c r="C165" s="305" t="s">
        <v>1402</v>
      </c>
      <c r="D165" s="24281"/>
      <c r="E165" s="24045"/>
      <c r="F165" s="24220"/>
      <c r="G165" s="336"/>
      <c r="H165" s="1426"/>
      <c r="I165" s="587"/>
      <c r="J165" s="507"/>
      <c r="K165" s="1426"/>
      <c r="L165" s="151"/>
      <c r="M165" s="277"/>
      <c r="N165" s="270"/>
      <c r="O165" s="1550"/>
      <c r="P165" s="1550"/>
      <c r="AH165" s="1557">
        <v>0</v>
      </c>
    </row>
    <row r="166" spans="1:34" s="1561" customFormat="1" ht="18.75" hidden="1" customHeight="1">
      <c r="A166" s="1678" t="s">
        <v>291</v>
      </c>
      <c r="B166" s="1678" t="s">
        <v>292</v>
      </c>
      <c r="C166" s="305"/>
      <c r="D166" s="24281"/>
      <c r="E166" s="24045"/>
      <c r="F166" s="2422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256" t="str">
        <f>INDEX(PT_DIFFERENTIATION_NTAR,MATCH(B166,PT_DIFFERENTIATION_NTAR_ID,0))</f>
        <v/>
      </c>
      <c r="H166" s="1759"/>
      <c r="I166" s="1637"/>
      <c r="J166" s="1671"/>
      <c r="K166" s="1676"/>
      <c r="L166" s="1759" t="s">
        <v>535</v>
      </c>
      <c r="M166" s="277"/>
      <c r="N166" s="270"/>
      <c r="O166" s="1550"/>
      <c r="P166" s="1550"/>
      <c r="AH166" s="1557">
        <v>0</v>
      </c>
    </row>
    <row r="167" spans="1:34" s="1561" customFormat="1" ht="18.75" hidden="1" customHeight="1">
      <c r="A167" s="1678"/>
      <c r="B167" s="1678"/>
      <c r="C167" s="305" t="s">
        <v>1395</v>
      </c>
      <c r="D167" s="24281"/>
      <c r="E167" s="24045"/>
      <c r="F167" s="24220"/>
      <c r="G167" s="24256"/>
      <c r="H167" s="1426"/>
      <c r="I167" s="587" t="s">
        <v>1394</v>
      </c>
      <c r="J167" s="507"/>
      <c r="K167" s="1426"/>
      <c r="L167" s="151"/>
      <c r="M167" s="277"/>
      <c r="N167" s="270"/>
      <c r="O167" s="1550"/>
      <c r="P167" s="1550"/>
      <c r="AH167" s="1557">
        <v>0</v>
      </c>
    </row>
    <row r="168" spans="1:34" s="1561" customFormat="1" ht="0.75" hidden="1" customHeight="1">
      <c r="A168" s="1678"/>
      <c r="B168" s="1678"/>
      <c r="C168" s="305" t="s">
        <v>1402</v>
      </c>
      <c r="D168" s="24281"/>
      <c r="E168" s="24045"/>
      <c r="F168" s="24220"/>
      <c r="G168" s="336"/>
      <c r="H168" s="1426"/>
      <c r="I168" s="587"/>
      <c r="J168" s="507"/>
      <c r="K168" s="1426"/>
      <c r="L168" s="151"/>
      <c r="M168" s="277"/>
      <c r="N168" s="270"/>
      <c r="O168" s="1550"/>
      <c r="P168" s="1550"/>
      <c r="AH168" s="1557">
        <v>0</v>
      </c>
    </row>
    <row r="169" spans="1:34" s="1561" customFormat="1" ht="18.75" hidden="1" customHeight="1">
      <c r="A169" s="1678" t="s">
        <v>297</v>
      </c>
      <c r="B169" s="1678" t="s">
        <v>298</v>
      </c>
      <c r="C169" s="305"/>
      <c r="D169" s="24281"/>
      <c r="E169" s="24045"/>
      <c r="F169" s="24220" t="str">
        <f>INDEX(PT_DIFFERENTIATION_VTAR,MATCH(A169,PT_DIFFERENTIATION_VTAR_ID,0))</f>
        <v>Плата за подключение (технологическое присоединение) к системе теплоснабжения</v>
      </c>
      <c r="G169" s="24256" t="str">
        <f>INDEX(PT_DIFFERENTIATION_NTAR,MATCH(B169,PT_DIFFERENTIATION_NTAR_ID,0))</f>
        <v/>
      </c>
      <c r="H169" s="1759"/>
      <c r="I169" s="1637"/>
      <c r="J169" s="1671"/>
      <c r="K169" s="1676"/>
      <c r="L169" s="1759" t="s">
        <v>535</v>
      </c>
      <c r="M169" s="277"/>
      <c r="N169" s="270"/>
      <c r="O169" s="1550"/>
      <c r="P169" s="1550"/>
      <c r="AH169" s="1557">
        <v>0</v>
      </c>
    </row>
    <row r="170" spans="1:34" s="1561" customFormat="1" ht="18.75" hidden="1" customHeight="1">
      <c r="A170" s="1678"/>
      <c r="B170" s="1678"/>
      <c r="C170" s="305" t="s">
        <v>1395</v>
      </c>
      <c r="D170" s="24281"/>
      <c r="E170" s="24045"/>
      <c r="F170" s="24220"/>
      <c r="G170" s="24256"/>
      <c r="H170" s="1426"/>
      <c r="I170" s="587" t="s">
        <v>1394</v>
      </c>
      <c r="J170" s="507"/>
      <c r="K170" s="1426"/>
      <c r="L170" s="151"/>
      <c r="M170" s="277"/>
      <c r="N170" s="270"/>
      <c r="O170" s="1550"/>
      <c r="P170" s="1550"/>
      <c r="AH170" s="1557">
        <v>0</v>
      </c>
    </row>
    <row r="171" spans="1:34" s="1561" customFormat="1" ht="0.75" hidden="1" customHeight="1">
      <c r="A171" s="1678"/>
      <c r="B171" s="1678"/>
      <c r="C171" s="305" t="s">
        <v>1402</v>
      </c>
      <c r="D171" s="24281"/>
      <c r="E171" s="24045"/>
      <c r="F171" s="24220"/>
      <c r="G171" s="336"/>
      <c r="H171" s="1426"/>
      <c r="I171" s="587"/>
      <c r="J171" s="507"/>
      <c r="K171" s="1426"/>
      <c r="L171" s="151"/>
      <c r="M171" s="277"/>
      <c r="N171" s="270"/>
      <c r="O171" s="1550"/>
      <c r="P171" s="1550"/>
      <c r="AH171" s="1557">
        <v>0</v>
      </c>
    </row>
    <row r="172" spans="1:34" s="1561" customFormat="1" ht="18.75" hidden="1" customHeight="1">
      <c r="A172" s="1678" t="s">
        <v>303</v>
      </c>
      <c r="B172" s="1678" t="s">
        <v>304</v>
      </c>
      <c r="C172" s="305"/>
      <c r="D172" s="24281"/>
      <c r="E172" s="24045"/>
      <c r="F172" s="24220" t="str">
        <f>INDEX(PT_DIFFERENTIATION_VTAR,MATCH(A172,PT_DIFFERENTIATION_VTAR_ID,0))</f>
        <v>Плата за подключение (технологическое присоединение) к системе теплоснабжения (индивидуальная)</v>
      </c>
      <c r="G172" s="24256" t="str">
        <f>INDEX(PT_DIFFERENTIATION_NTAR,MATCH(B172,PT_DIFFERENTIATION_NTAR_ID,0))</f>
        <v/>
      </c>
      <c r="H172" s="1883"/>
      <c r="I172" s="1637"/>
      <c r="J172" s="1671"/>
      <c r="K172" s="1676"/>
      <c r="L172" s="1883" t="s">
        <v>535</v>
      </c>
      <c r="M172" s="277"/>
      <c r="N172" s="270"/>
      <c r="O172" s="1550"/>
      <c r="P172" s="1550"/>
      <c r="AH172" s="1557">
        <v>0</v>
      </c>
    </row>
    <row r="173" spans="1:34" s="1561" customFormat="1" ht="18.75" hidden="1" customHeight="1">
      <c r="A173" s="1678"/>
      <c r="B173" s="1678"/>
      <c r="C173" s="305" t="s">
        <v>1395</v>
      </c>
      <c r="D173" s="24281"/>
      <c r="E173" s="24045"/>
      <c r="F173" s="24220"/>
      <c r="G173" s="24256"/>
      <c r="H173" s="1426"/>
      <c r="I173" s="587" t="s">
        <v>1394</v>
      </c>
      <c r="J173" s="507"/>
      <c r="K173" s="1426"/>
      <c r="L173" s="151"/>
      <c r="M173" s="277"/>
      <c r="N173" s="270"/>
      <c r="O173" s="1550"/>
      <c r="P173" s="1550"/>
      <c r="AH173" s="1557">
        <v>0</v>
      </c>
    </row>
    <row r="174" spans="1:34" s="1561" customFormat="1" ht="0.75" hidden="1" customHeight="1">
      <c r="A174" s="1678"/>
      <c r="B174" s="1678"/>
      <c r="C174" s="305" t="s">
        <v>1402</v>
      </c>
      <c r="D174" s="24281"/>
      <c r="E174" s="24045"/>
      <c r="F174" s="24220"/>
      <c r="G174" s="336"/>
      <c r="H174" s="1426"/>
      <c r="I174" s="587"/>
      <c r="J174" s="507"/>
      <c r="K174" s="1426"/>
      <c r="L174" s="151"/>
      <c r="M174" s="277"/>
      <c r="N174" s="270"/>
      <c r="O174" s="1550"/>
      <c r="P174" s="1550"/>
      <c r="AH174" s="1557">
        <v>0</v>
      </c>
    </row>
    <row r="175" spans="1:34" s="1561" customFormat="1" ht="18.75" hidden="1" customHeight="1">
      <c r="A175" s="1678" t="s">
        <v>323</v>
      </c>
      <c r="B175" s="1678" t="s">
        <v>324</v>
      </c>
      <c r="C175" s="305"/>
      <c r="D175" s="24281"/>
      <c r="E175" s="24045"/>
      <c r="F175" s="24220" t="str">
        <f>INDEX(PT_DIFFERENTIATION_VTAR,MATCH(A175,PT_DIFFERENTIATION_VTAR_ID,0))</f>
        <v>Тариф на питьевую воду (питьевое водоснабжение)</v>
      </c>
      <c r="G175" s="24256" t="str">
        <f>INDEX(PT_DIFFERENTIATION_NTAR,MATCH(B175,PT_DIFFERENTIATION_NTAR_ID,0))</f>
        <v/>
      </c>
      <c r="H175" s="1759"/>
      <c r="I175" s="1637"/>
      <c r="J175" s="1671"/>
      <c r="K175" s="1676"/>
      <c r="L175" s="1759" t="s">
        <v>535</v>
      </c>
      <c r="M175" s="277"/>
      <c r="N175" s="270"/>
      <c r="O175" s="1550"/>
      <c r="P175" s="1550"/>
      <c r="AH175" s="1557">
        <v>0</v>
      </c>
    </row>
    <row r="176" spans="1:34" s="1561" customFormat="1" ht="18.75" hidden="1" customHeight="1">
      <c r="A176" s="1678"/>
      <c r="B176" s="1678"/>
      <c r="C176" s="305" t="s">
        <v>1395</v>
      </c>
      <c r="D176" s="24281"/>
      <c r="E176" s="24045"/>
      <c r="F176" s="24220"/>
      <c r="G176" s="24256"/>
      <c r="H176" s="1426"/>
      <c r="I176" s="587" t="s">
        <v>1394</v>
      </c>
      <c r="J176" s="507"/>
      <c r="K176" s="1426"/>
      <c r="L176" s="151"/>
      <c r="M176" s="277"/>
      <c r="N176" s="270"/>
      <c r="O176" s="1550"/>
      <c r="P176" s="1550"/>
      <c r="AH176" s="1557">
        <v>0</v>
      </c>
    </row>
    <row r="177" spans="1:34" s="1561" customFormat="1" ht="0.75" hidden="1" customHeight="1">
      <c r="A177" s="1678"/>
      <c r="B177" s="1678"/>
      <c r="C177" s="305" t="s">
        <v>1402</v>
      </c>
      <c r="D177" s="24281"/>
      <c r="E177" s="24045"/>
      <c r="F177" s="24220"/>
      <c r="G177" s="336"/>
      <c r="H177" s="1426"/>
      <c r="I177" s="587"/>
      <c r="J177" s="507"/>
      <c r="K177" s="1426"/>
      <c r="L177" s="151"/>
      <c r="M177" s="277"/>
      <c r="N177" s="270"/>
      <c r="O177" s="1550"/>
      <c r="P177" s="1550"/>
      <c r="AH177" s="1557">
        <v>0</v>
      </c>
    </row>
    <row r="178" spans="1:34" s="1561" customFormat="1" ht="18.75" hidden="1" customHeight="1">
      <c r="A178" s="1678" t="s">
        <v>328</v>
      </c>
      <c r="B178" s="1678" t="s">
        <v>329</v>
      </c>
      <c r="C178" s="305"/>
      <c r="D178" s="24281"/>
      <c r="E178" s="24045"/>
      <c r="F178" s="24220" t="str">
        <f>INDEX(PT_DIFFERENTIATION_VTAR,MATCH(A178,PT_DIFFERENTIATION_VTAR_ID,0))</f>
        <v>Тариф на техническую воду</v>
      </c>
      <c r="G178" s="24256" t="str">
        <f>INDEX(PT_DIFFERENTIATION_NTAR,MATCH(B178,PT_DIFFERENTIATION_NTAR_ID,0))</f>
        <v/>
      </c>
      <c r="H178" s="1759"/>
      <c r="I178" s="1637"/>
      <c r="J178" s="1671"/>
      <c r="K178" s="1676"/>
      <c r="L178" s="1759" t="s">
        <v>535</v>
      </c>
      <c r="M178" s="277"/>
      <c r="N178" s="270"/>
      <c r="O178" s="1550"/>
      <c r="P178" s="1550"/>
      <c r="AH178" s="1557">
        <v>0</v>
      </c>
    </row>
    <row r="179" spans="1:34" s="1561" customFormat="1" ht="18.75" hidden="1" customHeight="1">
      <c r="A179" s="1678"/>
      <c r="B179" s="1678"/>
      <c r="C179" s="305" t="s">
        <v>1395</v>
      </c>
      <c r="D179" s="24281"/>
      <c r="E179" s="24045"/>
      <c r="F179" s="24220"/>
      <c r="G179" s="24256"/>
      <c r="H179" s="1426"/>
      <c r="I179" s="587" t="s">
        <v>1394</v>
      </c>
      <c r="J179" s="507"/>
      <c r="K179" s="1426"/>
      <c r="L179" s="151"/>
      <c r="M179" s="277"/>
      <c r="N179" s="270"/>
      <c r="O179" s="1550"/>
      <c r="P179" s="1550"/>
      <c r="AH179" s="1557">
        <v>0</v>
      </c>
    </row>
    <row r="180" spans="1:34" s="1561" customFormat="1" ht="0.75" hidden="1" customHeight="1">
      <c r="A180" s="1678"/>
      <c r="B180" s="1678"/>
      <c r="C180" s="305" t="s">
        <v>1402</v>
      </c>
      <c r="D180" s="24281"/>
      <c r="E180" s="24045"/>
      <c r="F180" s="24220"/>
      <c r="G180" s="336"/>
      <c r="H180" s="1426"/>
      <c r="I180" s="587"/>
      <c r="J180" s="507"/>
      <c r="K180" s="1426"/>
      <c r="L180" s="151"/>
      <c r="M180" s="277"/>
      <c r="N180" s="270"/>
      <c r="O180" s="1550"/>
      <c r="P180" s="1550"/>
      <c r="AH180" s="1557">
        <v>0</v>
      </c>
    </row>
    <row r="181" spans="1:34" s="1561" customFormat="1" ht="18.75" hidden="1" customHeight="1">
      <c r="A181" s="1678" t="s">
        <v>333</v>
      </c>
      <c r="B181" s="1678" t="s">
        <v>334</v>
      </c>
      <c r="C181" s="305"/>
      <c r="D181" s="24281"/>
      <c r="E181" s="24045"/>
      <c r="F181" s="24220" t="str">
        <f>INDEX(PT_DIFFERENTIATION_VTAR,MATCH(A181,PT_DIFFERENTIATION_VTAR_ID,0))</f>
        <v>Тариф на транспортировку воды</v>
      </c>
      <c r="G181" s="24256" t="str">
        <f>INDEX(PT_DIFFERENTIATION_NTAR,MATCH(B181,PT_DIFFERENTIATION_NTAR_ID,0))</f>
        <v/>
      </c>
      <c r="H181" s="1759"/>
      <c r="I181" s="1637"/>
      <c r="J181" s="1671"/>
      <c r="K181" s="1676"/>
      <c r="L181" s="1759" t="s">
        <v>535</v>
      </c>
      <c r="M181" s="277"/>
      <c r="N181" s="270"/>
      <c r="O181" s="1550"/>
      <c r="P181" s="1550"/>
      <c r="AH181" s="1557">
        <v>0</v>
      </c>
    </row>
    <row r="182" spans="1:34" s="1561" customFormat="1" ht="18.75" hidden="1" customHeight="1">
      <c r="A182" s="1678"/>
      <c r="B182" s="1678"/>
      <c r="C182" s="305" t="s">
        <v>1395</v>
      </c>
      <c r="D182" s="24281"/>
      <c r="E182" s="24045"/>
      <c r="F182" s="24220"/>
      <c r="G182" s="24256"/>
      <c r="H182" s="1426"/>
      <c r="I182" s="587" t="s">
        <v>1394</v>
      </c>
      <c r="J182" s="507"/>
      <c r="K182" s="1426"/>
      <c r="L182" s="151"/>
      <c r="M182" s="277"/>
      <c r="N182" s="270"/>
      <c r="O182" s="1550"/>
      <c r="P182" s="1550"/>
      <c r="AH182" s="1557">
        <v>0</v>
      </c>
    </row>
    <row r="183" spans="1:34" s="1561" customFormat="1" ht="0.75" hidden="1" customHeight="1">
      <c r="A183" s="1678"/>
      <c r="B183" s="1678"/>
      <c r="C183" s="305" t="s">
        <v>1402</v>
      </c>
      <c r="D183" s="24281"/>
      <c r="E183" s="24045"/>
      <c r="F183" s="24220"/>
      <c r="G183" s="336"/>
      <c r="H183" s="1426"/>
      <c r="I183" s="587"/>
      <c r="J183" s="507"/>
      <c r="K183" s="1426"/>
      <c r="L183" s="151"/>
      <c r="M183" s="277"/>
      <c r="N183" s="270"/>
      <c r="O183" s="1550"/>
      <c r="P183" s="1550"/>
      <c r="AH183" s="1557">
        <v>0</v>
      </c>
    </row>
    <row r="184" spans="1:34" s="1561" customFormat="1" ht="18.75" hidden="1" customHeight="1">
      <c r="A184" s="1678" t="s">
        <v>338</v>
      </c>
      <c r="B184" s="1678" t="s">
        <v>339</v>
      </c>
      <c r="C184" s="305"/>
      <c r="D184" s="24281"/>
      <c r="E184" s="24045"/>
      <c r="F184" s="24220" t="str">
        <f>INDEX(PT_DIFFERENTIATION_VTAR,MATCH(A184,PT_DIFFERENTIATION_VTAR_ID,0))</f>
        <v>Тариф на подвоз воды</v>
      </c>
      <c r="G184" s="24256" t="str">
        <f>INDEX(PT_DIFFERENTIATION_NTAR,MATCH(B184,PT_DIFFERENTIATION_NTAR_ID,0))</f>
        <v/>
      </c>
      <c r="H184" s="1759"/>
      <c r="I184" s="1637"/>
      <c r="J184" s="1671"/>
      <c r="K184" s="1676"/>
      <c r="L184" s="1759" t="s">
        <v>535</v>
      </c>
      <c r="M184" s="277"/>
      <c r="N184" s="270"/>
      <c r="O184" s="1550"/>
      <c r="P184" s="1550"/>
      <c r="AH184" s="1557">
        <v>0</v>
      </c>
    </row>
    <row r="185" spans="1:34" s="1561" customFormat="1" ht="18.75" hidden="1" customHeight="1">
      <c r="A185" s="1678"/>
      <c r="B185" s="1678"/>
      <c r="C185" s="305" t="s">
        <v>1395</v>
      </c>
      <c r="D185" s="24281"/>
      <c r="E185" s="24045"/>
      <c r="F185" s="24220"/>
      <c r="G185" s="24256"/>
      <c r="H185" s="1426"/>
      <c r="I185" s="587" t="s">
        <v>1394</v>
      </c>
      <c r="J185" s="507"/>
      <c r="K185" s="1426"/>
      <c r="L185" s="151"/>
      <c r="M185" s="277"/>
      <c r="N185" s="270"/>
      <c r="O185" s="1550"/>
      <c r="P185" s="1550"/>
      <c r="AH185" s="1557">
        <v>0</v>
      </c>
    </row>
    <row r="186" spans="1:34" s="1561" customFormat="1" ht="0.75" hidden="1" customHeight="1">
      <c r="A186" s="1678"/>
      <c r="B186" s="1678"/>
      <c r="C186" s="305" t="s">
        <v>1402</v>
      </c>
      <c r="D186" s="24281"/>
      <c r="E186" s="24045"/>
      <c r="F186" s="24220"/>
      <c r="G186" s="336"/>
      <c r="H186" s="1426"/>
      <c r="I186" s="587"/>
      <c r="J186" s="507"/>
      <c r="K186" s="1426"/>
      <c r="L186" s="151"/>
      <c r="M186" s="277"/>
      <c r="N186" s="270"/>
      <c r="O186" s="1550"/>
      <c r="P186" s="1550"/>
      <c r="AH186" s="1557">
        <v>0</v>
      </c>
    </row>
    <row r="187" spans="1:34" s="1561" customFormat="1" ht="18.75" hidden="1" customHeight="1">
      <c r="A187" s="1678" t="s">
        <v>343</v>
      </c>
      <c r="B187" s="1678" t="s">
        <v>344</v>
      </c>
      <c r="C187" s="305"/>
      <c r="D187" s="24281"/>
      <c r="E187" s="24045"/>
      <c r="F187" s="2422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256" t="str">
        <f>INDEX(PT_DIFFERENTIATION_NTAR,MATCH(B187,PT_DIFFERENTIATION_NTAR_ID,0))</f>
        <v/>
      </c>
      <c r="H187" s="1759"/>
      <c r="I187" s="1637"/>
      <c r="J187" s="1671"/>
      <c r="K187" s="1676"/>
      <c r="L187" s="1759" t="s">
        <v>535</v>
      </c>
      <c r="M187" s="277"/>
      <c r="N187" s="270"/>
      <c r="O187" s="1550"/>
      <c r="P187" s="1550"/>
      <c r="AH187" s="1557">
        <v>0</v>
      </c>
    </row>
    <row r="188" spans="1:34" s="1561" customFormat="1" ht="18.75" hidden="1" customHeight="1">
      <c r="A188" s="1678"/>
      <c r="B188" s="1678"/>
      <c r="C188" s="305" t="s">
        <v>1395</v>
      </c>
      <c r="D188" s="24281"/>
      <c r="E188" s="24045"/>
      <c r="F188" s="24220"/>
      <c r="G188" s="24256"/>
      <c r="H188" s="1426"/>
      <c r="I188" s="587" t="s">
        <v>1394</v>
      </c>
      <c r="J188" s="507"/>
      <c r="K188" s="1426"/>
      <c r="L188" s="151"/>
      <c r="M188" s="277"/>
      <c r="N188" s="270"/>
      <c r="O188" s="1550"/>
      <c r="P188" s="1550"/>
      <c r="AH188" s="1557">
        <v>0</v>
      </c>
    </row>
    <row r="189" spans="1:34" s="1561" customFormat="1" ht="0.75" hidden="1" customHeight="1">
      <c r="A189" s="1678"/>
      <c r="B189" s="1678"/>
      <c r="C189" s="305" t="s">
        <v>1402</v>
      </c>
      <c r="D189" s="24281"/>
      <c r="E189" s="24045"/>
      <c r="F189" s="24220"/>
      <c r="G189" s="336"/>
      <c r="H189" s="1426"/>
      <c r="I189" s="587"/>
      <c r="J189" s="507"/>
      <c r="K189" s="1426"/>
      <c r="L189" s="151"/>
      <c r="M189" s="277"/>
      <c r="N189" s="270"/>
      <c r="O189" s="1550"/>
      <c r="P189" s="1550"/>
      <c r="AH189" s="1557">
        <v>0</v>
      </c>
    </row>
    <row r="190" spans="1:34" s="1561" customFormat="1" ht="18.75" hidden="1" customHeight="1">
      <c r="A190" s="1678" t="s">
        <v>351</v>
      </c>
      <c r="B190" s="1678" t="s">
        <v>352</v>
      </c>
      <c r="C190" s="305"/>
      <c r="D190" s="24281"/>
      <c r="E190" s="24045"/>
      <c r="F190" s="24220" t="str">
        <f>INDEX(PT_DIFFERENTIATION_VTAR,MATCH(A190,PT_DIFFERENTIATION_VTAR_ID,0))</f>
        <v>Тариф на горячую воду (горячее водоснабжение)</v>
      </c>
      <c r="G190" s="24256" t="str">
        <f>INDEX(PT_DIFFERENTIATION_NTAR,MATCH(B190,PT_DIFFERENTIATION_NTAR_ID,0))</f>
        <v>Тариф на горячую воду с использованием закрытой системы горячего водоснабжения</v>
      </c>
      <c r="H190" s="1759"/>
      <c r="I190" s="1637"/>
      <c r="J190" s="1671"/>
      <c r="K190" s="1676"/>
      <c r="L190" s="1759" t="s">
        <v>535</v>
      </c>
      <c r="M190" s="277"/>
      <c r="N190" s="270"/>
      <c r="O190" s="1550"/>
      <c r="P190" s="1550"/>
      <c r="AH190" s="1557">
        <v>0</v>
      </c>
    </row>
    <row r="191" spans="1:34" s="1561" customFormat="1" ht="18.75" hidden="1" customHeight="1">
      <c r="A191" s="1678"/>
      <c r="B191" s="1678"/>
      <c r="C191" s="305" t="s">
        <v>1395</v>
      </c>
      <c r="D191" s="24281"/>
      <c r="E191" s="24045"/>
      <c r="F191" s="24220"/>
      <c r="G191" s="24256"/>
      <c r="H191" s="1426"/>
      <c r="I191" s="587" t="s">
        <v>1394</v>
      </c>
      <c r="J191" s="507"/>
      <c r="K191" s="1426"/>
      <c r="L191" s="151"/>
      <c r="M191" s="277"/>
      <c r="N191" s="270"/>
      <c r="O191" s="1550"/>
      <c r="P191" s="1550"/>
      <c r="AH191" s="1557">
        <v>0</v>
      </c>
    </row>
    <row r="192" spans="1:34" s="1561" customFormat="1" ht="0.75" hidden="1" customHeight="1">
      <c r="A192" s="1678"/>
      <c r="B192" s="1678"/>
      <c r="C192" s="305" t="s">
        <v>1402</v>
      </c>
      <c r="D192" s="24281"/>
      <c r="E192" s="24045"/>
      <c r="F192" s="24220"/>
      <c r="G192" s="336"/>
      <c r="H192" s="1426"/>
      <c r="I192" s="587"/>
      <c r="J192" s="507"/>
      <c r="K192" s="1426"/>
      <c r="L192" s="151"/>
      <c r="M192" s="277"/>
      <c r="N192" s="270"/>
      <c r="O192" s="1550"/>
      <c r="P192" s="1550"/>
      <c r="AH192" s="1557">
        <v>0</v>
      </c>
    </row>
    <row r="193" spans="1:34" s="1561" customFormat="1" ht="18.75" hidden="1" customHeight="1">
      <c r="A193" s="1678" t="s">
        <v>484</v>
      </c>
      <c r="B193" s="1678" t="s">
        <v>485</v>
      </c>
      <c r="C193" s="305"/>
      <c r="D193" s="24281"/>
      <c r="E193" s="24045"/>
      <c r="F193" s="24220" t="str">
        <f>INDEX(PT_DIFFERENTIATION_VTAR,MATCH(A193,PT_DIFFERENTIATION_VTAR_ID,0))</f>
        <v>Тариф на транспортировку горячей воды</v>
      </c>
      <c r="G193" s="24256" t="str">
        <f>INDEX(PT_DIFFERENTIATION_NTAR,MATCH(B193,PT_DIFFERENTIATION_NTAR_ID,0))</f>
        <v/>
      </c>
      <c r="H193" s="1759"/>
      <c r="I193" s="1637"/>
      <c r="J193" s="1671"/>
      <c r="K193" s="1676"/>
      <c r="L193" s="1759" t="s">
        <v>535</v>
      </c>
      <c r="M193" s="277"/>
      <c r="N193" s="270"/>
      <c r="O193" s="1550"/>
      <c r="P193" s="1550"/>
      <c r="AH193" s="1557">
        <v>0</v>
      </c>
    </row>
    <row r="194" spans="1:34" s="1561" customFormat="1" ht="18.75" hidden="1" customHeight="1">
      <c r="A194" s="1678"/>
      <c r="B194" s="1678"/>
      <c r="C194" s="305" t="s">
        <v>1395</v>
      </c>
      <c r="D194" s="24281"/>
      <c r="E194" s="24045"/>
      <c r="F194" s="24220"/>
      <c r="G194" s="24256"/>
      <c r="H194" s="1426"/>
      <c r="I194" s="587" t="s">
        <v>1394</v>
      </c>
      <c r="J194" s="507"/>
      <c r="K194" s="1426"/>
      <c r="L194" s="151"/>
      <c r="M194" s="277"/>
      <c r="N194" s="270"/>
      <c r="O194" s="1550"/>
      <c r="P194" s="1550"/>
      <c r="AH194" s="1557">
        <v>0</v>
      </c>
    </row>
    <row r="195" spans="1:34" s="1561" customFormat="1" ht="0.75" hidden="1" customHeight="1">
      <c r="A195" s="1678"/>
      <c r="B195" s="1678"/>
      <c r="C195" s="305" t="s">
        <v>1402</v>
      </c>
      <c r="D195" s="24281"/>
      <c r="E195" s="24045"/>
      <c r="F195" s="24220"/>
      <c r="G195" s="336"/>
      <c r="H195" s="1426"/>
      <c r="I195" s="587"/>
      <c r="J195" s="507"/>
      <c r="K195" s="1426"/>
      <c r="L195" s="151"/>
      <c r="M195" s="277"/>
      <c r="N195" s="270"/>
      <c r="O195" s="1550"/>
      <c r="P195" s="1550"/>
      <c r="AH195" s="1557">
        <v>0</v>
      </c>
    </row>
    <row r="196" spans="1:34" s="1561" customFormat="1" ht="18.75" hidden="1" customHeight="1">
      <c r="A196" s="1678" t="s">
        <v>489</v>
      </c>
      <c r="B196" s="1678" t="s">
        <v>490</v>
      </c>
      <c r="C196" s="305"/>
      <c r="D196" s="24281"/>
      <c r="E196" s="24045"/>
      <c r="F196" s="2422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256" t="str">
        <f>INDEX(PT_DIFFERENTIATION_NTAR,MATCH(B196,PT_DIFFERENTIATION_NTAR_ID,0))</f>
        <v/>
      </c>
      <c r="H196" s="1759"/>
      <c r="I196" s="1637"/>
      <c r="J196" s="1671"/>
      <c r="K196" s="1676"/>
      <c r="L196" s="1759" t="s">
        <v>535</v>
      </c>
      <c r="M196" s="277"/>
      <c r="N196" s="270"/>
      <c r="O196" s="1550"/>
      <c r="P196" s="1550"/>
      <c r="AH196" s="1557">
        <v>0</v>
      </c>
    </row>
    <row r="197" spans="1:34" s="1561" customFormat="1" ht="18.75" hidden="1" customHeight="1">
      <c r="A197" s="1678"/>
      <c r="B197" s="1678"/>
      <c r="C197" s="305" t="s">
        <v>1395</v>
      </c>
      <c r="D197" s="24281"/>
      <c r="E197" s="24045"/>
      <c r="F197" s="24220"/>
      <c r="G197" s="24256"/>
      <c r="H197" s="1426"/>
      <c r="I197" s="587" t="s">
        <v>1394</v>
      </c>
      <c r="J197" s="507"/>
      <c r="K197" s="1426"/>
      <c r="L197" s="151"/>
      <c r="M197" s="277"/>
      <c r="N197" s="270"/>
      <c r="O197" s="1550"/>
      <c r="P197" s="1550"/>
      <c r="AH197" s="1557">
        <v>0</v>
      </c>
    </row>
    <row r="198" spans="1:34" s="1561" customFormat="1" ht="0.75" hidden="1" customHeight="1">
      <c r="A198" s="1678"/>
      <c r="B198" s="1678"/>
      <c r="C198" s="305" t="s">
        <v>1402</v>
      </c>
      <c r="D198" s="24281"/>
      <c r="E198" s="24045"/>
      <c r="F198" s="24220"/>
      <c r="G198" s="336"/>
      <c r="H198" s="1426"/>
      <c r="I198" s="587"/>
      <c r="J198" s="507"/>
      <c r="K198" s="1426"/>
      <c r="L198" s="151"/>
      <c r="M198" s="277"/>
      <c r="N198" s="270"/>
      <c r="O198" s="1550"/>
      <c r="P198" s="1550"/>
      <c r="AH198" s="1557">
        <v>0</v>
      </c>
    </row>
    <row r="199" spans="1:34" s="1561" customFormat="1" ht="18.75" hidden="1" customHeight="1">
      <c r="A199" s="1678" t="s">
        <v>494</v>
      </c>
      <c r="B199" s="1678" t="s">
        <v>495</v>
      </c>
      <c r="C199" s="305"/>
      <c r="D199" s="24281"/>
      <c r="E199" s="24045"/>
      <c r="F199" s="24220" t="str">
        <f>INDEX(PT_DIFFERENTIATION_VTAR,MATCH(A199,PT_DIFFERENTIATION_VTAR_ID,0))</f>
        <v>Тариф на водоотведение</v>
      </c>
      <c r="G199" s="24256" t="str">
        <f>INDEX(PT_DIFFERENTIATION_NTAR,MATCH(B199,PT_DIFFERENTIATION_NTAR_ID,0))</f>
        <v/>
      </c>
      <c r="H199" s="1759"/>
      <c r="I199" s="1637"/>
      <c r="J199" s="1671"/>
      <c r="K199" s="1676"/>
      <c r="L199" s="1759" t="s">
        <v>535</v>
      </c>
      <c r="M199" s="277"/>
      <c r="N199" s="270"/>
      <c r="O199" s="1550"/>
      <c r="P199" s="1550"/>
      <c r="AH199" s="1557">
        <v>0</v>
      </c>
    </row>
    <row r="200" spans="1:34" s="1561" customFormat="1" ht="18.75" hidden="1" customHeight="1">
      <c r="A200" s="1678"/>
      <c r="B200" s="1678"/>
      <c r="C200" s="305" t="s">
        <v>1395</v>
      </c>
      <c r="D200" s="24281"/>
      <c r="E200" s="24045"/>
      <c r="F200" s="24220"/>
      <c r="G200" s="24256"/>
      <c r="H200" s="1426"/>
      <c r="I200" s="587" t="s">
        <v>1394</v>
      </c>
      <c r="J200" s="507"/>
      <c r="K200" s="1426"/>
      <c r="L200" s="151"/>
      <c r="M200" s="277"/>
      <c r="N200" s="270"/>
      <c r="O200" s="1550"/>
      <c r="P200" s="1550"/>
      <c r="AH200" s="1557">
        <v>0</v>
      </c>
    </row>
    <row r="201" spans="1:34" s="1561" customFormat="1" ht="0.75" hidden="1" customHeight="1">
      <c r="A201" s="1678"/>
      <c r="B201" s="1678"/>
      <c r="C201" s="305" t="s">
        <v>1402</v>
      </c>
      <c r="D201" s="24281"/>
      <c r="E201" s="24045"/>
      <c r="F201" s="24220"/>
      <c r="G201" s="336"/>
      <c r="H201" s="1426"/>
      <c r="I201" s="587"/>
      <c r="J201" s="507"/>
      <c r="K201" s="1426"/>
      <c r="L201" s="151"/>
      <c r="M201" s="277"/>
      <c r="N201" s="270"/>
      <c r="O201" s="1550"/>
      <c r="P201" s="1550"/>
      <c r="AH201" s="1557">
        <v>0</v>
      </c>
    </row>
    <row r="202" spans="1:34" s="1561" customFormat="1" ht="18.75" hidden="1" customHeight="1">
      <c r="A202" s="1678" t="s">
        <v>499</v>
      </c>
      <c r="B202" s="1678" t="s">
        <v>500</v>
      </c>
      <c r="C202" s="305"/>
      <c r="D202" s="24281"/>
      <c r="E202" s="24045"/>
      <c r="F202" s="24220" t="str">
        <f>INDEX(PT_DIFFERENTIATION_VTAR,MATCH(A202,PT_DIFFERENTIATION_VTAR_ID,0))</f>
        <v>Тариф на транспортировку сточных вод</v>
      </c>
      <c r="G202" s="24256" t="str">
        <f>INDEX(PT_DIFFERENTIATION_NTAR,MATCH(B202,PT_DIFFERENTIATION_NTAR_ID,0))</f>
        <v/>
      </c>
      <c r="H202" s="1759"/>
      <c r="I202" s="1637"/>
      <c r="J202" s="1671"/>
      <c r="K202" s="1676"/>
      <c r="L202" s="1759" t="s">
        <v>535</v>
      </c>
      <c r="M202" s="277"/>
      <c r="N202" s="270"/>
      <c r="O202" s="1550"/>
      <c r="P202" s="1550"/>
      <c r="AH202" s="1557">
        <v>0</v>
      </c>
    </row>
    <row r="203" spans="1:34" s="1561" customFormat="1" ht="18.75" hidden="1" customHeight="1">
      <c r="A203" s="1678"/>
      <c r="B203" s="1678"/>
      <c r="C203" s="305" t="s">
        <v>1395</v>
      </c>
      <c r="D203" s="24281"/>
      <c r="E203" s="24045"/>
      <c r="F203" s="24220"/>
      <c r="G203" s="24256"/>
      <c r="H203" s="1426"/>
      <c r="I203" s="587" t="s">
        <v>1394</v>
      </c>
      <c r="J203" s="507"/>
      <c r="K203" s="1426"/>
      <c r="L203" s="151"/>
      <c r="M203" s="277"/>
      <c r="N203" s="270"/>
      <c r="O203" s="1550"/>
      <c r="P203" s="1550"/>
      <c r="AH203" s="1557">
        <v>0</v>
      </c>
    </row>
    <row r="204" spans="1:34" s="1561" customFormat="1" ht="0.75" hidden="1" customHeight="1">
      <c r="A204" s="1678"/>
      <c r="B204" s="1678"/>
      <c r="C204" s="305" t="s">
        <v>1402</v>
      </c>
      <c r="D204" s="24281"/>
      <c r="E204" s="24045"/>
      <c r="F204" s="24220"/>
      <c r="G204" s="336"/>
      <c r="H204" s="1426"/>
      <c r="I204" s="587"/>
      <c r="J204" s="507"/>
      <c r="K204" s="1426"/>
      <c r="L204" s="151"/>
      <c r="M204" s="277"/>
      <c r="N204" s="270"/>
      <c r="O204" s="1550"/>
      <c r="P204" s="1550"/>
      <c r="AH204" s="1557">
        <v>0</v>
      </c>
    </row>
    <row r="205" spans="1:34" s="1561" customFormat="1" ht="18.75" hidden="1" customHeight="1">
      <c r="A205" s="1678" t="s">
        <v>504</v>
      </c>
      <c r="B205" s="1678" t="s">
        <v>505</v>
      </c>
      <c r="C205" s="305"/>
      <c r="D205" s="24281"/>
      <c r="E205" s="24045"/>
      <c r="F205" s="24220" t="str">
        <f>INDEX(PT_DIFFERENTIATION_VTAR,MATCH(A205,PT_DIFFERENTIATION_VTAR_ID,0))</f>
        <v>Тариф на подключение (технологическое присоединение) к централизованной системе водоотведения</v>
      </c>
      <c r="G205" s="24256" t="str">
        <f>INDEX(PT_DIFFERENTIATION_NTAR,MATCH(B205,PT_DIFFERENTIATION_NTAR_ID,0))</f>
        <v/>
      </c>
      <c r="H205" s="1759"/>
      <c r="I205" s="1637"/>
      <c r="J205" s="1671"/>
      <c r="K205" s="1676"/>
      <c r="L205" s="1759" t="s">
        <v>535</v>
      </c>
      <c r="M205" s="277"/>
      <c r="N205" s="270"/>
      <c r="O205" s="1550"/>
      <c r="P205" s="1550"/>
      <c r="AH205" s="1557">
        <v>0</v>
      </c>
    </row>
    <row r="206" spans="1:34" s="1561" customFormat="1" ht="18.75" hidden="1" customHeight="1">
      <c r="A206" s="1678"/>
      <c r="B206" s="1678"/>
      <c r="C206" s="305" t="s">
        <v>1395</v>
      </c>
      <c r="D206" s="24281"/>
      <c r="E206" s="24045"/>
      <c r="F206" s="24220"/>
      <c r="G206" s="24256"/>
      <c r="H206" s="1426"/>
      <c r="I206" s="587" t="s">
        <v>1394</v>
      </c>
      <c r="J206" s="507"/>
      <c r="K206" s="1426"/>
      <c r="L206" s="151"/>
      <c r="M206" s="277"/>
      <c r="N206" s="270"/>
      <c r="O206" s="1550"/>
      <c r="P206" s="1550"/>
      <c r="AH206" s="1557">
        <v>0</v>
      </c>
    </row>
    <row r="207" spans="1:34" s="1561" customFormat="1" ht="1.1499999999999999" customHeight="1">
      <c r="A207" s="1678"/>
      <c r="B207" s="1678"/>
      <c r="C207" s="305" t="s">
        <v>1402</v>
      </c>
      <c r="D207" s="24281"/>
      <c r="E207" s="24045"/>
      <c r="F207" s="24220"/>
      <c r="G207" s="336"/>
      <c r="H207" s="1426"/>
      <c r="I207" s="587"/>
      <c r="J207" s="507"/>
      <c r="K207" s="1426"/>
      <c r="L207" s="151"/>
      <c r="M207" s="277"/>
      <c r="N207" s="270"/>
      <c r="O207" s="1550"/>
      <c r="P207" s="1550"/>
      <c r="AH207" s="1557">
        <v>1</v>
      </c>
    </row>
    <row r="208" spans="1:34" ht="27.4" customHeight="1">
      <c r="A208" s="1678"/>
      <c r="B208" s="1678"/>
      <c r="D208" s="312"/>
      <c r="E208" s="84" t="s">
        <v>109</v>
      </c>
      <c r="F208" s="2428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280"/>
      <c r="H208" s="24280"/>
      <c r="I208" s="24280"/>
      <c r="J208" s="24280"/>
      <c r="K208" s="24280"/>
      <c r="L208" s="24280"/>
      <c r="M208" s="233"/>
      <c r="N208" s="270"/>
      <c r="AH208" s="310">
        <v>26</v>
      </c>
    </row>
    <row r="209" spans="1:34" s="1561" customFormat="1" ht="60.75" hidden="1" customHeight="1">
      <c r="A209" s="1678" t="s">
        <v>255</v>
      </c>
      <c r="B209" s="1678" t="s">
        <v>256</v>
      </c>
      <c r="C209" s="305"/>
      <c r="D209" s="24281"/>
      <c r="E209" s="24045"/>
      <c r="F209" s="2422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256" t="str">
        <f>INDEX(PT_DIFFERENTIATION_NTAR,MATCH(B209,PT_DIFFERENTIATION_NTAR_ID,0))</f>
        <v/>
      </c>
      <c r="H209" s="1759"/>
      <c r="I209" s="1637"/>
      <c r="J209" s="1671"/>
      <c r="K209" s="1676"/>
      <c r="L209" s="1759" t="s">
        <v>535</v>
      </c>
      <c r="M209" s="239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0"/>
      <c r="O209" s="1550"/>
      <c r="P209" s="1550"/>
      <c r="AH209" s="1557">
        <v>0</v>
      </c>
    </row>
    <row r="210" spans="1:34" s="1561" customFormat="1" ht="18.75" hidden="1" customHeight="1">
      <c r="A210" s="1678"/>
      <c r="B210" s="1678"/>
      <c r="C210" s="305" t="s">
        <v>1395</v>
      </c>
      <c r="D210" s="24281"/>
      <c r="E210" s="24045"/>
      <c r="F210" s="24220"/>
      <c r="G210" s="24256"/>
      <c r="H210" s="1426"/>
      <c r="I210" s="587" t="s">
        <v>1394</v>
      </c>
      <c r="J210" s="507"/>
      <c r="K210" s="1426"/>
      <c r="L210" s="151"/>
      <c r="M210" s="23997"/>
      <c r="N210" s="270"/>
      <c r="O210" s="1550"/>
      <c r="P210" s="1550"/>
      <c r="AH210" s="1557">
        <v>0</v>
      </c>
    </row>
    <row r="211" spans="1:34" s="1561" customFormat="1" ht="0.75" hidden="1" customHeight="1">
      <c r="A211" s="1678"/>
      <c r="B211" s="1678"/>
      <c r="C211" s="305" t="s">
        <v>1402</v>
      </c>
      <c r="D211" s="24281"/>
      <c r="E211" s="24045"/>
      <c r="F211" s="24220"/>
      <c r="G211" s="336"/>
      <c r="H211" s="1426"/>
      <c r="I211" s="587"/>
      <c r="J211" s="507"/>
      <c r="K211" s="1426"/>
      <c r="L211" s="151"/>
      <c r="M211" s="23997"/>
      <c r="N211" s="270"/>
      <c r="O211" s="1550"/>
      <c r="P211" s="1550"/>
      <c r="AH211" s="1557">
        <v>0</v>
      </c>
    </row>
    <row r="212" spans="1:34" s="1561" customFormat="1" ht="45" hidden="1" customHeight="1">
      <c r="A212" s="1678" t="s">
        <v>260</v>
      </c>
      <c r="B212" s="1678" t="s">
        <v>261</v>
      </c>
      <c r="C212" s="305"/>
      <c r="D212" s="24281"/>
      <c r="E212" s="24045"/>
      <c r="F212" s="24220" t="str">
        <f>INDEX(PT_DIFFERENTIATION_VTAR,MATCH(A212,PT_DIFFERENTIATION_VTAR_ID,0))</f>
        <v/>
      </c>
      <c r="G212" s="24256" t="str">
        <f>INDEX(PT_DIFFERENTIATION_NTAR,MATCH(B212,PT_DIFFERENTIATION_NTAR_ID,0))</f>
        <v/>
      </c>
      <c r="H212" s="1759"/>
      <c r="I212" s="1637"/>
      <c r="J212" s="1671"/>
      <c r="K212" s="1676"/>
      <c r="L212" s="1759" t="s">
        <v>535</v>
      </c>
      <c r="M212" s="23998"/>
      <c r="N212" s="270"/>
      <c r="O212" s="1550"/>
      <c r="P212" s="1550"/>
      <c r="AH212" s="1557">
        <v>0</v>
      </c>
    </row>
    <row r="213" spans="1:34" s="1561" customFormat="1" ht="18.75" hidden="1" customHeight="1">
      <c r="A213" s="1678"/>
      <c r="B213" s="1678"/>
      <c r="C213" s="305" t="s">
        <v>1395</v>
      </c>
      <c r="D213" s="24281"/>
      <c r="E213" s="24045"/>
      <c r="F213" s="24220"/>
      <c r="G213" s="24256"/>
      <c r="H213" s="1426"/>
      <c r="I213" s="587" t="s">
        <v>1394</v>
      </c>
      <c r="J213" s="507"/>
      <c r="K213" s="1426"/>
      <c r="L213" s="151"/>
      <c r="M213" s="1758"/>
      <c r="N213" s="270"/>
      <c r="O213" s="1550"/>
      <c r="P213" s="1550"/>
      <c r="AH213" s="1557">
        <v>0</v>
      </c>
    </row>
    <row r="214" spans="1:34" s="1561" customFormat="1" ht="0.75" hidden="1" customHeight="1">
      <c r="A214" s="1678"/>
      <c r="B214" s="1678"/>
      <c r="C214" s="305" t="s">
        <v>1402</v>
      </c>
      <c r="D214" s="24281"/>
      <c r="E214" s="24045"/>
      <c r="F214" s="24220"/>
      <c r="G214" s="336"/>
      <c r="H214" s="1426"/>
      <c r="I214" s="587"/>
      <c r="J214" s="507"/>
      <c r="K214" s="1426"/>
      <c r="L214" s="151"/>
      <c r="M214" s="277"/>
      <c r="N214" s="270"/>
      <c r="O214" s="1550"/>
      <c r="P214" s="1550"/>
      <c r="AH214" s="1557">
        <v>0</v>
      </c>
    </row>
    <row r="215" spans="1:34" s="1561" customFormat="1" ht="45" hidden="1" customHeight="1">
      <c r="A215" s="1678" t="s">
        <v>267</v>
      </c>
      <c r="B215" s="1678" t="s">
        <v>268</v>
      </c>
      <c r="C215" s="305"/>
      <c r="D215" s="24281"/>
      <c r="E215" s="24045"/>
      <c r="F215" s="2422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256" t="str">
        <f>INDEX(PT_DIFFERENTIATION_NTAR,MATCH(B215,PT_DIFFERENTIATION_NTAR_ID,0))</f>
        <v/>
      </c>
      <c r="H215" s="1759"/>
      <c r="I215" s="1637"/>
      <c r="J215" s="1671"/>
      <c r="K215" s="1676"/>
      <c r="L215" s="1759" t="s">
        <v>535</v>
      </c>
      <c r="M215" s="277"/>
      <c r="N215" s="270"/>
      <c r="O215" s="1550"/>
      <c r="P215" s="1550"/>
      <c r="AH215" s="1557">
        <v>0</v>
      </c>
    </row>
    <row r="216" spans="1:34" s="1561" customFormat="1" ht="18.75" hidden="1" customHeight="1">
      <c r="A216" s="1678"/>
      <c r="B216" s="1678"/>
      <c r="C216" s="305" t="s">
        <v>1395</v>
      </c>
      <c r="D216" s="24281"/>
      <c r="E216" s="24045"/>
      <c r="F216" s="24220"/>
      <c r="G216" s="24256"/>
      <c r="H216" s="1426"/>
      <c r="I216" s="587" t="s">
        <v>1394</v>
      </c>
      <c r="J216" s="507"/>
      <c r="K216" s="1426"/>
      <c r="L216" s="151"/>
      <c r="M216" s="277"/>
      <c r="N216" s="270"/>
      <c r="O216" s="1550"/>
      <c r="P216" s="1550"/>
      <c r="AH216" s="1557">
        <v>0</v>
      </c>
    </row>
    <row r="217" spans="1:34" s="1561" customFormat="1" ht="0.75" hidden="1" customHeight="1">
      <c r="A217" s="1678"/>
      <c r="B217" s="1678"/>
      <c r="C217" s="305" t="s">
        <v>1402</v>
      </c>
      <c r="D217" s="24281"/>
      <c r="E217" s="24045"/>
      <c r="F217" s="24220"/>
      <c r="G217" s="336"/>
      <c r="H217" s="1426"/>
      <c r="I217" s="587"/>
      <c r="J217" s="507"/>
      <c r="K217" s="1426"/>
      <c r="L217" s="151"/>
      <c r="M217" s="277"/>
      <c r="N217" s="270"/>
      <c r="O217" s="1550"/>
      <c r="P217" s="1550"/>
      <c r="AH217" s="1557">
        <v>0</v>
      </c>
    </row>
    <row r="218" spans="1:34" s="1561" customFormat="1" ht="45" hidden="1" customHeight="1">
      <c r="A218" s="1678" t="s">
        <v>273</v>
      </c>
      <c r="B218" s="1678" t="s">
        <v>274</v>
      </c>
      <c r="C218" s="305"/>
      <c r="D218" s="24281"/>
      <c r="E218" s="24045"/>
      <c r="F218" s="2422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256" t="str">
        <f>INDEX(PT_DIFFERENTIATION_NTAR,MATCH(B218,PT_DIFFERENTIATION_NTAR_ID,0))</f>
        <v/>
      </c>
      <c r="H218" s="1759"/>
      <c r="I218" s="1637"/>
      <c r="J218" s="1671"/>
      <c r="K218" s="1676"/>
      <c r="L218" s="1759" t="s">
        <v>535</v>
      </c>
      <c r="M218" s="277"/>
      <c r="N218" s="270"/>
      <c r="O218" s="1550"/>
      <c r="P218" s="1550"/>
      <c r="AH218" s="1557">
        <v>0</v>
      </c>
    </row>
    <row r="219" spans="1:34" s="1561" customFormat="1" ht="18.75" hidden="1" customHeight="1">
      <c r="A219" s="1678"/>
      <c r="B219" s="1678"/>
      <c r="C219" s="305" t="s">
        <v>1395</v>
      </c>
      <c r="D219" s="24281"/>
      <c r="E219" s="24045"/>
      <c r="F219" s="24220"/>
      <c r="G219" s="24256"/>
      <c r="H219" s="1426"/>
      <c r="I219" s="587" t="s">
        <v>1394</v>
      </c>
      <c r="J219" s="507"/>
      <c r="K219" s="1426"/>
      <c r="L219" s="151"/>
      <c r="M219" s="277"/>
      <c r="N219" s="270"/>
      <c r="O219" s="1550"/>
      <c r="P219" s="1550"/>
      <c r="AH219" s="1557">
        <v>0</v>
      </c>
    </row>
    <row r="220" spans="1:34" s="1561" customFormat="1" ht="0.75" hidden="1" customHeight="1">
      <c r="A220" s="1678"/>
      <c r="B220" s="1678"/>
      <c r="C220" s="305" t="s">
        <v>1402</v>
      </c>
      <c r="D220" s="24281"/>
      <c r="E220" s="24045"/>
      <c r="F220" s="24220"/>
      <c r="G220" s="336"/>
      <c r="H220" s="1426"/>
      <c r="I220" s="587"/>
      <c r="J220" s="507"/>
      <c r="K220" s="1426"/>
      <c r="L220" s="151"/>
      <c r="M220" s="277"/>
      <c r="N220" s="270"/>
      <c r="O220" s="1550"/>
      <c r="P220" s="1550"/>
      <c r="AH220" s="1557">
        <v>0</v>
      </c>
    </row>
    <row r="221" spans="1:34" s="1561" customFormat="1" ht="18.75" hidden="1" customHeight="1">
      <c r="A221" s="1678" t="s">
        <v>279</v>
      </c>
      <c r="B221" s="1678" t="s">
        <v>280</v>
      </c>
      <c r="C221" s="305"/>
      <c r="D221" s="24281"/>
      <c r="E221" s="24045"/>
      <c r="F221" s="24220" t="str">
        <f>INDEX(PT_DIFFERENTIATION_VTAR,MATCH(A221,PT_DIFFERENTIATION_VTAR_ID,0))</f>
        <v>Тарифы на услуги по передаче тепловой энергии</v>
      </c>
      <c r="G221" s="24256" t="str">
        <f>INDEX(PT_DIFFERENTIATION_NTAR,MATCH(B221,PT_DIFFERENTIATION_NTAR_ID,0))</f>
        <v/>
      </c>
      <c r="H221" s="1759"/>
      <c r="I221" s="1637"/>
      <c r="J221" s="1671"/>
      <c r="K221" s="1676"/>
      <c r="L221" s="1759" t="s">
        <v>535</v>
      </c>
      <c r="M221" s="277"/>
      <c r="N221" s="270"/>
      <c r="O221" s="1550"/>
      <c r="P221" s="1550"/>
      <c r="AH221" s="1557">
        <v>0</v>
      </c>
    </row>
    <row r="222" spans="1:34" s="1561" customFormat="1" ht="18.75" hidden="1" customHeight="1">
      <c r="A222" s="1678"/>
      <c r="B222" s="1678"/>
      <c r="C222" s="305" t="s">
        <v>1395</v>
      </c>
      <c r="D222" s="24281"/>
      <c r="E222" s="24045"/>
      <c r="F222" s="24220"/>
      <c r="G222" s="24256"/>
      <c r="H222" s="1426"/>
      <c r="I222" s="587" t="s">
        <v>1394</v>
      </c>
      <c r="J222" s="507"/>
      <c r="K222" s="1426"/>
      <c r="L222" s="151"/>
      <c r="M222" s="277"/>
      <c r="N222" s="270"/>
      <c r="O222" s="1550"/>
      <c r="P222" s="1550"/>
      <c r="AH222" s="1557">
        <v>0</v>
      </c>
    </row>
    <row r="223" spans="1:34" s="1561" customFormat="1" ht="0.75" hidden="1" customHeight="1">
      <c r="A223" s="1678"/>
      <c r="B223" s="1678"/>
      <c r="C223" s="305" t="s">
        <v>1402</v>
      </c>
      <c r="D223" s="24281"/>
      <c r="E223" s="24045"/>
      <c r="F223" s="24220"/>
      <c r="G223" s="336"/>
      <c r="H223" s="1426"/>
      <c r="I223" s="587"/>
      <c r="J223" s="507"/>
      <c r="K223" s="1426"/>
      <c r="L223" s="151"/>
      <c r="M223" s="277"/>
      <c r="N223" s="270"/>
      <c r="O223" s="1550"/>
      <c r="P223" s="1550"/>
      <c r="AH223" s="1557">
        <v>0</v>
      </c>
    </row>
    <row r="224" spans="1:34" s="1561" customFormat="1" ht="18.75" hidden="1" customHeight="1">
      <c r="A224" s="1678" t="s">
        <v>285</v>
      </c>
      <c r="B224" s="1678" t="s">
        <v>286</v>
      </c>
      <c r="C224" s="305"/>
      <c r="D224" s="24281"/>
      <c r="E224" s="24045"/>
      <c r="F224" s="24220" t="str">
        <f>INDEX(PT_DIFFERENTIATION_VTAR,MATCH(A224,PT_DIFFERENTIATION_VTAR_ID,0))</f>
        <v>Тарифы на услуги по передаче теплоносителя</v>
      </c>
      <c r="G224" s="24256" t="str">
        <f>INDEX(PT_DIFFERENTIATION_NTAR,MATCH(B224,PT_DIFFERENTIATION_NTAR_ID,0))</f>
        <v/>
      </c>
      <c r="H224" s="1759"/>
      <c r="I224" s="1637"/>
      <c r="J224" s="1671"/>
      <c r="K224" s="1676"/>
      <c r="L224" s="1759" t="s">
        <v>535</v>
      </c>
      <c r="M224" s="277"/>
      <c r="N224" s="270"/>
      <c r="O224" s="1550"/>
      <c r="P224" s="1550"/>
      <c r="AH224" s="1557">
        <v>0</v>
      </c>
    </row>
    <row r="225" spans="1:34" s="1561" customFormat="1" ht="18.75" hidden="1" customHeight="1">
      <c r="A225" s="1678"/>
      <c r="B225" s="1678"/>
      <c r="C225" s="305" t="s">
        <v>1395</v>
      </c>
      <c r="D225" s="24281"/>
      <c r="E225" s="24045"/>
      <c r="F225" s="24220"/>
      <c r="G225" s="24256"/>
      <c r="H225" s="1426"/>
      <c r="I225" s="587" t="s">
        <v>1394</v>
      </c>
      <c r="J225" s="507"/>
      <c r="K225" s="1426"/>
      <c r="L225" s="151"/>
      <c r="M225" s="277"/>
      <c r="N225" s="270"/>
      <c r="O225" s="1550"/>
      <c r="P225" s="1550"/>
      <c r="AH225" s="1557">
        <v>0</v>
      </c>
    </row>
    <row r="226" spans="1:34" s="1561" customFormat="1" ht="0.75" hidden="1" customHeight="1">
      <c r="A226" s="1678"/>
      <c r="B226" s="1678"/>
      <c r="C226" s="305" t="s">
        <v>1402</v>
      </c>
      <c r="D226" s="24281"/>
      <c r="E226" s="24045"/>
      <c r="F226" s="24220"/>
      <c r="G226" s="336"/>
      <c r="H226" s="1426"/>
      <c r="I226" s="587"/>
      <c r="J226" s="507"/>
      <c r="K226" s="1426"/>
      <c r="L226" s="151"/>
      <c r="M226" s="277"/>
      <c r="N226" s="270"/>
      <c r="O226" s="1550"/>
      <c r="P226" s="1550"/>
      <c r="AH226" s="1557">
        <v>0</v>
      </c>
    </row>
    <row r="227" spans="1:34" s="1561" customFormat="1" ht="18.75" hidden="1" customHeight="1">
      <c r="A227" s="1678" t="s">
        <v>291</v>
      </c>
      <c r="B227" s="1678" t="s">
        <v>292</v>
      </c>
      <c r="C227" s="305"/>
      <c r="D227" s="24281"/>
      <c r="E227" s="24045"/>
      <c r="F227" s="2422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256" t="str">
        <f>INDEX(PT_DIFFERENTIATION_NTAR,MATCH(B227,PT_DIFFERENTIATION_NTAR_ID,0))</f>
        <v/>
      </c>
      <c r="H227" s="1759"/>
      <c r="I227" s="1637"/>
      <c r="J227" s="1671"/>
      <c r="K227" s="1676"/>
      <c r="L227" s="1759" t="s">
        <v>535</v>
      </c>
      <c r="M227" s="277"/>
      <c r="N227" s="270"/>
      <c r="O227" s="1550"/>
      <c r="P227" s="1550"/>
      <c r="AH227" s="1557">
        <v>0</v>
      </c>
    </row>
    <row r="228" spans="1:34" s="1561" customFormat="1" ht="18.75" hidden="1" customHeight="1">
      <c r="A228" s="1678"/>
      <c r="B228" s="1678"/>
      <c r="C228" s="305" t="s">
        <v>1395</v>
      </c>
      <c r="D228" s="24281"/>
      <c r="E228" s="24045"/>
      <c r="F228" s="24220"/>
      <c r="G228" s="24256"/>
      <c r="H228" s="1426"/>
      <c r="I228" s="587" t="s">
        <v>1394</v>
      </c>
      <c r="J228" s="507"/>
      <c r="K228" s="1426"/>
      <c r="L228" s="151"/>
      <c r="M228" s="277"/>
      <c r="N228" s="270"/>
      <c r="O228" s="1550"/>
      <c r="P228" s="1550"/>
      <c r="AH228" s="1557">
        <v>0</v>
      </c>
    </row>
    <row r="229" spans="1:34" s="1561" customFormat="1" ht="0.75" hidden="1" customHeight="1">
      <c r="A229" s="1678"/>
      <c r="B229" s="1678"/>
      <c r="C229" s="305" t="s">
        <v>1402</v>
      </c>
      <c r="D229" s="24281"/>
      <c r="E229" s="24045"/>
      <c r="F229" s="24220"/>
      <c r="G229" s="336"/>
      <c r="H229" s="1426"/>
      <c r="I229" s="587"/>
      <c r="J229" s="507"/>
      <c r="K229" s="1426"/>
      <c r="L229" s="151"/>
      <c r="M229" s="277"/>
      <c r="N229" s="270"/>
      <c r="O229" s="1550"/>
      <c r="P229" s="1550"/>
      <c r="AH229" s="1557">
        <v>0</v>
      </c>
    </row>
    <row r="230" spans="1:34" s="1561" customFormat="1" ht="18.75" hidden="1" customHeight="1">
      <c r="A230" s="1678" t="s">
        <v>297</v>
      </c>
      <c r="B230" s="1678" t="s">
        <v>298</v>
      </c>
      <c r="C230" s="305"/>
      <c r="D230" s="24281"/>
      <c r="E230" s="24045"/>
      <c r="F230" s="24220" t="str">
        <f>INDEX(PT_DIFFERENTIATION_VTAR,MATCH(A230,PT_DIFFERENTIATION_VTAR_ID,0))</f>
        <v>Плата за подключение (технологическое присоединение) к системе теплоснабжения</v>
      </c>
      <c r="G230" s="24256" t="str">
        <f>INDEX(PT_DIFFERENTIATION_NTAR,MATCH(B230,PT_DIFFERENTIATION_NTAR_ID,0))</f>
        <v/>
      </c>
      <c r="H230" s="1759"/>
      <c r="I230" s="1637"/>
      <c r="J230" s="1671"/>
      <c r="K230" s="1676"/>
      <c r="L230" s="1759" t="s">
        <v>535</v>
      </c>
      <c r="M230" s="277"/>
      <c r="N230" s="270"/>
      <c r="O230" s="1550"/>
      <c r="P230" s="1550"/>
      <c r="AH230" s="1557">
        <v>0</v>
      </c>
    </row>
    <row r="231" spans="1:34" s="1561" customFormat="1" ht="18.75" hidden="1" customHeight="1">
      <c r="A231" s="1678"/>
      <c r="B231" s="1678"/>
      <c r="C231" s="305" t="s">
        <v>1395</v>
      </c>
      <c r="D231" s="24281"/>
      <c r="E231" s="24045"/>
      <c r="F231" s="24220"/>
      <c r="G231" s="24256"/>
      <c r="H231" s="1426"/>
      <c r="I231" s="587" t="s">
        <v>1394</v>
      </c>
      <c r="J231" s="507"/>
      <c r="K231" s="1426"/>
      <c r="L231" s="151"/>
      <c r="M231" s="277"/>
      <c r="N231" s="270"/>
      <c r="O231" s="1550"/>
      <c r="P231" s="1550"/>
      <c r="AH231" s="1557">
        <v>0</v>
      </c>
    </row>
    <row r="232" spans="1:34" s="1561" customFormat="1" ht="0.75" hidden="1" customHeight="1">
      <c r="A232" s="1678"/>
      <c r="B232" s="1678"/>
      <c r="C232" s="305" t="s">
        <v>1402</v>
      </c>
      <c r="D232" s="24281"/>
      <c r="E232" s="24045"/>
      <c r="F232" s="24220"/>
      <c r="G232" s="336"/>
      <c r="H232" s="1426"/>
      <c r="I232" s="587"/>
      <c r="J232" s="507"/>
      <c r="K232" s="1426"/>
      <c r="L232" s="151"/>
      <c r="M232" s="277"/>
      <c r="N232" s="270"/>
      <c r="O232" s="1550"/>
      <c r="P232" s="1550"/>
      <c r="AH232" s="1557">
        <v>0</v>
      </c>
    </row>
    <row r="233" spans="1:34" s="1561" customFormat="1" ht="18.75" hidden="1" customHeight="1">
      <c r="A233" s="1678" t="s">
        <v>303</v>
      </c>
      <c r="B233" s="1678" t="s">
        <v>304</v>
      </c>
      <c r="C233" s="305"/>
      <c r="D233" s="24281"/>
      <c r="E233" s="24045"/>
      <c r="F233" s="24220" t="str">
        <f>INDEX(PT_DIFFERENTIATION_VTAR,MATCH(A233,PT_DIFFERENTIATION_VTAR_ID,0))</f>
        <v>Плата за подключение (технологическое присоединение) к системе теплоснабжения (индивидуальная)</v>
      </c>
      <c r="G233" s="24256" t="str">
        <f>INDEX(PT_DIFFERENTIATION_NTAR,MATCH(B233,PT_DIFFERENTIATION_NTAR_ID,0))</f>
        <v/>
      </c>
      <c r="H233" s="1883"/>
      <c r="I233" s="1637"/>
      <c r="J233" s="1671"/>
      <c r="K233" s="1676"/>
      <c r="L233" s="1883" t="s">
        <v>535</v>
      </c>
      <c r="M233" s="277"/>
      <c r="N233" s="270"/>
      <c r="O233" s="1550"/>
      <c r="P233" s="1550"/>
      <c r="AH233" s="1557">
        <v>0</v>
      </c>
    </row>
    <row r="234" spans="1:34" s="1561" customFormat="1" ht="18.75" hidden="1" customHeight="1">
      <c r="A234" s="1678"/>
      <c r="B234" s="1678"/>
      <c r="C234" s="305" t="s">
        <v>1395</v>
      </c>
      <c r="D234" s="24281"/>
      <c r="E234" s="24045"/>
      <c r="F234" s="24220"/>
      <c r="G234" s="24256"/>
      <c r="H234" s="1426"/>
      <c r="I234" s="587" t="s">
        <v>1394</v>
      </c>
      <c r="J234" s="507"/>
      <c r="K234" s="1426"/>
      <c r="L234" s="151"/>
      <c r="M234" s="277"/>
      <c r="N234" s="270"/>
      <c r="O234" s="1550"/>
      <c r="P234" s="1550"/>
      <c r="AH234" s="1557">
        <v>0</v>
      </c>
    </row>
    <row r="235" spans="1:34" s="1561" customFormat="1" ht="0.75" hidden="1" customHeight="1">
      <c r="A235" s="1678"/>
      <c r="B235" s="1678"/>
      <c r="C235" s="305" t="s">
        <v>1402</v>
      </c>
      <c r="D235" s="24281"/>
      <c r="E235" s="24045"/>
      <c r="F235" s="24220"/>
      <c r="G235" s="336"/>
      <c r="H235" s="1426"/>
      <c r="I235" s="587"/>
      <c r="J235" s="507"/>
      <c r="K235" s="1426"/>
      <c r="L235" s="151"/>
      <c r="M235" s="277"/>
      <c r="N235" s="270"/>
      <c r="O235" s="1550"/>
      <c r="P235" s="1550"/>
      <c r="AH235" s="1557">
        <v>0</v>
      </c>
    </row>
    <row r="236" spans="1:34" s="1561" customFormat="1" ht="18.75" hidden="1" customHeight="1">
      <c r="A236" s="1678" t="s">
        <v>323</v>
      </c>
      <c r="B236" s="1678" t="s">
        <v>324</v>
      </c>
      <c r="C236" s="305"/>
      <c r="D236" s="24281"/>
      <c r="E236" s="24045"/>
      <c r="F236" s="24220" t="str">
        <f>INDEX(PT_DIFFERENTIATION_VTAR,MATCH(A236,PT_DIFFERENTIATION_VTAR_ID,0))</f>
        <v>Тариф на питьевую воду (питьевое водоснабжение)</v>
      </c>
      <c r="G236" s="24256" t="str">
        <f>INDEX(PT_DIFFERENTIATION_NTAR,MATCH(B236,PT_DIFFERENTIATION_NTAR_ID,0))</f>
        <v/>
      </c>
      <c r="H236" s="1759"/>
      <c r="I236" s="1637"/>
      <c r="J236" s="1671"/>
      <c r="K236" s="1676"/>
      <c r="L236" s="1759" t="s">
        <v>535</v>
      </c>
      <c r="M236" s="277"/>
      <c r="N236" s="270"/>
      <c r="O236" s="1550"/>
      <c r="P236" s="1550"/>
      <c r="AH236" s="1557">
        <v>0</v>
      </c>
    </row>
    <row r="237" spans="1:34" s="1561" customFormat="1" ht="18.75" hidden="1" customHeight="1">
      <c r="A237" s="1678"/>
      <c r="B237" s="1678"/>
      <c r="C237" s="305" t="s">
        <v>1395</v>
      </c>
      <c r="D237" s="24281"/>
      <c r="E237" s="24045"/>
      <c r="F237" s="24220"/>
      <c r="G237" s="24256"/>
      <c r="H237" s="1426"/>
      <c r="I237" s="587" t="s">
        <v>1394</v>
      </c>
      <c r="J237" s="507"/>
      <c r="K237" s="1426"/>
      <c r="L237" s="151"/>
      <c r="M237" s="277"/>
      <c r="N237" s="270"/>
      <c r="O237" s="1550"/>
      <c r="P237" s="1550"/>
      <c r="AH237" s="1557">
        <v>0</v>
      </c>
    </row>
    <row r="238" spans="1:34" s="1561" customFormat="1" ht="0.75" hidden="1" customHeight="1">
      <c r="A238" s="1678"/>
      <c r="B238" s="1678"/>
      <c r="C238" s="305" t="s">
        <v>1402</v>
      </c>
      <c r="D238" s="24281"/>
      <c r="E238" s="24045"/>
      <c r="F238" s="24220"/>
      <c r="G238" s="336"/>
      <c r="H238" s="1426"/>
      <c r="I238" s="587"/>
      <c r="J238" s="507"/>
      <c r="K238" s="1426"/>
      <c r="L238" s="151"/>
      <c r="M238" s="277"/>
      <c r="N238" s="270"/>
      <c r="O238" s="1550"/>
      <c r="P238" s="1550"/>
      <c r="AH238" s="1557">
        <v>0</v>
      </c>
    </row>
    <row r="239" spans="1:34" s="1561" customFormat="1" ht="18.75" hidden="1" customHeight="1">
      <c r="A239" s="1678" t="s">
        <v>328</v>
      </c>
      <c r="B239" s="1678" t="s">
        <v>329</v>
      </c>
      <c r="C239" s="305"/>
      <c r="D239" s="24281"/>
      <c r="E239" s="24045"/>
      <c r="F239" s="24220" t="str">
        <f>INDEX(PT_DIFFERENTIATION_VTAR,MATCH(A239,PT_DIFFERENTIATION_VTAR_ID,0))</f>
        <v>Тариф на техническую воду</v>
      </c>
      <c r="G239" s="24256" t="str">
        <f>INDEX(PT_DIFFERENTIATION_NTAR,MATCH(B239,PT_DIFFERENTIATION_NTAR_ID,0))</f>
        <v/>
      </c>
      <c r="H239" s="1759"/>
      <c r="I239" s="1637"/>
      <c r="J239" s="1671"/>
      <c r="K239" s="1676"/>
      <c r="L239" s="1759" t="s">
        <v>535</v>
      </c>
      <c r="M239" s="277"/>
      <c r="N239" s="270"/>
      <c r="O239" s="1550"/>
      <c r="P239" s="1550"/>
      <c r="AH239" s="1557">
        <v>0</v>
      </c>
    </row>
    <row r="240" spans="1:34" s="1561" customFormat="1" ht="18.75" hidden="1" customHeight="1">
      <c r="A240" s="1678"/>
      <c r="B240" s="1678"/>
      <c r="C240" s="305" t="s">
        <v>1395</v>
      </c>
      <c r="D240" s="24281"/>
      <c r="E240" s="24045"/>
      <c r="F240" s="24220"/>
      <c r="G240" s="24256"/>
      <c r="H240" s="1426"/>
      <c r="I240" s="587" t="s">
        <v>1394</v>
      </c>
      <c r="J240" s="507"/>
      <c r="K240" s="1426"/>
      <c r="L240" s="151"/>
      <c r="M240" s="277"/>
      <c r="N240" s="270"/>
      <c r="O240" s="1550"/>
      <c r="P240" s="1550"/>
      <c r="AH240" s="1557">
        <v>0</v>
      </c>
    </row>
    <row r="241" spans="1:34" s="1561" customFormat="1" ht="0.75" hidden="1" customHeight="1">
      <c r="A241" s="1678"/>
      <c r="B241" s="1678"/>
      <c r="C241" s="305" t="s">
        <v>1402</v>
      </c>
      <c r="D241" s="24281"/>
      <c r="E241" s="24045"/>
      <c r="F241" s="24220"/>
      <c r="G241" s="336"/>
      <c r="H241" s="1426"/>
      <c r="I241" s="587"/>
      <c r="J241" s="507"/>
      <c r="K241" s="1426"/>
      <c r="L241" s="151"/>
      <c r="M241" s="277"/>
      <c r="N241" s="270"/>
      <c r="O241" s="1550"/>
      <c r="P241" s="1550"/>
      <c r="AH241" s="1557">
        <v>0</v>
      </c>
    </row>
    <row r="242" spans="1:34" s="1561" customFormat="1" ht="18.75" hidden="1" customHeight="1">
      <c r="A242" s="1678" t="s">
        <v>333</v>
      </c>
      <c r="B242" s="1678" t="s">
        <v>334</v>
      </c>
      <c r="C242" s="305"/>
      <c r="D242" s="24281"/>
      <c r="E242" s="24045"/>
      <c r="F242" s="24220" t="str">
        <f>INDEX(PT_DIFFERENTIATION_VTAR,MATCH(A242,PT_DIFFERENTIATION_VTAR_ID,0))</f>
        <v>Тариф на транспортировку воды</v>
      </c>
      <c r="G242" s="24256" t="str">
        <f>INDEX(PT_DIFFERENTIATION_NTAR,MATCH(B242,PT_DIFFERENTIATION_NTAR_ID,0))</f>
        <v/>
      </c>
      <c r="H242" s="1759"/>
      <c r="I242" s="1637"/>
      <c r="J242" s="1671"/>
      <c r="K242" s="1676"/>
      <c r="L242" s="1759" t="s">
        <v>535</v>
      </c>
      <c r="M242" s="277"/>
      <c r="N242" s="270"/>
      <c r="O242" s="1550"/>
      <c r="P242" s="1550"/>
      <c r="AH242" s="1557">
        <v>0</v>
      </c>
    </row>
    <row r="243" spans="1:34" s="1561" customFormat="1" ht="18.75" hidden="1" customHeight="1">
      <c r="A243" s="1678"/>
      <c r="B243" s="1678"/>
      <c r="C243" s="305" t="s">
        <v>1395</v>
      </c>
      <c r="D243" s="24281"/>
      <c r="E243" s="24045"/>
      <c r="F243" s="24220"/>
      <c r="G243" s="24256"/>
      <c r="H243" s="1426"/>
      <c r="I243" s="587" t="s">
        <v>1394</v>
      </c>
      <c r="J243" s="507"/>
      <c r="K243" s="1426"/>
      <c r="L243" s="151"/>
      <c r="M243" s="277"/>
      <c r="N243" s="270"/>
      <c r="O243" s="1550"/>
      <c r="P243" s="1550"/>
      <c r="AH243" s="1557">
        <v>0</v>
      </c>
    </row>
    <row r="244" spans="1:34" s="1561" customFormat="1" ht="0.75" hidden="1" customHeight="1">
      <c r="A244" s="1678"/>
      <c r="B244" s="1678"/>
      <c r="C244" s="305" t="s">
        <v>1402</v>
      </c>
      <c r="D244" s="24281"/>
      <c r="E244" s="24045"/>
      <c r="F244" s="24220"/>
      <c r="G244" s="336"/>
      <c r="H244" s="1426"/>
      <c r="I244" s="587"/>
      <c r="J244" s="507"/>
      <c r="K244" s="1426"/>
      <c r="L244" s="151"/>
      <c r="M244" s="277"/>
      <c r="N244" s="270"/>
      <c r="O244" s="1550"/>
      <c r="P244" s="1550"/>
      <c r="AH244" s="1557">
        <v>0</v>
      </c>
    </row>
    <row r="245" spans="1:34" s="1561" customFormat="1" ht="18.75" hidden="1" customHeight="1">
      <c r="A245" s="1678" t="s">
        <v>338</v>
      </c>
      <c r="B245" s="1678" t="s">
        <v>339</v>
      </c>
      <c r="C245" s="305"/>
      <c r="D245" s="24281"/>
      <c r="E245" s="24045"/>
      <c r="F245" s="24220" t="str">
        <f>INDEX(PT_DIFFERENTIATION_VTAR,MATCH(A245,PT_DIFFERENTIATION_VTAR_ID,0))</f>
        <v>Тариф на подвоз воды</v>
      </c>
      <c r="G245" s="24256" t="str">
        <f>INDEX(PT_DIFFERENTIATION_NTAR,MATCH(B245,PT_DIFFERENTIATION_NTAR_ID,0))</f>
        <v/>
      </c>
      <c r="H245" s="1759"/>
      <c r="I245" s="1637"/>
      <c r="J245" s="1671"/>
      <c r="K245" s="1676"/>
      <c r="L245" s="1759" t="s">
        <v>535</v>
      </c>
      <c r="M245" s="277"/>
      <c r="N245" s="270"/>
      <c r="O245" s="1550"/>
      <c r="P245" s="1550"/>
      <c r="AH245" s="1557">
        <v>0</v>
      </c>
    </row>
    <row r="246" spans="1:34" s="1561" customFormat="1" ht="18.75" hidden="1" customHeight="1">
      <c r="A246" s="1678"/>
      <c r="B246" s="1678"/>
      <c r="C246" s="305" t="s">
        <v>1395</v>
      </c>
      <c r="D246" s="24281"/>
      <c r="E246" s="24045"/>
      <c r="F246" s="24220"/>
      <c r="G246" s="24256"/>
      <c r="H246" s="1426"/>
      <c r="I246" s="587" t="s">
        <v>1394</v>
      </c>
      <c r="J246" s="507"/>
      <c r="K246" s="1426"/>
      <c r="L246" s="151"/>
      <c r="M246" s="277"/>
      <c r="N246" s="270"/>
      <c r="O246" s="1550"/>
      <c r="P246" s="1550"/>
      <c r="AH246" s="1557">
        <v>0</v>
      </c>
    </row>
    <row r="247" spans="1:34" s="1561" customFormat="1" ht="0.75" hidden="1" customHeight="1">
      <c r="A247" s="1678"/>
      <c r="B247" s="1678"/>
      <c r="C247" s="305" t="s">
        <v>1402</v>
      </c>
      <c r="D247" s="24281"/>
      <c r="E247" s="24045"/>
      <c r="F247" s="24220"/>
      <c r="G247" s="336"/>
      <c r="H247" s="1426"/>
      <c r="I247" s="587"/>
      <c r="J247" s="507"/>
      <c r="K247" s="1426"/>
      <c r="L247" s="151"/>
      <c r="M247" s="277"/>
      <c r="N247" s="270"/>
      <c r="O247" s="1550"/>
      <c r="P247" s="1550"/>
      <c r="AH247" s="1557">
        <v>0</v>
      </c>
    </row>
    <row r="248" spans="1:34" s="1561" customFormat="1" ht="18.75" hidden="1" customHeight="1">
      <c r="A248" s="1678" t="s">
        <v>343</v>
      </c>
      <c r="B248" s="1678" t="s">
        <v>344</v>
      </c>
      <c r="C248" s="305"/>
      <c r="D248" s="24281"/>
      <c r="E248" s="24045"/>
      <c r="F248" s="2422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256" t="str">
        <f>INDEX(PT_DIFFERENTIATION_NTAR,MATCH(B248,PT_DIFFERENTIATION_NTAR_ID,0))</f>
        <v/>
      </c>
      <c r="H248" s="1759"/>
      <c r="I248" s="1637"/>
      <c r="J248" s="1671"/>
      <c r="K248" s="1676"/>
      <c r="L248" s="1759" t="s">
        <v>535</v>
      </c>
      <c r="M248" s="277"/>
      <c r="N248" s="270"/>
      <c r="O248" s="1550"/>
      <c r="P248" s="1550"/>
      <c r="AH248" s="1557">
        <v>0</v>
      </c>
    </row>
    <row r="249" spans="1:34" s="1561" customFormat="1" ht="18.75" hidden="1" customHeight="1">
      <c r="A249" s="1678"/>
      <c r="B249" s="1678"/>
      <c r="C249" s="305" t="s">
        <v>1395</v>
      </c>
      <c r="D249" s="24281"/>
      <c r="E249" s="24045"/>
      <c r="F249" s="24220"/>
      <c r="G249" s="24256"/>
      <c r="H249" s="1426"/>
      <c r="I249" s="587" t="s">
        <v>1394</v>
      </c>
      <c r="J249" s="507"/>
      <c r="K249" s="1426"/>
      <c r="L249" s="151"/>
      <c r="M249" s="277"/>
      <c r="N249" s="270"/>
      <c r="O249" s="1550"/>
      <c r="P249" s="1550"/>
      <c r="AH249" s="1557">
        <v>0</v>
      </c>
    </row>
    <row r="250" spans="1:34" s="1561" customFormat="1" ht="0.75" hidden="1" customHeight="1">
      <c r="A250" s="1678"/>
      <c r="B250" s="1678"/>
      <c r="C250" s="305" t="s">
        <v>1402</v>
      </c>
      <c r="D250" s="24281"/>
      <c r="E250" s="24045"/>
      <c r="F250" s="24220"/>
      <c r="G250" s="336"/>
      <c r="H250" s="1426"/>
      <c r="I250" s="587"/>
      <c r="J250" s="507"/>
      <c r="K250" s="1426"/>
      <c r="L250" s="151"/>
      <c r="M250" s="277"/>
      <c r="N250" s="270"/>
      <c r="O250" s="1550"/>
      <c r="P250" s="1550"/>
      <c r="AH250" s="1557">
        <v>0</v>
      </c>
    </row>
    <row r="251" spans="1:34" s="1561" customFormat="1" ht="18.75" hidden="1" customHeight="1">
      <c r="A251" s="1678" t="s">
        <v>351</v>
      </c>
      <c r="B251" s="1678" t="s">
        <v>352</v>
      </c>
      <c r="C251" s="305"/>
      <c r="D251" s="24281"/>
      <c r="E251" s="24045"/>
      <c r="F251" s="24220" t="str">
        <f>INDEX(PT_DIFFERENTIATION_VTAR,MATCH(A251,PT_DIFFERENTIATION_VTAR_ID,0))</f>
        <v>Тариф на горячую воду (горячее водоснабжение)</v>
      </c>
      <c r="G251" s="24256" t="str">
        <f>INDEX(PT_DIFFERENTIATION_NTAR,MATCH(B251,PT_DIFFERENTIATION_NTAR_ID,0))</f>
        <v>Тариф на горячую воду с использованием закрытой системы горячего водоснабжения</v>
      </c>
      <c r="H251" s="1759"/>
      <c r="I251" s="1637"/>
      <c r="J251" s="1671"/>
      <c r="K251" s="1676"/>
      <c r="L251" s="1759" t="s">
        <v>535</v>
      </c>
      <c r="M251" s="277"/>
      <c r="N251" s="270"/>
      <c r="O251" s="1550"/>
      <c r="P251" s="1550"/>
      <c r="AH251" s="1557">
        <v>0</v>
      </c>
    </row>
    <row r="252" spans="1:34" s="1561" customFormat="1" ht="18.75" hidden="1" customHeight="1">
      <c r="A252" s="1678"/>
      <c r="B252" s="1678"/>
      <c r="C252" s="305" t="s">
        <v>1395</v>
      </c>
      <c r="D252" s="24281"/>
      <c r="E252" s="24045"/>
      <c r="F252" s="24220"/>
      <c r="G252" s="24256"/>
      <c r="H252" s="1426"/>
      <c r="I252" s="587" t="s">
        <v>1394</v>
      </c>
      <c r="J252" s="507"/>
      <c r="K252" s="1426"/>
      <c r="L252" s="151"/>
      <c r="M252" s="277"/>
      <c r="N252" s="270"/>
      <c r="O252" s="1550"/>
      <c r="P252" s="1550"/>
      <c r="AH252" s="1557">
        <v>0</v>
      </c>
    </row>
    <row r="253" spans="1:34" s="1561" customFormat="1" ht="0.75" hidden="1" customHeight="1">
      <c r="A253" s="1678"/>
      <c r="B253" s="1678"/>
      <c r="C253" s="305" t="s">
        <v>1402</v>
      </c>
      <c r="D253" s="24281"/>
      <c r="E253" s="24045"/>
      <c r="F253" s="24220"/>
      <c r="G253" s="336"/>
      <c r="H253" s="1426"/>
      <c r="I253" s="587"/>
      <c r="J253" s="507"/>
      <c r="K253" s="1426"/>
      <c r="L253" s="151"/>
      <c r="M253" s="277"/>
      <c r="N253" s="270"/>
      <c r="O253" s="1550"/>
      <c r="P253" s="1550"/>
      <c r="AH253" s="1557">
        <v>0</v>
      </c>
    </row>
    <row r="254" spans="1:34" s="1561" customFormat="1" ht="18.75" hidden="1" customHeight="1">
      <c r="A254" s="1678" t="s">
        <v>484</v>
      </c>
      <c r="B254" s="1678" t="s">
        <v>485</v>
      </c>
      <c r="C254" s="305"/>
      <c r="D254" s="24281"/>
      <c r="E254" s="24045"/>
      <c r="F254" s="24220" t="str">
        <f>INDEX(PT_DIFFERENTIATION_VTAR,MATCH(A254,PT_DIFFERENTIATION_VTAR_ID,0))</f>
        <v>Тариф на транспортировку горячей воды</v>
      </c>
      <c r="G254" s="24256" t="str">
        <f>INDEX(PT_DIFFERENTIATION_NTAR,MATCH(B254,PT_DIFFERENTIATION_NTAR_ID,0))</f>
        <v/>
      </c>
      <c r="H254" s="1759"/>
      <c r="I254" s="1637"/>
      <c r="J254" s="1671"/>
      <c r="K254" s="1676"/>
      <c r="L254" s="1759" t="s">
        <v>535</v>
      </c>
      <c r="M254" s="277"/>
      <c r="N254" s="270"/>
      <c r="O254" s="1550"/>
      <c r="P254" s="1550"/>
      <c r="AH254" s="1557">
        <v>0</v>
      </c>
    </row>
    <row r="255" spans="1:34" s="1561" customFormat="1" ht="18.75" hidden="1" customHeight="1">
      <c r="A255" s="1678"/>
      <c r="B255" s="1678"/>
      <c r="C255" s="305" t="s">
        <v>1395</v>
      </c>
      <c r="D255" s="24281"/>
      <c r="E255" s="24045"/>
      <c r="F255" s="24220"/>
      <c r="G255" s="24256"/>
      <c r="H255" s="1426"/>
      <c r="I255" s="587" t="s">
        <v>1394</v>
      </c>
      <c r="J255" s="507"/>
      <c r="K255" s="1426"/>
      <c r="L255" s="151"/>
      <c r="M255" s="277"/>
      <c r="N255" s="270"/>
      <c r="O255" s="1550"/>
      <c r="P255" s="1550"/>
      <c r="AH255" s="1557">
        <v>0</v>
      </c>
    </row>
    <row r="256" spans="1:34" s="1561" customFormat="1" ht="0.75" hidden="1" customHeight="1">
      <c r="A256" s="1678"/>
      <c r="B256" s="1678"/>
      <c r="C256" s="305" t="s">
        <v>1402</v>
      </c>
      <c r="D256" s="24281"/>
      <c r="E256" s="24045"/>
      <c r="F256" s="24220"/>
      <c r="G256" s="336"/>
      <c r="H256" s="1426"/>
      <c r="I256" s="587"/>
      <c r="J256" s="507"/>
      <c r="K256" s="1426"/>
      <c r="L256" s="151"/>
      <c r="M256" s="277"/>
      <c r="N256" s="270"/>
      <c r="O256" s="1550"/>
      <c r="P256" s="1550"/>
      <c r="AH256" s="1557">
        <v>0</v>
      </c>
    </row>
    <row r="257" spans="1:34" s="1561" customFormat="1" ht="18.75" hidden="1" customHeight="1">
      <c r="A257" s="1678" t="s">
        <v>489</v>
      </c>
      <c r="B257" s="1678" t="s">
        <v>490</v>
      </c>
      <c r="C257" s="305"/>
      <c r="D257" s="24281"/>
      <c r="E257" s="24045"/>
      <c r="F257" s="2422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256" t="str">
        <f>INDEX(PT_DIFFERENTIATION_NTAR,MATCH(B257,PT_DIFFERENTIATION_NTAR_ID,0))</f>
        <v/>
      </c>
      <c r="H257" s="1759"/>
      <c r="I257" s="1637"/>
      <c r="J257" s="1671"/>
      <c r="K257" s="1676"/>
      <c r="L257" s="1759" t="s">
        <v>535</v>
      </c>
      <c r="M257" s="277"/>
      <c r="N257" s="270"/>
      <c r="O257" s="1550"/>
      <c r="P257" s="1550"/>
      <c r="AH257" s="1557">
        <v>0</v>
      </c>
    </row>
    <row r="258" spans="1:34" s="1561" customFormat="1" ht="18.75" hidden="1" customHeight="1">
      <c r="A258" s="1678"/>
      <c r="B258" s="1678"/>
      <c r="C258" s="305" t="s">
        <v>1395</v>
      </c>
      <c r="D258" s="24281"/>
      <c r="E258" s="24045"/>
      <c r="F258" s="24220"/>
      <c r="G258" s="24256"/>
      <c r="H258" s="1426"/>
      <c r="I258" s="587" t="s">
        <v>1394</v>
      </c>
      <c r="J258" s="507"/>
      <c r="K258" s="1426"/>
      <c r="L258" s="151"/>
      <c r="M258" s="277"/>
      <c r="N258" s="270"/>
      <c r="O258" s="1550"/>
      <c r="P258" s="1550"/>
      <c r="AH258" s="1557">
        <v>0</v>
      </c>
    </row>
    <row r="259" spans="1:34" s="1561" customFormat="1" ht="0.75" hidden="1" customHeight="1">
      <c r="A259" s="1678"/>
      <c r="B259" s="1678"/>
      <c r="C259" s="305" t="s">
        <v>1402</v>
      </c>
      <c r="D259" s="24281"/>
      <c r="E259" s="24045"/>
      <c r="F259" s="24220"/>
      <c r="G259" s="336"/>
      <c r="H259" s="1426"/>
      <c r="I259" s="587"/>
      <c r="J259" s="507"/>
      <c r="K259" s="1426"/>
      <c r="L259" s="151"/>
      <c r="M259" s="277"/>
      <c r="N259" s="270"/>
      <c r="O259" s="1550"/>
      <c r="P259" s="1550"/>
      <c r="AH259" s="1557">
        <v>0</v>
      </c>
    </row>
    <row r="260" spans="1:34" s="1561" customFormat="1" ht="18.75" hidden="1" customHeight="1">
      <c r="A260" s="1678" t="s">
        <v>494</v>
      </c>
      <c r="B260" s="1678" t="s">
        <v>495</v>
      </c>
      <c r="C260" s="305"/>
      <c r="D260" s="24281"/>
      <c r="E260" s="24045"/>
      <c r="F260" s="24220" t="str">
        <f>INDEX(PT_DIFFERENTIATION_VTAR,MATCH(A260,PT_DIFFERENTIATION_VTAR_ID,0))</f>
        <v>Тариф на водоотведение</v>
      </c>
      <c r="G260" s="24256" t="str">
        <f>INDEX(PT_DIFFERENTIATION_NTAR,MATCH(B260,PT_DIFFERENTIATION_NTAR_ID,0))</f>
        <v/>
      </c>
      <c r="H260" s="1759"/>
      <c r="I260" s="1637"/>
      <c r="J260" s="1671"/>
      <c r="K260" s="1676"/>
      <c r="L260" s="1759" t="s">
        <v>535</v>
      </c>
      <c r="M260" s="277"/>
      <c r="N260" s="270"/>
      <c r="O260" s="1550"/>
      <c r="P260" s="1550"/>
      <c r="AH260" s="1557">
        <v>0</v>
      </c>
    </row>
    <row r="261" spans="1:34" s="1561" customFormat="1" ht="18.75" hidden="1" customHeight="1">
      <c r="A261" s="1678"/>
      <c r="B261" s="1678"/>
      <c r="C261" s="305" t="s">
        <v>1395</v>
      </c>
      <c r="D261" s="24281"/>
      <c r="E261" s="24045"/>
      <c r="F261" s="24220"/>
      <c r="G261" s="24256"/>
      <c r="H261" s="1426"/>
      <c r="I261" s="587" t="s">
        <v>1394</v>
      </c>
      <c r="J261" s="507"/>
      <c r="K261" s="1426"/>
      <c r="L261" s="151"/>
      <c r="M261" s="277"/>
      <c r="N261" s="270"/>
      <c r="O261" s="1550"/>
      <c r="P261" s="1550"/>
      <c r="AH261" s="1557">
        <v>0</v>
      </c>
    </row>
    <row r="262" spans="1:34" s="1561" customFormat="1" ht="0.75" hidden="1" customHeight="1">
      <c r="A262" s="1678"/>
      <c r="B262" s="1678"/>
      <c r="C262" s="305" t="s">
        <v>1402</v>
      </c>
      <c r="D262" s="24281"/>
      <c r="E262" s="24045"/>
      <c r="F262" s="24220"/>
      <c r="G262" s="336"/>
      <c r="H262" s="1426"/>
      <c r="I262" s="587"/>
      <c r="J262" s="507"/>
      <c r="K262" s="1426"/>
      <c r="L262" s="151"/>
      <c r="M262" s="277"/>
      <c r="N262" s="270"/>
      <c r="O262" s="1550"/>
      <c r="P262" s="1550"/>
      <c r="AH262" s="1557">
        <v>0</v>
      </c>
    </row>
    <row r="263" spans="1:34" s="1561" customFormat="1" ht="18.75" hidden="1" customHeight="1">
      <c r="A263" s="1678" t="s">
        <v>499</v>
      </c>
      <c r="B263" s="1678" t="s">
        <v>500</v>
      </c>
      <c r="C263" s="305"/>
      <c r="D263" s="24281"/>
      <c r="E263" s="24045"/>
      <c r="F263" s="24220" t="str">
        <f>INDEX(PT_DIFFERENTIATION_VTAR,MATCH(A263,PT_DIFFERENTIATION_VTAR_ID,0))</f>
        <v>Тариф на транспортировку сточных вод</v>
      </c>
      <c r="G263" s="24256" t="str">
        <f>INDEX(PT_DIFFERENTIATION_NTAR,MATCH(B263,PT_DIFFERENTIATION_NTAR_ID,0))</f>
        <v/>
      </c>
      <c r="H263" s="1759"/>
      <c r="I263" s="1637"/>
      <c r="J263" s="1671"/>
      <c r="K263" s="1676"/>
      <c r="L263" s="1759" t="s">
        <v>535</v>
      </c>
      <c r="M263" s="277"/>
      <c r="N263" s="270"/>
      <c r="O263" s="1550"/>
      <c r="P263" s="1550"/>
      <c r="AH263" s="1557">
        <v>0</v>
      </c>
    </row>
    <row r="264" spans="1:34" s="1561" customFormat="1" ht="18.75" hidden="1" customHeight="1">
      <c r="A264" s="1678"/>
      <c r="B264" s="1678"/>
      <c r="C264" s="305" t="s">
        <v>1395</v>
      </c>
      <c r="D264" s="24281"/>
      <c r="E264" s="24045"/>
      <c r="F264" s="24220"/>
      <c r="G264" s="24256"/>
      <c r="H264" s="1426"/>
      <c r="I264" s="587" t="s">
        <v>1394</v>
      </c>
      <c r="J264" s="507"/>
      <c r="K264" s="1426"/>
      <c r="L264" s="151"/>
      <c r="M264" s="277"/>
      <c r="N264" s="270"/>
      <c r="O264" s="1550"/>
      <c r="P264" s="1550"/>
      <c r="AH264" s="1557">
        <v>0</v>
      </c>
    </row>
    <row r="265" spans="1:34" s="1561" customFormat="1" ht="0.75" hidden="1" customHeight="1">
      <c r="A265" s="1678"/>
      <c r="B265" s="1678"/>
      <c r="C265" s="305" t="s">
        <v>1402</v>
      </c>
      <c r="D265" s="24281"/>
      <c r="E265" s="24045"/>
      <c r="F265" s="24220"/>
      <c r="G265" s="336"/>
      <c r="H265" s="1426"/>
      <c r="I265" s="587"/>
      <c r="J265" s="507"/>
      <c r="K265" s="1426"/>
      <c r="L265" s="151"/>
      <c r="M265" s="277"/>
      <c r="N265" s="270"/>
      <c r="O265" s="1550"/>
      <c r="P265" s="1550"/>
      <c r="AH265" s="1557">
        <v>0</v>
      </c>
    </row>
    <row r="266" spans="1:34" s="1561" customFormat="1" ht="18.75" hidden="1" customHeight="1">
      <c r="A266" s="1678" t="s">
        <v>504</v>
      </c>
      <c r="B266" s="1678" t="s">
        <v>505</v>
      </c>
      <c r="C266" s="305"/>
      <c r="D266" s="24281"/>
      <c r="E266" s="24045"/>
      <c r="F266" s="24220" t="str">
        <f>INDEX(PT_DIFFERENTIATION_VTAR,MATCH(A266,PT_DIFFERENTIATION_VTAR_ID,0))</f>
        <v>Тариф на подключение (технологическое присоединение) к централизованной системе водоотведения</v>
      </c>
      <c r="G266" s="24256" t="str">
        <f>INDEX(PT_DIFFERENTIATION_NTAR,MATCH(B266,PT_DIFFERENTIATION_NTAR_ID,0))</f>
        <v/>
      </c>
      <c r="H266" s="1759"/>
      <c r="I266" s="1637"/>
      <c r="J266" s="1671"/>
      <c r="K266" s="1676"/>
      <c r="L266" s="1759" t="s">
        <v>535</v>
      </c>
      <c r="M266" s="277"/>
      <c r="N266" s="270"/>
      <c r="O266" s="1550"/>
      <c r="P266" s="1550"/>
      <c r="AH266" s="1557">
        <v>0</v>
      </c>
    </row>
    <row r="267" spans="1:34" s="1561" customFormat="1" ht="18.75" hidden="1" customHeight="1">
      <c r="A267" s="1678"/>
      <c r="B267" s="1678"/>
      <c r="C267" s="305" t="s">
        <v>1395</v>
      </c>
      <c r="D267" s="24281"/>
      <c r="E267" s="24045"/>
      <c r="F267" s="24220"/>
      <c r="G267" s="24256"/>
      <c r="H267" s="1426"/>
      <c r="I267" s="587" t="s">
        <v>1394</v>
      </c>
      <c r="J267" s="507"/>
      <c r="K267" s="1426"/>
      <c r="L267" s="151"/>
      <c r="M267" s="277"/>
      <c r="N267" s="270"/>
      <c r="O267" s="1550"/>
      <c r="P267" s="1550"/>
      <c r="AH267" s="1557">
        <v>0</v>
      </c>
    </row>
    <row r="268" spans="1:34" s="1561" customFormat="1" ht="1.1499999999999999" customHeight="1">
      <c r="A268" s="1678"/>
      <c r="B268" s="1678"/>
      <c r="C268" s="305" t="s">
        <v>1402</v>
      </c>
      <c r="D268" s="24281"/>
      <c r="E268" s="24045"/>
      <c r="F268" s="24220"/>
      <c r="G268" s="336"/>
      <c r="H268" s="1426"/>
      <c r="I268" s="587"/>
      <c r="J268" s="507"/>
      <c r="K268" s="1426"/>
      <c r="L268" s="151"/>
      <c r="M268" s="277"/>
      <c r="N268" s="270"/>
      <c r="O268" s="1550"/>
      <c r="P268" s="1550"/>
      <c r="AH268" s="1557">
        <v>1</v>
      </c>
    </row>
    <row r="269" spans="1:34" ht="27.4" customHeight="1">
      <c r="A269" s="1678"/>
      <c r="B269" s="1678"/>
      <c r="D269" s="312"/>
      <c r="E269" s="84" t="s">
        <v>83</v>
      </c>
      <c r="F269" s="2428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280"/>
      <c r="H269" s="24280"/>
      <c r="I269" s="24280"/>
      <c r="J269" s="24280"/>
      <c r="K269" s="24280"/>
      <c r="L269" s="24280"/>
      <c r="M269" s="233"/>
      <c r="N269" s="270"/>
      <c r="AH269" s="310">
        <v>26</v>
      </c>
    </row>
    <row r="270" spans="1:34" s="1561" customFormat="1" ht="60.75" hidden="1" customHeight="1">
      <c r="A270" s="1678" t="s">
        <v>255</v>
      </c>
      <c r="B270" s="1678" t="s">
        <v>256</v>
      </c>
      <c r="C270" s="305"/>
      <c r="D270" s="24281"/>
      <c r="E270" s="24045"/>
      <c r="F270" s="2422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256" t="str">
        <f>INDEX(PT_DIFFERENTIATION_NTAR,MATCH(B270,PT_DIFFERENTIATION_NTAR_ID,0))</f>
        <v/>
      </c>
      <c r="H270" s="1759"/>
      <c r="I270" s="1637"/>
      <c r="J270" s="1671"/>
      <c r="K270" s="1676"/>
      <c r="L270" s="1759" t="s">
        <v>535</v>
      </c>
      <c r="M270" s="2399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50"/>
      <c r="P270" s="1550"/>
      <c r="AH270" s="1557">
        <v>0</v>
      </c>
    </row>
    <row r="271" spans="1:34" s="1561" customFormat="1" ht="18.75" hidden="1" customHeight="1">
      <c r="A271" s="1678"/>
      <c r="B271" s="1678"/>
      <c r="C271" s="305" t="s">
        <v>1395</v>
      </c>
      <c r="D271" s="24281"/>
      <c r="E271" s="24045"/>
      <c r="F271" s="24220"/>
      <c r="G271" s="24256"/>
      <c r="H271" s="1426"/>
      <c r="I271" s="587" t="s">
        <v>1394</v>
      </c>
      <c r="J271" s="507"/>
      <c r="K271" s="1426"/>
      <c r="L271" s="151"/>
      <c r="M271" s="23997"/>
      <c r="N271" s="270"/>
      <c r="O271" s="1550"/>
      <c r="P271" s="1550"/>
      <c r="AH271" s="1557">
        <v>0</v>
      </c>
    </row>
    <row r="272" spans="1:34" s="1561" customFormat="1" ht="0.75" hidden="1" customHeight="1">
      <c r="A272" s="1678"/>
      <c r="B272" s="1678"/>
      <c r="C272" s="305" t="s">
        <v>1402</v>
      </c>
      <c r="D272" s="24281"/>
      <c r="E272" s="24045"/>
      <c r="F272" s="24220"/>
      <c r="G272" s="336"/>
      <c r="H272" s="1426"/>
      <c r="I272" s="587"/>
      <c r="J272" s="507"/>
      <c r="K272" s="1426"/>
      <c r="L272" s="151"/>
      <c r="M272" s="23997"/>
      <c r="N272" s="270"/>
      <c r="O272" s="1550"/>
      <c r="P272" s="1550"/>
      <c r="AH272" s="1557">
        <v>0</v>
      </c>
    </row>
    <row r="273" spans="1:34" s="1561" customFormat="1" ht="45" hidden="1" customHeight="1">
      <c r="A273" s="1678" t="s">
        <v>260</v>
      </c>
      <c r="B273" s="1678" t="s">
        <v>261</v>
      </c>
      <c r="C273" s="305"/>
      <c r="D273" s="24281"/>
      <c r="E273" s="24045"/>
      <c r="F273" s="24220" t="str">
        <f>INDEX(PT_DIFFERENTIATION_VTAR,MATCH(A273,PT_DIFFERENTIATION_VTAR_ID,0))</f>
        <v/>
      </c>
      <c r="G273" s="24256" t="str">
        <f>INDEX(PT_DIFFERENTIATION_NTAR,MATCH(B273,PT_DIFFERENTIATION_NTAR_ID,0))</f>
        <v/>
      </c>
      <c r="H273" s="1759"/>
      <c r="I273" s="1637"/>
      <c r="J273" s="1671"/>
      <c r="K273" s="1676"/>
      <c r="L273" s="1759" t="s">
        <v>535</v>
      </c>
      <c r="M273" s="23998"/>
      <c r="N273" s="270"/>
      <c r="O273" s="1550"/>
      <c r="P273" s="1550"/>
      <c r="AH273" s="1557">
        <v>0</v>
      </c>
    </row>
    <row r="274" spans="1:34" s="1561" customFormat="1" ht="18.75" hidden="1" customHeight="1">
      <c r="A274" s="1678"/>
      <c r="B274" s="1678"/>
      <c r="C274" s="305" t="s">
        <v>1395</v>
      </c>
      <c r="D274" s="24281"/>
      <c r="E274" s="24045"/>
      <c r="F274" s="24220"/>
      <c r="G274" s="24256"/>
      <c r="H274" s="1426"/>
      <c r="I274" s="587" t="s">
        <v>1394</v>
      </c>
      <c r="J274" s="507"/>
      <c r="K274" s="1426"/>
      <c r="L274" s="151"/>
      <c r="M274" s="1758"/>
      <c r="N274" s="270"/>
      <c r="O274" s="1550"/>
      <c r="P274" s="1550"/>
      <c r="AH274" s="1557">
        <v>0</v>
      </c>
    </row>
    <row r="275" spans="1:34" s="1561" customFormat="1" ht="0.75" hidden="1" customHeight="1">
      <c r="A275" s="1678"/>
      <c r="B275" s="1678"/>
      <c r="C275" s="305" t="s">
        <v>1402</v>
      </c>
      <c r="D275" s="24281"/>
      <c r="E275" s="24045"/>
      <c r="F275" s="24220"/>
      <c r="G275" s="336"/>
      <c r="H275" s="1426"/>
      <c r="I275" s="587"/>
      <c r="J275" s="507"/>
      <c r="K275" s="1426"/>
      <c r="L275" s="151"/>
      <c r="M275" s="277"/>
      <c r="N275" s="270"/>
      <c r="O275" s="1550"/>
      <c r="P275" s="1550"/>
      <c r="AH275" s="1557">
        <v>0</v>
      </c>
    </row>
    <row r="276" spans="1:34" s="1561" customFormat="1" ht="45" hidden="1" customHeight="1">
      <c r="A276" s="1678" t="s">
        <v>267</v>
      </c>
      <c r="B276" s="1678" t="s">
        <v>268</v>
      </c>
      <c r="C276" s="305"/>
      <c r="D276" s="24281"/>
      <c r="E276" s="24045"/>
      <c r="F276" s="2422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256" t="str">
        <f>INDEX(PT_DIFFERENTIATION_NTAR,MATCH(B276,PT_DIFFERENTIATION_NTAR_ID,0))</f>
        <v/>
      </c>
      <c r="H276" s="1759"/>
      <c r="I276" s="1637"/>
      <c r="J276" s="1671"/>
      <c r="K276" s="1676"/>
      <c r="L276" s="1759" t="s">
        <v>535</v>
      </c>
      <c r="M276" s="277"/>
      <c r="N276" s="270"/>
      <c r="O276" s="1550"/>
      <c r="P276" s="1550"/>
      <c r="AH276" s="1557">
        <v>0</v>
      </c>
    </row>
    <row r="277" spans="1:34" s="1561" customFormat="1" ht="18.75" hidden="1" customHeight="1">
      <c r="A277" s="1678"/>
      <c r="B277" s="1678"/>
      <c r="C277" s="305" t="s">
        <v>1395</v>
      </c>
      <c r="D277" s="24281"/>
      <c r="E277" s="24045"/>
      <c r="F277" s="24220"/>
      <c r="G277" s="24256"/>
      <c r="H277" s="1426"/>
      <c r="I277" s="587" t="s">
        <v>1394</v>
      </c>
      <c r="J277" s="507"/>
      <c r="K277" s="1426"/>
      <c r="L277" s="151"/>
      <c r="M277" s="277"/>
      <c r="N277" s="270"/>
      <c r="O277" s="1550"/>
      <c r="P277" s="1550"/>
      <c r="AH277" s="1557">
        <v>0</v>
      </c>
    </row>
    <row r="278" spans="1:34" s="1561" customFormat="1" ht="0.75" hidden="1" customHeight="1">
      <c r="A278" s="1678"/>
      <c r="B278" s="1678"/>
      <c r="C278" s="305" t="s">
        <v>1402</v>
      </c>
      <c r="D278" s="24281"/>
      <c r="E278" s="24045"/>
      <c r="F278" s="24220"/>
      <c r="G278" s="336"/>
      <c r="H278" s="1426"/>
      <c r="I278" s="587"/>
      <c r="J278" s="507"/>
      <c r="K278" s="1426"/>
      <c r="L278" s="151"/>
      <c r="M278" s="277"/>
      <c r="N278" s="270"/>
      <c r="O278" s="1550"/>
      <c r="P278" s="1550"/>
      <c r="AH278" s="1557">
        <v>0</v>
      </c>
    </row>
    <row r="279" spans="1:34" s="1561" customFormat="1" ht="45" hidden="1" customHeight="1">
      <c r="A279" s="1678" t="s">
        <v>273</v>
      </c>
      <c r="B279" s="1678" t="s">
        <v>274</v>
      </c>
      <c r="C279" s="305"/>
      <c r="D279" s="24281"/>
      <c r="E279" s="24045"/>
      <c r="F279" s="2422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256" t="str">
        <f>INDEX(PT_DIFFERENTIATION_NTAR,MATCH(B279,PT_DIFFERENTIATION_NTAR_ID,0))</f>
        <v/>
      </c>
      <c r="H279" s="1759"/>
      <c r="I279" s="1637"/>
      <c r="J279" s="1671"/>
      <c r="K279" s="1676"/>
      <c r="L279" s="1759" t="s">
        <v>535</v>
      </c>
      <c r="M279" s="277"/>
      <c r="N279" s="270"/>
      <c r="O279" s="1550"/>
      <c r="P279" s="1550"/>
      <c r="AH279" s="1557">
        <v>0</v>
      </c>
    </row>
    <row r="280" spans="1:34" s="1561" customFormat="1" ht="18.75" hidden="1" customHeight="1">
      <c r="A280" s="1678"/>
      <c r="B280" s="1678"/>
      <c r="C280" s="305" t="s">
        <v>1395</v>
      </c>
      <c r="D280" s="24281"/>
      <c r="E280" s="24045"/>
      <c r="F280" s="24220"/>
      <c r="G280" s="24256"/>
      <c r="H280" s="1426"/>
      <c r="I280" s="587" t="s">
        <v>1394</v>
      </c>
      <c r="J280" s="507"/>
      <c r="K280" s="1426"/>
      <c r="L280" s="151"/>
      <c r="M280" s="277"/>
      <c r="N280" s="270"/>
      <c r="O280" s="1550"/>
      <c r="P280" s="1550"/>
      <c r="AH280" s="1557">
        <v>0</v>
      </c>
    </row>
    <row r="281" spans="1:34" s="1561" customFormat="1" ht="0.75" hidden="1" customHeight="1">
      <c r="A281" s="1678"/>
      <c r="B281" s="1678"/>
      <c r="C281" s="305" t="s">
        <v>1402</v>
      </c>
      <c r="D281" s="24281"/>
      <c r="E281" s="24045"/>
      <c r="F281" s="24220"/>
      <c r="G281" s="336"/>
      <c r="H281" s="1426"/>
      <c r="I281" s="587"/>
      <c r="J281" s="507"/>
      <c r="K281" s="1426"/>
      <c r="L281" s="151"/>
      <c r="M281" s="277"/>
      <c r="N281" s="270"/>
      <c r="O281" s="1550"/>
      <c r="P281" s="1550"/>
      <c r="AH281" s="1557">
        <v>0</v>
      </c>
    </row>
    <row r="282" spans="1:34" s="1561" customFormat="1" ht="18.75" hidden="1" customHeight="1">
      <c r="A282" s="1678" t="s">
        <v>279</v>
      </c>
      <c r="B282" s="1678" t="s">
        <v>280</v>
      </c>
      <c r="C282" s="305"/>
      <c r="D282" s="24281"/>
      <c r="E282" s="24045"/>
      <c r="F282" s="24220" t="str">
        <f>INDEX(PT_DIFFERENTIATION_VTAR,MATCH(A282,PT_DIFFERENTIATION_VTAR_ID,0))</f>
        <v>Тарифы на услуги по передаче тепловой энергии</v>
      </c>
      <c r="G282" s="24256" t="str">
        <f>INDEX(PT_DIFFERENTIATION_NTAR,MATCH(B282,PT_DIFFERENTIATION_NTAR_ID,0))</f>
        <v/>
      </c>
      <c r="H282" s="1759"/>
      <c r="I282" s="1637"/>
      <c r="J282" s="1671"/>
      <c r="K282" s="1676"/>
      <c r="L282" s="1759" t="s">
        <v>535</v>
      </c>
      <c r="M282" s="277"/>
      <c r="N282" s="270"/>
      <c r="O282" s="1550"/>
      <c r="P282" s="1550"/>
      <c r="AH282" s="1557">
        <v>0</v>
      </c>
    </row>
    <row r="283" spans="1:34" s="1561" customFormat="1" ht="18.75" hidden="1" customHeight="1">
      <c r="A283" s="1678"/>
      <c r="B283" s="1678"/>
      <c r="C283" s="305" t="s">
        <v>1395</v>
      </c>
      <c r="D283" s="24281"/>
      <c r="E283" s="24045"/>
      <c r="F283" s="24220"/>
      <c r="G283" s="24256"/>
      <c r="H283" s="1426"/>
      <c r="I283" s="587" t="s">
        <v>1394</v>
      </c>
      <c r="J283" s="507"/>
      <c r="K283" s="1426"/>
      <c r="L283" s="151"/>
      <c r="M283" s="277"/>
      <c r="N283" s="270"/>
      <c r="O283" s="1550"/>
      <c r="P283" s="1550"/>
      <c r="AH283" s="1557">
        <v>0</v>
      </c>
    </row>
    <row r="284" spans="1:34" s="1561" customFormat="1" ht="0.75" hidden="1" customHeight="1">
      <c r="A284" s="1678"/>
      <c r="B284" s="1678"/>
      <c r="C284" s="305" t="s">
        <v>1402</v>
      </c>
      <c r="D284" s="24281"/>
      <c r="E284" s="24045"/>
      <c r="F284" s="24220"/>
      <c r="G284" s="336"/>
      <c r="H284" s="1426"/>
      <c r="I284" s="587"/>
      <c r="J284" s="507"/>
      <c r="K284" s="1426"/>
      <c r="L284" s="151"/>
      <c r="M284" s="277"/>
      <c r="N284" s="270"/>
      <c r="O284" s="1550"/>
      <c r="P284" s="1550"/>
      <c r="AH284" s="1557">
        <v>0</v>
      </c>
    </row>
    <row r="285" spans="1:34" s="1561" customFormat="1" ht="18.75" hidden="1" customHeight="1">
      <c r="A285" s="1678" t="s">
        <v>285</v>
      </c>
      <c r="B285" s="1678" t="s">
        <v>286</v>
      </c>
      <c r="C285" s="305"/>
      <c r="D285" s="24281"/>
      <c r="E285" s="24045"/>
      <c r="F285" s="24220" t="str">
        <f>INDEX(PT_DIFFERENTIATION_VTAR,MATCH(A285,PT_DIFFERENTIATION_VTAR_ID,0))</f>
        <v>Тарифы на услуги по передаче теплоносителя</v>
      </c>
      <c r="G285" s="24256" t="str">
        <f>INDEX(PT_DIFFERENTIATION_NTAR,MATCH(B285,PT_DIFFERENTIATION_NTAR_ID,0))</f>
        <v/>
      </c>
      <c r="H285" s="1759"/>
      <c r="I285" s="1637"/>
      <c r="J285" s="1671"/>
      <c r="K285" s="1676"/>
      <c r="L285" s="1759" t="s">
        <v>535</v>
      </c>
      <c r="M285" s="277"/>
      <c r="N285" s="270"/>
      <c r="O285" s="1550"/>
      <c r="P285" s="1550"/>
      <c r="AH285" s="1557">
        <v>0</v>
      </c>
    </row>
    <row r="286" spans="1:34" s="1561" customFormat="1" ht="18.75" hidden="1" customHeight="1">
      <c r="A286" s="1678"/>
      <c r="B286" s="1678"/>
      <c r="C286" s="305" t="s">
        <v>1395</v>
      </c>
      <c r="D286" s="24281"/>
      <c r="E286" s="24045"/>
      <c r="F286" s="24220"/>
      <c r="G286" s="24256"/>
      <c r="H286" s="1426"/>
      <c r="I286" s="587" t="s">
        <v>1394</v>
      </c>
      <c r="J286" s="507"/>
      <c r="K286" s="1426"/>
      <c r="L286" s="151"/>
      <c r="M286" s="277"/>
      <c r="N286" s="270"/>
      <c r="O286" s="1550"/>
      <c r="P286" s="1550"/>
      <c r="AH286" s="1557">
        <v>0</v>
      </c>
    </row>
    <row r="287" spans="1:34" s="1561" customFormat="1" ht="0.75" hidden="1" customHeight="1">
      <c r="A287" s="1678"/>
      <c r="B287" s="1678"/>
      <c r="C287" s="305" t="s">
        <v>1402</v>
      </c>
      <c r="D287" s="24281"/>
      <c r="E287" s="24045"/>
      <c r="F287" s="24220"/>
      <c r="G287" s="336"/>
      <c r="H287" s="1426"/>
      <c r="I287" s="587"/>
      <c r="J287" s="507"/>
      <c r="K287" s="1426"/>
      <c r="L287" s="151"/>
      <c r="M287" s="277"/>
      <c r="N287" s="270"/>
      <c r="O287" s="1550"/>
      <c r="P287" s="1550"/>
      <c r="AH287" s="1557">
        <v>0</v>
      </c>
    </row>
    <row r="288" spans="1:34" s="1561" customFormat="1" ht="18.75" hidden="1" customHeight="1">
      <c r="A288" s="1678" t="s">
        <v>291</v>
      </c>
      <c r="B288" s="1678" t="s">
        <v>292</v>
      </c>
      <c r="C288" s="305"/>
      <c r="D288" s="24281"/>
      <c r="E288" s="24045"/>
      <c r="F288" s="2422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256" t="str">
        <f>INDEX(PT_DIFFERENTIATION_NTAR,MATCH(B288,PT_DIFFERENTIATION_NTAR_ID,0))</f>
        <v/>
      </c>
      <c r="H288" s="1759"/>
      <c r="I288" s="1637"/>
      <c r="J288" s="1671"/>
      <c r="K288" s="1676"/>
      <c r="L288" s="1759" t="s">
        <v>535</v>
      </c>
      <c r="M288" s="277"/>
      <c r="N288" s="270"/>
      <c r="O288" s="1550"/>
      <c r="P288" s="1550"/>
      <c r="AH288" s="1557">
        <v>0</v>
      </c>
    </row>
    <row r="289" spans="1:34" s="1561" customFormat="1" ht="18.75" hidden="1" customHeight="1">
      <c r="A289" s="1678"/>
      <c r="B289" s="1678"/>
      <c r="C289" s="305" t="s">
        <v>1395</v>
      </c>
      <c r="D289" s="24281"/>
      <c r="E289" s="24045"/>
      <c r="F289" s="24220"/>
      <c r="G289" s="24256"/>
      <c r="H289" s="1426"/>
      <c r="I289" s="587" t="s">
        <v>1394</v>
      </c>
      <c r="J289" s="507"/>
      <c r="K289" s="1426"/>
      <c r="L289" s="151"/>
      <c r="M289" s="277"/>
      <c r="N289" s="270"/>
      <c r="O289" s="1550"/>
      <c r="P289" s="1550"/>
      <c r="AH289" s="1557">
        <v>0</v>
      </c>
    </row>
    <row r="290" spans="1:34" s="1561" customFormat="1" ht="0.75" hidden="1" customHeight="1">
      <c r="A290" s="1678"/>
      <c r="B290" s="1678"/>
      <c r="C290" s="305" t="s">
        <v>1402</v>
      </c>
      <c r="D290" s="24281"/>
      <c r="E290" s="24045"/>
      <c r="F290" s="24220"/>
      <c r="G290" s="336"/>
      <c r="H290" s="1426"/>
      <c r="I290" s="587"/>
      <c r="J290" s="507"/>
      <c r="K290" s="1426"/>
      <c r="L290" s="151"/>
      <c r="M290" s="277"/>
      <c r="N290" s="270"/>
      <c r="O290" s="1550"/>
      <c r="P290" s="1550"/>
      <c r="AH290" s="1557">
        <v>0</v>
      </c>
    </row>
    <row r="291" spans="1:34" s="1561" customFormat="1" ht="18.75" hidden="1" customHeight="1">
      <c r="A291" s="1678" t="s">
        <v>297</v>
      </c>
      <c r="B291" s="1678" t="s">
        <v>298</v>
      </c>
      <c r="C291" s="305"/>
      <c r="D291" s="24281"/>
      <c r="E291" s="24045"/>
      <c r="F291" s="24220" t="str">
        <f>INDEX(PT_DIFFERENTIATION_VTAR,MATCH(A291,PT_DIFFERENTIATION_VTAR_ID,0))</f>
        <v>Плата за подключение (технологическое присоединение) к системе теплоснабжения</v>
      </c>
      <c r="G291" s="24256" t="str">
        <f>INDEX(PT_DIFFERENTIATION_NTAR,MATCH(B291,PT_DIFFERENTIATION_NTAR_ID,0))</f>
        <v/>
      </c>
      <c r="H291" s="1759"/>
      <c r="I291" s="1637"/>
      <c r="J291" s="1671"/>
      <c r="K291" s="1676"/>
      <c r="L291" s="1759" t="s">
        <v>535</v>
      </c>
      <c r="M291" s="277"/>
      <c r="N291" s="270"/>
      <c r="O291" s="1550"/>
      <c r="P291" s="1550"/>
      <c r="AH291" s="1557">
        <v>0</v>
      </c>
    </row>
    <row r="292" spans="1:34" s="1561" customFormat="1" ht="18.75" hidden="1" customHeight="1">
      <c r="A292" s="1678"/>
      <c r="B292" s="1678"/>
      <c r="C292" s="305" t="s">
        <v>1395</v>
      </c>
      <c r="D292" s="24281"/>
      <c r="E292" s="24045"/>
      <c r="F292" s="24220"/>
      <c r="G292" s="24256"/>
      <c r="H292" s="1426"/>
      <c r="I292" s="587" t="s">
        <v>1394</v>
      </c>
      <c r="J292" s="507"/>
      <c r="K292" s="1426"/>
      <c r="L292" s="151"/>
      <c r="M292" s="277"/>
      <c r="N292" s="270"/>
      <c r="O292" s="1550"/>
      <c r="P292" s="1550"/>
      <c r="AH292" s="1557">
        <v>0</v>
      </c>
    </row>
    <row r="293" spans="1:34" s="1561" customFormat="1" ht="0.75" hidden="1" customHeight="1">
      <c r="A293" s="1678"/>
      <c r="B293" s="1678"/>
      <c r="C293" s="305" t="s">
        <v>1402</v>
      </c>
      <c r="D293" s="24281"/>
      <c r="E293" s="24045"/>
      <c r="F293" s="24220"/>
      <c r="G293" s="336"/>
      <c r="H293" s="1426"/>
      <c r="I293" s="587"/>
      <c r="J293" s="507"/>
      <c r="K293" s="1426"/>
      <c r="L293" s="151"/>
      <c r="M293" s="277"/>
      <c r="N293" s="270"/>
      <c r="O293" s="1550"/>
      <c r="P293" s="1550"/>
      <c r="AH293" s="1557">
        <v>0</v>
      </c>
    </row>
    <row r="294" spans="1:34" s="1561" customFormat="1" ht="18.75" hidden="1" customHeight="1">
      <c r="A294" s="1678" t="s">
        <v>303</v>
      </c>
      <c r="B294" s="1678" t="s">
        <v>304</v>
      </c>
      <c r="C294" s="305"/>
      <c r="D294" s="24281"/>
      <c r="E294" s="24045"/>
      <c r="F294" s="24220" t="str">
        <f>INDEX(PT_DIFFERENTIATION_VTAR,MATCH(A294,PT_DIFFERENTIATION_VTAR_ID,0))</f>
        <v>Плата за подключение (технологическое присоединение) к системе теплоснабжения (индивидуальная)</v>
      </c>
      <c r="G294" s="24256" t="str">
        <f>INDEX(PT_DIFFERENTIATION_NTAR,MATCH(B294,PT_DIFFERENTIATION_NTAR_ID,0))</f>
        <v/>
      </c>
      <c r="H294" s="1883"/>
      <c r="I294" s="1637"/>
      <c r="J294" s="1671"/>
      <c r="K294" s="1676"/>
      <c r="L294" s="1883" t="s">
        <v>535</v>
      </c>
      <c r="M294" s="277"/>
      <c r="N294" s="270"/>
      <c r="O294" s="1550"/>
      <c r="P294" s="1550"/>
      <c r="AH294" s="1557">
        <v>0</v>
      </c>
    </row>
    <row r="295" spans="1:34" s="1561" customFormat="1" ht="18.75" hidden="1" customHeight="1">
      <c r="A295" s="1678"/>
      <c r="B295" s="1678"/>
      <c r="C295" s="305" t="s">
        <v>1395</v>
      </c>
      <c r="D295" s="24281"/>
      <c r="E295" s="24045"/>
      <c r="F295" s="24220"/>
      <c r="G295" s="24256"/>
      <c r="H295" s="1426"/>
      <c r="I295" s="587" t="s">
        <v>1394</v>
      </c>
      <c r="J295" s="507"/>
      <c r="K295" s="1426"/>
      <c r="L295" s="151"/>
      <c r="M295" s="277"/>
      <c r="N295" s="270"/>
      <c r="O295" s="1550"/>
      <c r="P295" s="1550"/>
      <c r="AH295" s="1557">
        <v>0</v>
      </c>
    </row>
    <row r="296" spans="1:34" s="1561" customFormat="1" ht="0.75" hidden="1" customHeight="1">
      <c r="A296" s="1678"/>
      <c r="B296" s="1678"/>
      <c r="C296" s="305" t="s">
        <v>1402</v>
      </c>
      <c r="D296" s="24281"/>
      <c r="E296" s="24045"/>
      <c r="F296" s="24220"/>
      <c r="G296" s="336"/>
      <c r="H296" s="1426"/>
      <c r="I296" s="587"/>
      <c r="J296" s="507"/>
      <c r="K296" s="1426"/>
      <c r="L296" s="151"/>
      <c r="M296" s="277"/>
      <c r="N296" s="270"/>
      <c r="O296" s="1550"/>
      <c r="P296" s="1550"/>
      <c r="AH296" s="1557">
        <v>0</v>
      </c>
    </row>
    <row r="297" spans="1:34" s="1561" customFormat="1" ht="18.75" hidden="1" customHeight="1">
      <c r="A297" s="1678" t="s">
        <v>323</v>
      </c>
      <c r="B297" s="1678" t="s">
        <v>324</v>
      </c>
      <c r="C297" s="305"/>
      <c r="D297" s="24281"/>
      <c r="E297" s="24045"/>
      <c r="F297" s="24220" t="str">
        <f>INDEX(PT_DIFFERENTIATION_VTAR,MATCH(A297,PT_DIFFERENTIATION_VTAR_ID,0))</f>
        <v>Тариф на питьевую воду (питьевое водоснабжение)</v>
      </c>
      <c r="G297" s="24256" t="str">
        <f>INDEX(PT_DIFFERENTIATION_NTAR,MATCH(B297,PT_DIFFERENTIATION_NTAR_ID,0))</f>
        <v/>
      </c>
      <c r="H297" s="1759"/>
      <c r="I297" s="1637"/>
      <c r="J297" s="1671"/>
      <c r="K297" s="1676"/>
      <c r="L297" s="1759" t="s">
        <v>535</v>
      </c>
      <c r="M297" s="277"/>
      <c r="N297" s="270"/>
      <c r="O297" s="1550"/>
      <c r="P297" s="1550"/>
      <c r="AH297" s="1557">
        <v>0</v>
      </c>
    </row>
    <row r="298" spans="1:34" s="1561" customFormat="1" ht="18.75" hidden="1" customHeight="1">
      <c r="A298" s="1678"/>
      <c r="B298" s="1678"/>
      <c r="C298" s="305" t="s">
        <v>1395</v>
      </c>
      <c r="D298" s="24281"/>
      <c r="E298" s="24045"/>
      <c r="F298" s="24220"/>
      <c r="G298" s="24256"/>
      <c r="H298" s="1426"/>
      <c r="I298" s="587" t="s">
        <v>1394</v>
      </c>
      <c r="J298" s="507"/>
      <c r="K298" s="1426"/>
      <c r="L298" s="151"/>
      <c r="M298" s="277"/>
      <c r="N298" s="270"/>
      <c r="O298" s="1550"/>
      <c r="P298" s="1550"/>
      <c r="AH298" s="1557">
        <v>0</v>
      </c>
    </row>
    <row r="299" spans="1:34" s="1561" customFormat="1" ht="0.75" hidden="1" customHeight="1">
      <c r="A299" s="1678"/>
      <c r="B299" s="1678"/>
      <c r="C299" s="305" t="s">
        <v>1402</v>
      </c>
      <c r="D299" s="24281"/>
      <c r="E299" s="24045"/>
      <c r="F299" s="24220"/>
      <c r="G299" s="336"/>
      <c r="H299" s="1426"/>
      <c r="I299" s="587"/>
      <c r="J299" s="507"/>
      <c r="K299" s="1426"/>
      <c r="L299" s="151"/>
      <c r="M299" s="277"/>
      <c r="N299" s="270"/>
      <c r="O299" s="1550"/>
      <c r="P299" s="1550"/>
      <c r="AH299" s="1557">
        <v>0</v>
      </c>
    </row>
    <row r="300" spans="1:34" s="1561" customFormat="1" ht="18.75" hidden="1" customHeight="1">
      <c r="A300" s="1678" t="s">
        <v>328</v>
      </c>
      <c r="B300" s="1678" t="s">
        <v>329</v>
      </c>
      <c r="C300" s="305"/>
      <c r="D300" s="24281"/>
      <c r="E300" s="24045"/>
      <c r="F300" s="24220" t="str">
        <f>INDEX(PT_DIFFERENTIATION_VTAR,MATCH(A300,PT_DIFFERENTIATION_VTAR_ID,0))</f>
        <v>Тариф на техническую воду</v>
      </c>
      <c r="G300" s="24256" t="str">
        <f>INDEX(PT_DIFFERENTIATION_NTAR,MATCH(B300,PT_DIFFERENTIATION_NTAR_ID,0))</f>
        <v/>
      </c>
      <c r="H300" s="1759"/>
      <c r="I300" s="1637"/>
      <c r="J300" s="1671"/>
      <c r="K300" s="1676"/>
      <c r="L300" s="1759" t="s">
        <v>535</v>
      </c>
      <c r="M300" s="277"/>
      <c r="N300" s="270"/>
      <c r="O300" s="1550"/>
      <c r="P300" s="1550"/>
      <c r="AH300" s="1557">
        <v>0</v>
      </c>
    </row>
    <row r="301" spans="1:34" s="1561" customFormat="1" ht="18.75" hidden="1" customHeight="1">
      <c r="A301" s="1678"/>
      <c r="B301" s="1678"/>
      <c r="C301" s="305" t="s">
        <v>1395</v>
      </c>
      <c r="D301" s="24281"/>
      <c r="E301" s="24045"/>
      <c r="F301" s="24220"/>
      <c r="G301" s="24256"/>
      <c r="H301" s="1426"/>
      <c r="I301" s="587" t="s">
        <v>1394</v>
      </c>
      <c r="J301" s="507"/>
      <c r="K301" s="1426"/>
      <c r="L301" s="151"/>
      <c r="M301" s="277"/>
      <c r="N301" s="270"/>
      <c r="O301" s="1550"/>
      <c r="P301" s="1550"/>
      <c r="AH301" s="1557">
        <v>0</v>
      </c>
    </row>
    <row r="302" spans="1:34" s="1561" customFormat="1" ht="0.75" hidden="1" customHeight="1">
      <c r="A302" s="1678"/>
      <c r="B302" s="1678"/>
      <c r="C302" s="305" t="s">
        <v>1402</v>
      </c>
      <c r="D302" s="24281"/>
      <c r="E302" s="24045"/>
      <c r="F302" s="24220"/>
      <c r="G302" s="336"/>
      <c r="H302" s="1426"/>
      <c r="I302" s="587"/>
      <c r="J302" s="507"/>
      <c r="K302" s="1426"/>
      <c r="L302" s="151"/>
      <c r="M302" s="277"/>
      <c r="N302" s="270"/>
      <c r="O302" s="1550"/>
      <c r="P302" s="1550"/>
      <c r="AH302" s="1557">
        <v>0</v>
      </c>
    </row>
    <row r="303" spans="1:34" s="1561" customFormat="1" ht="18.75" hidden="1" customHeight="1">
      <c r="A303" s="1678" t="s">
        <v>333</v>
      </c>
      <c r="B303" s="1678" t="s">
        <v>334</v>
      </c>
      <c r="C303" s="305"/>
      <c r="D303" s="24281"/>
      <c r="E303" s="24045"/>
      <c r="F303" s="24220" t="str">
        <f>INDEX(PT_DIFFERENTIATION_VTAR,MATCH(A303,PT_DIFFERENTIATION_VTAR_ID,0))</f>
        <v>Тариф на транспортировку воды</v>
      </c>
      <c r="G303" s="24256" t="str">
        <f>INDEX(PT_DIFFERENTIATION_NTAR,MATCH(B303,PT_DIFFERENTIATION_NTAR_ID,0))</f>
        <v/>
      </c>
      <c r="H303" s="1759"/>
      <c r="I303" s="1637"/>
      <c r="J303" s="1671"/>
      <c r="K303" s="1676"/>
      <c r="L303" s="1759" t="s">
        <v>535</v>
      </c>
      <c r="M303" s="277"/>
      <c r="N303" s="270"/>
      <c r="O303" s="1550"/>
      <c r="P303" s="1550"/>
      <c r="AH303" s="1557">
        <v>0</v>
      </c>
    </row>
    <row r="304" spans="1:34" s="1561" customFormat="1" ht="18.75" hidden="1" customHeight="1">
      <c r="A304" s="1678"/>
      <c r="B304" s="1678"/>
      <c r="C304" s="305" t="s">
        <v>1395</v>
      </c>
      <c r="D304" s="24281"/>
      <c r="E304" s="24045"/>
      <c r="F304" s="24220"/>
      <c r="G304" s="24256"/>
      <c r="H304" s="1426"/>
      <c r="I304" s="587" t="s">
        <v>1394</v>
      </c>
      <c r="J304" s="507"/>
      <c r="K304" s="1426"/>
      <c r="L304" s="151"/>
      <c r="M304" s="277"/>
      <c r="N304" s="270"/>
      <c r="O304" s="1550"/>
      <c r="P304" s="1550"/>
      <c r="AH304" s="1557">
        <v>0</v>
      </c>
    </row>
    <row r="305" spans="1:34" s="1561" customFormat="1" ht="0.75" hidden="1" customHeight="1">
      <c r="A305" s="1678"/>
      <c r="B305" s="1678"/>
      <c r="C305" s="305" t="s">
        <v>1402</v>
      </c>
      <c r="D305" s="24281"/>
      <c r="E305" s="24045"/>
      <c r="F305" s="24220"/>
      <c r="G305" s="336"/>
      <c r="H305" s="1426"/>
      <c r="I305" s="587"/>
      <c r="J305" s="507"/>
      <c r="K305" s="1426"/>
      <c r="L305" s="151"/>
      <c r="M305" s="277"/>
      <c r="N305" s="270"/>
      <c r="O305" s="1550"/>
      <c r="P305" s="1550"/>
      <c r="AH305" s="1557">
        <v>0</v>
      </c>
    </row>
    <row r="306" spans="1:34" s="1561" customFormat="1" ht="18.75" hidden="1" customHeight="1">
      <c r="A306" s="1678" t="s">
        <v>338</v>
      </c>
      <c r="B306" s="1678" t="s">
        <v>339</v>
      </c>
      <c r="C306" s="305"/>
      <c r="D306" s="24281"/>
      <c r="E306" s="24045"/>
      <c r="F306" s="24220" t="str">
        <f>INDEX(PT_DIFFERENTIATION_VTAR,MATCH(A306,PT_DIFFERENTIATION_VTAR_ID,0))</f>
        <v>Тариф на подвоз воды</v>
      </c>
      <c r="G306" s="24256" t="str">
        <f>INDEX(PT_DIFFERENTIATION_NTAR,MATCH(B306,PT_DIFFERENTIATION_NTAR_ID,0))</f>
        <v/>
      </c>
      <c r="H306" s="1759"/>
      <c r="I306" s="1637"/>
      <c r="J306" s="1671"/>
      <c r="K306" s="1676"/>
      <c r="L306" s="1759" t="s">
        <v>535</v>
      </c>
      <c r="M306" s="277"/>
      <c r="N306" s="270"/>
      <c r="O306" s="1550"/>
      <c r="P306" s="1550"/>
      <c r="AH306" s="1557">
        <v>0</v>
      </c>
    </row>
    <row r="307" spans="1:34" s="1561" customFormat="1" ht="18.75" hidden="1" customHeight="1">
      <c r="A307" s="1678"/>
      <c r="B307" s="1678"/>
      <c r="C307" s="305" t="s">
        <v>1395</v>
      </c>
      <c r="D307" s="24281"/>
      <c r="E307" s="24045"/>
      <c r="F307" s="24220"/>
      <c r="G307" s="24256"/>
      <c r="H307" s="1426"/>
      <c r="I307" s="587" t="s">
        <v>1394</v>
      </c>
      <c r="J307" s="507"/>
      <c r="K307" s="1426"/>
      <c r="L307" s="151"/>
      <c r="M307" s="277"/>
      <c r="N307" s="270"/>
      <c r="O307" s="1550"/>
      <c r="P307" s="1550"/>
      <c r="AH307" s="1557">
        <v>0</v>
      </c>
    </row>
    <row r="308" spans="1:34" s="1561" customFormat="1" ht="0.75" hidden="1" customHeight="1">
      <c r="A308" s="1678"/>
      <c r="B308" s="1678"/>
      <c r="C308" s="305" t="s">
        <v>1402</v>
      </c>
      <c r="D308" s="24281"/>
      <c r="E308" s="24045"/>
      <c r="F308" s="24220"/>
      <c r="G308" s="336"/>
      <c r="H308" s="1426"/>
      <c r="I308" s="587"/>
      <c r="J308" s="507"/>
      <c r="K308" s="1426"/>
      <c r="L308" s="151"/>
      <c r="M308" s="277"/>
      <c r="N308" s="270"/>
      <c r="O308" s="1550"/>
      <c r="P308" s="1550"/>
      <c r="AH308" s="1557">
        <v>0</v>
      </c>
    </row>
    <row r="309" spans="1:34" s="1561" customFormat="1" ht="18.75" hidden="1" customHeight="1">
      <c r="A309" s="1678" t="s">
        <v>343</v>
      </c>
      <c r="B309" s="1678" t="s">
        <v>344</v>
      </c>
      <c r="C309" s="305"/>
      <c r="D309" s="24281"/>
      <c r="E309" s="24045"/>
      <c r="F309" s="2422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256" t="str">
        <f>INDEX(PT_DIFFERENTIATION_NTAR,MATCH(B309,PT_DIFFERENTIATION_NTAR_ID,0))</f>
        <v/>
      </c>
      <c r="H309" s="1759"/>
      <c r="I309" s="1637"/>
      <c r="J309" s="1671"/>
      <c r="K309" s="1676"/>
      <c r="L309" s="1759" t="s">
        <v>535</v>
      </c>
      <c r="M309" s="277"/>
      <c r="N309" s="270"/>
      <c r="O309" s="1550"/>
      <c r="P309" s="1550"/>
      <c r="AH309" s="1557">
        <v>0</v>
      </c>
    </row>
    <row r="310" spans="1:34" s="1561" customFormat="1" ht="18.75" hidden="1" customHeight="1">
      <c r="A310" s="1678"/>
      <c r="B310" s="1678"/>
      <c r="C310" s="305" t="s">
        <v>1395</v>
      </c>
      <c r="D310" s="24281"/>
      <c r="E310" s="24045"/>
      <c r="F310" s="24220"/>
      <c r="G310" s="24256"/>
      <c r="H310" s="1426"/>
      <c r="I310" s="587" t="s">
        <v>1394</v>
      </c>
      <c r="J310" s="507"/>
      <c r="K310" s="1426"/>
      <c r="L310" s="151"/>
      <c r="M310" s="277"/>
      <c r="N310" s="270"/>
      <c r="O310" s="1550"/>
      <c r="P310" s="1550"/>
      <c r="AH310" s="1557">
        <v>0</v>
      </c>
    </row>
    <row r="311" spans="1:34" s="1561" customFormat="1" ht="0.75" hidden="1" customHeight="1">
      <c r="A311" s="1678"/>
      <c r="B311" s="1678"/>
      <c r="C311" s="305" t="s">
        <v>1402</v>
      </c>
      <c r="D311" s="24281"/>
      <c r="E311" s="24045"/>
      <c r="F311" s="24220"/>
      <c r="G311" s="336"/>
      <c r="H311" s="1426"/>
      <c r="I311" s="587"/>
      <c r="J311" s="507"/>
      <c r="K311" s="1426"/>
      <c r="L311" s="151"/>
      <c r="M311" s="277"/>
      <c r="N311" s="270"/>
      <c r="O311" s="1550"/>
      <c r="P311" s="1550"/>
      <c r="AH311" s="1557">
        <v>0</v>
      </c>
    </row>
    <row r="312" spans="1:34" s="1561" customFormat="1" ht="18.75" hidden="1" customHeight="1">
      <c r="A312" s="1678" t="s">
        <v>351</v>
      </c>
      <c r="B312" s="1678" t="s">
        <v>352</v>
      </c>
      <c r="C312" s="305"/>
      <c r="D312" s="24281"/>
      <c r="E312" s="24045"/>
      <c r="F312" s="24220" t="str">
        <f>INDEX(PT_DIFFERENTIATION_VTAR,MATCH(A312,PT_DIFFERENTIATION_VTAR_ID,0))</f>
        <v>Тариф на горячую воду (горячее водоснабжение)</v>
      </c>
      <c r="G312" s="24256" t="str">
        <f>INDEX(PT_DIFFERENTIATION_NTAR,MATCH(B312,PT_DIFFERENTIATION_NTAR_ID,0))</f>
        <v>Тариф на горячую воду с использованием закрытой системы горячего водоснабжения</v>
      </c>
      <c r="H312" s="1759"/>
      <c r="I312" s="1637"/>
      <c r="J312" s="1671"/>
      <c r="K312" s="1676"/>
      <c r="L312" s="1759" t="s">
        <v>535</v>
      </c>
      <c r="M312" s="277"/>
      <c r="N312" s="270"/>
      <c r="O312" s="1550"/>
      <c r="P312" s="1550"/>
      <c r="AH312" s="1557">
        <v>0</v>
      </c>
    </row>
    <row r="313" spans="1:34" s="1561" customFormat="1" ht="18.75" hidden="1" customHeight="1">
      <c r="A313" s="1678"/>
      <c r="B313" s="1678"/>
      <c r="C313" s="305" t="s">
        <v>1395</v>
      </c>
      <c r="D313" s="24281"/>
      <c r="E313" s="24045"/>
      <c r="F313" s="24220"/>
      <c r="G313" s="24256"/>
      <c r="H313" s="1426"/>
      <c r="I313" s="587" t="s">
        <v>1394</v>
      </c>
      <c r="J313" s="507"/>
      <c r="K313" s="1426"/>
      <c r="L313" s="151"/>
      <c r="M313" s="277"/>
      <c r="N313" s="270"/>
      <c r="O313" s="1550"/>
      <c r="P313" s="1550"/>
      <c r="AH313" s="1557">
        <v>0</v>
      </c>
    </row>
    <row r="314" spans="1:34" s="1561" customFormat="1" ht="0.75" hidden="1" customHeight="1">
      <c r="A314" s="1678"/>
      <c r="B314" s="1678"/>
      <c r="C314" s="305" t="s">
        <v>1402</v>
      </c>
      <c r="D314" s="24281"/>
      <c r="E314" s="24045"/>
      <c r="F314" s="24220"/>
      <c r="G314" s="336"/>
      <c r="H314" s="1426"/>
      <c r="I314" s="587"/>
      <c r="J314" s="507"/>
      <c r="K314" s="1426"/>
      <c r="L314" s="151"/>
      <c r="M314" s="277"/>
      <c r="N314" s="270"/>
      <c r="O314" s="1550"/>
      <c r="P314" s="1550"/>
      <c r="AH314" s="1557">
        <v>0</v>
      </c>
    </row>
    <row r="315" spans="1:34" s="1561" customFormat="1" ht="18.75" hidden="1" customHeight="1">
      <c r="A315" s="1678" t="s">
        <v>484</v>
      </c>
      <c r="B315" s="1678" t="s">
        <v>485</v>
      </c>
      <c r="C315" s="305"/>
      <c r="D315" s="24281"/>
      <c r="E315" s="24045"/>
      <c r="F315" s="24220" t="str">
        <f>INDEX(PT_DIFFERENTIATION_VTAR,MATCH(A315,PT_DIFFERENTIATION_VTAR_ID,0))</f>
        <v>Тариф на транспортировку горячей воды</v>
      </c>
      <c r="G315" s="24256" t="str">
        <f>INDEX(PT_DIFFERENTIATION_NTAR,MATCH(B315,PT_DIFFERENTIATION_NTAR_ID,0))</f>
        <v/>
      </c>
      <c r="H315" s="1759"/>
      <c r="I315" s="1637"/>
      <c r="J315" s="1671"/>
      <c r="K315" s="1676"/>
      <c r="L315" s="1759" t="s">
        <v>535</v>
      </c>
      <c r="M315" s="277"/>
      <c r="N315" s="270"/>
      <c r="O315" s="1550"/>
      <c r="P315" s="1550"/>
      <c r="AH315" s="1557">
        <v>0</v>
      </c>
    </row>
    <row r="316" spans="1:34" s="1561" customFormat="1" ht="18.75" hidden="1" customHeight="1">
      <c r="A316" s="1678"/>
      <c r="B316" s="1678"/>
      <c r="C316" s="305" t="s">
        <v>1395</v>
      </c>
      <c r="D316" s="24281"/>
      <c r="E316" s="24045"/>
      <c r="F316" s="24220"/>
      <c r="G316" s="24256"/>
      <c r="H316" s="1426"/>
      <c r="I316" s="587" t="s">
        <v>1394</v>
      </c>
      <c r="J316" s="507"/>
      <c r="K316" s="1426"/>
      <c r="L316" s="151"/>
      <c r="M316" s="277"/>
      <c r="N316" s="270"/>
      <c r="O316" s="1550"/>
      <c r="P316" s="1550"/>
      <c r="AH316" s="1557">
        <v>0</v>
      </c>
    </row>
    <row r="317" spans="1:34" s="1561" customFormat="1" ht="0.75" hidden="1" customHeight="1">
      <c r="A317" s="1678"/>
      <c r="B317" s="1678"/>
      <c r="C317" s="305" t="s">
        <v>1402</v>
      </c>
      <c r="D317" s="24281"/>
      <c r="E317" s="24045"/>
      <c r="F317" s="24220"/>
      <c r="G317" s="336"/>
      <c r="H317" s="1426"/>
      <c r="I317" s="587"/>
      <c r="J317" s="507"/>
      <c r="K317" s="1426"/>
      <c r="L317" s="151"/>
      <c r="M317" s="277"/>
      <c r="N317" s="270"/>
      <c r="O317" s="1550"/>
      <c r="P317" s="1550"/>
      <c r="AH317" s="1557">
        <v>0</v>
      </c>
    </row>
    <row r="318" spans="1:34" s="1561" customFormat="1" ht="18.75" hidden="1" customHeight="1">
      <c r="A318" s="1678" t="s">
        <v>489</v>
      </c>
      <c r="B318" s="1678" t="s">
        <v>490</v>
      </c>
      <c r="C318" s="305"/>
      <c r="D318" s="24281"/>
      <c r="E318" s="24045"/>
      <c r="F318" s="2422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256" t="str">
        <f>INDEX(PT_DIFFERENTIATION_NTAR,MATCH(B318,PT_DIFFERENTIATION_NTAR_ID,0))</f>
        <v/>
      </c>
      <c r="H318" s="1759"/>
      <c r="I318" s="1637"/>
      <c r="J318" s="1671"/>
      <c r="K318" s="1676"/>
      <c r="L318" s="1759" t="s">
        <v>535</v>
      </c>
      <c r="M318" s="277"/>
      <c r="N318" s="270"/>
      <c r="O318" s="1550"/>
      <c r="P318" s="1550"/>
      <c r="AH318" s="1557">
        <v>0</v>
      </c>
    </row>
    <row r="319" spans="1:34" s="1561" customFormat="1" ht="18.75" hidden="1" customHeight="1">
      <c r="A319" s="1678"/>
      <c r="B319" s="1678"/>
      <c r="C319" s="305" t="s">
        <v>1395</v>
      </c>
      <c r="D319" s="24281"/>
      <c r="E319" s="24045"/>
      <c r="F319" s="24220"/>
      <c r="G319" s="24256"/>
      <c r="H319" s="1426"/>
      <c r="I319" s="587" t="s">
        <v>1394</v>
      </c>
      <c r="J319" s="507"/>
      <c r="K319" s="1426"/>
      <c r="L319" s="151"/>
      <c r="M319" s="277"/>
      <c r="N319" s="270"/>
      <c r="O319" s="1550"/>
      <c r="P319" s="1550"/>
      <c r="AH319" s="1557">
        <v>0</v>
      </c>
    </row>
    <row r="320" spans="1:34" s="1561" customFormat="1" ht="0.75" hidden="1" customHeight="1">
      <c r="A320" s="1678"/>
      <c r="B320" s="1678"/>
      <c r="C320" s="305" t="s">
        <v>1402</v>
      </c>
      <c r="D320" s="24281"/>
      <c r="E320" s="24045"/>
      <c r="F320" s="24220"/>
      <c r="G320" s="336"/>
      <c r="H320" s="1426"/>
      <c r="I320" s="587"/>
      <c r="J320" s="507"/>
      <c r="K320" s="1426"/>
      <c r="L320" s="151"/>
      <c r="M320" s="277"/>
      <c r="N320" s="270"/>
      <c r="O320" s="1550"/>
      <c r="P320" s="1550"/>
      <c r="AH320" s="1557">
        <v>0</v>
      </c>
    </row>
    <row r="321" spans="1:34" s="1561" customFormat="1" ht="18.75" hidden="1" customHeight="1">
      <c r="A321" s="1678" t="s">
        <v>494</v>
      </c>
      <c r="B321" s="1678" t="s">
        <v>495</v>
      </c>
      <c r="C321" s="305"/>
      <c r="D321" s="24281"/>
      <c r="E321" s="24045"/>
      <c r="F321" s="24220" t="str">
        <f>INDEX(PT_DIFFERENTIATION_VTAR,MATCH(A321,PT_DIFFERENTIATION_VTAR_ID,0))</f>
        <v>Тариф на водоотведение</v>
      </c>
      <c r="G321" s="24256" t="str">
        <f>INDEX(PT_DIFFERENTIATION_NTAR,MATCH(B321,PT_DIFFERENTIATION_NTAR_ID,0))</f>
        <v/>
      </c>
      <c r="H321" s="1759"/>
      <c r="I321" s="1637"/>
      <c r="J321" s="1671"/>
      <c r="K321" s="1676"/>
      <c r="L321" s="1759" t="s">
        <v>535</v>
      </c>
      <c r="M321" s="277"/>
      <c r="N321" s="270"/>
      <c r="O321" s="1550"/>
      <c r="P321" s="1550"/>
      <c r="AH321" s="1557">
        <v>0</v>
      </c>
    </row>
    <row r="322" spans="1:34" s="1561" customFormat="1" ht="18.75" hidden="1" customHeight="1">
      <c r="A322" s="1678"/>
      <c r="B322" s="1678"/>
      <c r="C322" s="305" t="s">
        <v>1395</v>
      </c>
      <c r="D322" s="24281"/>
      <c r="E322" s="24045"/>
      <c r="F322" s="24220"/>
      <c r="G322" s="24256"/>
      <c r="H322" s="1426"/>
      <c r="I322" s="587" t="s">
        <v>1394</v>
      </c>
      <c r="J322" s="507"/>
      <c r="K322" s="1426"/>
      <c r="L322" s="151"/>
      <c r="M322" s="277"/>
      <c r="N322" s="270"/>
      <c r="O322" s="1550"/>
      <c r="P322" s="1550"/>
      <c r="AH322" s="1557">
        <v>0</v>
      </c>
    </row>
    <row r="323" spans="1:34" s="1561" customFormat="1" ht="0.75" hidden="1" customHeight="1">
      <c r="A323" s="1678"/>
      <c r="B323" s="1678"/>
      <c r="C323" s="305" t="s">
        <v>1402</v>
      </c>
      <c r="D323" s="24281"/>
      <c r="E323" s="24045"/>
      <c r="F323" s="24220"/>
      <c r="G323" s="336"/>
      <c r="H323" s="1426"/>
      <c r="I323" s="587"/>
      <c r="J323" s="507"/>
      <c r="K323" s="1426"/>
      <c r="L323" s="151"/>
      <c r="M323" s="277"/>
      <c r="N323" s="270"/>
      <c r="O323" s="1550"/>
      <c r="P323" s="1550"/>
      <c r="AH323" s="1557">
        <v>0</v>
      </c>
    </row>
    <row r="324" spans="1:34" s="1561" customFormat="1" ht="18.75" hidden="1" customHeight="1">
      <c r="A324" s="1678" t="s">
        <v>499</v>
      </c>
      <c r="B324" s="1678" t="s">
        <v>500</v>
      </c>
      <c r="C324" s="305"/>
      <c r="D324" s="24281"/>
      <c r="E324" s="24045"/>
      <c r="F324" s="24220" t="str">
        <f>INDEX(PT_DIFFERENTIATION_VTAR,MATCH(A324,PT_DIFFERENTIATION_VTAR_ID,0))</f>
        <v>Тариф на транспортировку сточных вод</v>
      </c>
      <c r="G324" s="24256" t="str">
        <f>INDEX(PT_DIFFERENTIATION_NTAR,MATCH(B324,PT_DIFFERENTIATION_NTAR_ID,0))</f>
        <v/>
      </c>
      <c r="H324" s="1759"/>
      <c r="I324" s="1637"/>
      <c r="J324" s="1671"/>
      <c r="K324" s="1676"/>
      <c r="L324" s="1759" t="s">
        <v>535</v>
      </c>
      <c r="M324" s="277"/>
      <c r="N324" s="270"/>
      <c r="O324" s="1550"/>
      <c r="P324" s="1550"/>
      <c r="AH324" s="1557">
        <v>0</v>
      </c>
    </row>
    <row r="325" spans="1:34" s="1561" customFormat="1" ht="18.75" hidden="1" customHeight="1">
      <c r="A325" s="1678"/>
      <c r="B325" s="1678"/>
      <c r="C325" s="305" t="s">
        <v>1395</v>
      </c>
      <c r="D325" s="24281"/>
      <c r="E325" s="24045"/>
      <c r="F325" s="24220"/>
      <c r="G325" s="24256"/>
      <c r="H325" s="1426"/>
      <c r="I325" s="587" t="s">
        <v>1394</v>
      </c>
      <c r="J325" s="507"/>
      <c r="K325" s="1426"/>
      <c r="L325" s="151"/>
      <c r="M325" s="277"/>
      <c r="N325" s="270"/>
      <c r="O325" s="1550"/>
      <c r="P325" s="1550"/>
      <c r="AH325" s="1557">
        <v>0</v>
      </c>
    </row>
    <row r="326" spans="1:34" s="1561" customFormat="1" ht="0.75" hidden="1" customHeight="1">
      <c r="A326" s="1678"/>
      <c r="B326" s="1678"/>
      <c r="C326" s="305" t="s">
        <v>1402</v>
      </c>
      <c r="D326" s="24281"/>
      <c r="E326" s="24045"/>
      <c r="F326" s="24220"/>
      <c r="G326" s="336"/>
      <c r="H326" s="1426"/>
      <c r="I326" s="587"/>
      <c r="J326" s="507"/>
      <c r="K326" s="1426"/>
      <c r="L326" s="151"/>
      <c r="M326" s="277"/>
      <c r="N326" s="270"/>
      <c r="O326" s="1550"/>
      <c r="P326" s="1550"/>
      <c r="AH326" s="1557">
        <v>0</v>
      </c>
    </row>
    <row r="327" spans="1:34" s="1561" customFormat="1" ht="18.75" hidden="1" customHeight="1">
      <c r="A327" s="1678" t="s">
        <v>504</v>
      </c>
      <c r="B327" s="1678" t="s">
        <v>505</v>
      </c>
      <c r="C327" s="305"/>
      <c r="D327" s="24281"/>
      <c r="E327" s="24045"/>
      <c r="F327" s="24220" t="str">
        <f>INDEX(PT_DIFFERENTIATION_VTAR,MATCH(A327,PT_DIFFERENTIATION_VTAR_ID,0))</f>
        <v>Тариф на подключение (технологическое присоединение) к централизованной системе водоотведения</v>
      </c>
      <c r="G327" s="24256" t="str">
        <f>INDEX(PT_DIFFERENTIATION_NTAR,MATCH(B327,PT_DIFFERENTIATION_NTAR_ID,0))</f>
        <v/>
      </c>
      <c r="H327" s="1759"/>
      <c r="I327" s="1637"/>
      <c r="J327" s="1671"/>
      <c r="K327" s="1676"/>
      <c r="L327" s="1759" t="s">
        <v>535</v>
      </c>
      <c r="M327" s="277"/>
      <c r="N327" s="270"/>
      <c r="O327" s="1550"/>
      <c r="P327" s="1550"/>
      <c r="AH327" s="1557">
        <v>0</v>
      </c>
    </row>
    <row r="328" spans="1:34" s="1561" customFormat="1" ht="18.75" hidden="1" customHeight="1">
      <c r="A328" s="1678"/>
      <c r="B328" s="1678"/>
      <c r="C328" s="305" t="s">
        <v>1395</v>
      </c>
      <c r="D328" s="24281"/>
      <c r="E328" s="24045"/>
      <c r="F328" s="24220"/>
      <c r="G328" s="24256"/>
      <c r="H328" s="1426"/>
      <c r="I328" s="587" t="s">
        <v>1394</v>
      </c>
      <c r="J328" s="507"/>
      <c r="K328" s="1426"/>
      <c r="L328" s="151"/>
      <c r="M328" s="277"/>
      <c r="N328" s="270"/>
      <c r="O328" s="1550"/>
      <c r="P328" s="1550"/>
      <c r="AH328" s="1557">
        <v>0</v>
      </c>
    </row>
    <row r="329" spans="1:34" s="1561" customFormat="1" ht="1.1499999999999999" customHeight="1">
      <c r="A329" s="1678"/>
      <c r="B329" s="1678"/>
      <c r="C329" s="305" t="s">
        <v>1402</v>
      </c>
      <c r="D329" s="24281"/>
      <c r="E329" s="24045"/>
      <c r="F329" s="24220"/>
      <c r="G329" s="336"/>
      <c r="H329" s="1426"/>
      <c r="I329" s="587"/>
      <c r="J329" s="507"/>
      <c r="K329" s="1426"/>
      <c r="L329" s="151"/>
      <c r="M329" s="277"/>
      <c r="N329" s="270"/>
      <c r="O329" s="1550"/>
      <c r="P329" s="1550"/>
      <c r="AH329" s="1557">
        <v>1</v>
      </c>
    </row>
    <row r="330" spans="1:34" s="1720" customFormat="1" ht="3" customHeight="1">
      <c r="A330" s="1678"/>
      <c r="B330" s="1678"/>
      <c r="C330" s="1679"/>
      <c r="E330" s="338"/>
      <c r="F330" s="338"/>
      <c r="G330" s="338"/>
      <c r="H330" s="338"/>
      <c r="I330" s="338"/>
      <c r="J330" s="338"/>
      <c r="K330" s="338"/>
      <c r="L330" s="338"/>
      <c r="M330" s="338"/>
      <c r="O330" s="133"/>
      <c r="P330" s="133"/>
      <c r="AH330" s="78">
        <v>3</v>
      </c>
    </row>
    <row r="331" spans="1:34" ht="26.25" customHeight="1">
      <c r="E331" s="139"/>
      <c r="F331" s="24087"/>
      <c r="G331" s="24087"/>
      <c r="H331" s="24087"/>
      <c r="I331" s="24087"/>
      <c r="J331" s="24087"/>
      <c r="K331" s="24087"/>
      <c r="L331" s="24087"/>
      <c r="M331" s="24087"/>
      <c r="AH331" s="310">
        <v>25</v>
      </c>
    </row>
    <row r="332" spans="1:34" ht="14.25" hidden="1" customHeight="1">
      <c r="A332" s="1677" t="s">
        <v>73</v>
      </c>
      <c r="B332" s="1677">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1979" hidden="1" customWidth="1"/>
    <col min="2" max="2" width="9.140625" style="1292" hidden="1" customWidth="1"/>
    <col min="3" max="3" width="3" style="280"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1"/>
      <c r="O1" s="191"/>
      <c r="Q1" s="191"/>
      <c r="R1" s="310" t="s">
        <v>1</v>
      </c>
    </row>
    <row r="2" spans="1:18" s="1561" customFormat="1" ht="18.75" hidden="1" customHeight="1">
      <c r="A2" s="41"/>
      <c r="B2" s="1086"/>
      <c r="C2" s="1628" t="s">
        <v>96</v>
      </c>
      <c r="D2" s="1599"/>
      <c r="E2" s="1608"/>
      <c r="F2" s="193"/>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4002"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4003"/>
      <c r="F5" s="24003"/>
      <c r="G5" s="24004"/>
      <c r="H5" s="202"/>
      <c r="R5" s="310">
        <v>33</v>
      </c>
    </row>
    <row r="6" spans="1:18" s="1561" customFormat="1" ht="18" customHeight="1">
      <c r="A6" s="1595"/>
      <c r="B6" s="1086"/>
      <c r="C6" s="312"/>
      <c r="D6" s="24064" t="str">
        <f>IF(org=0,"Не определено",org)</f>
        <v>ООО "Смоленскрегионтеплоэнерго"</v>
      </c>
      <c r="E6" s="24065"/>
      <c r="F6" s="24065"/>
      <c r="G6" s="24066"/>
      <c r="H6" s="202"/>
      <c r="J6" s="1550"/>
      <c r="K6" s="1550"/>
      <c r="R6" s="1557">
        <v>17</v>
      </c>
    </row>
    <row r="7" spans="1:18" ht="14.65" customHeight="1">
      <c r="C7" s="312"/>
      <c r="D7" s="299"/>
      <c r="E7" s="325"/>
      <c r="F7" s="325"/>
      <c r="G7" s="688"/>
      <c r="H7" s="130"/>
      <c r="R7" s="310">
        <v>14</v>
      </c>
    </row>
    <row r="8" spans="1:18" ht="14.65" customHeight="1">
      <c r="C8" s="312"/>
      <c r="D8" s="24050" t="s">
        <v>529</v>
      </c>
      <c r="E8" s="24050"/>
      <c r="F8" s="24050"/>
      <c r="G8" s="24050"/>
      <c r="H8" s="24230" t="s">
        <v>530</v>
      </c>
      <c r="R8" s="310">
        <v>14</v>
      </c>
    </row>
    <row r="9" spans="1:18" ht="24" customHeight="1">
      <c r="C9" s="312"/>
      <c r="D9" s="322" t="s">
        <v>79</v>
      </c>
      <c r="E9" s="47" t="s">
        <v>531</v>
      </c>
      <c r="F9" s="47" t="s">
        <v>532</v>
      </c>
      <c r="G9" s="47" t="s">
        <v>619</v>
      </c>
      <c r="H9" s="24230"/>
      <c r="R9" s="310">
        <v>23</v>
      </c>
    </row>
    <row r="10" spans="1:18" ht="14.65" customHeight="1">
      <c r="A10" s="279"/>
      <c r="C10" s="312"/>
      <c r="D10" s="84" t="s">
        <v>218</v>
      </c>
      <c r="E10" s="178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3"/>
      <c r="G10" s="150"/>
      <c r="H10" s="23996" t="s">
        <v>1403</v>
      </c>
      <c r="R10" s="310">
        <v>14</v>
      </c>
    </row>
    <row r="11" spans="1:18" ht="14.65" customHeight="1">
      <c r="A11" s="279"/>
      <c r="C11" s="312"/>
      <c r="D11" s="84" t="s">
        <v>95</v>
      </c>
      <c r="E11" s="178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3"/>
      <c r="G11" s="150"/>
      <c r="H11" s="23997"/>
      <c r="R11" s="310">
        <v>14</v>
      </c>
    </row>
    <row r="12" spans="1:18" ht="14.65" customHeight="1">
      <c r="A12" s="41"/>
      <c r="C12" s="323"/>
      <c r="D12" s="84" t="s">
        <v>81</v>
      </c>
      <c r="E12" s="324" t="str">
        <f>"Сведения о планировании закупочных процедур"&amp;IF(TEMPLATE_SPHERE="TKO"," &lt;1&gt;","")</f>
        <v>Сведения о планировании закупочных процедур</v>
      </c>
      <c r="F12" s="193"/>
      <c r="G12" s="150"/>
      <c r="H12" s="2399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1"/>
      <c r="C13" s="323"/>
      <c r="D13" s="84" t="s">
        <v>82</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50"/>
      <c r="H13" s="23997"/>
      <c r="I13" s="286"/>
      <c r="K13" s="310"/>
      <c r="R13" s="310">
        <v>14</v>
      </c>
    </row>
    <row r="14" spans="1:18" ht="14.65" customHeight="1">
      <c r="A14" s="279"/>
      <c r="C14" s="312"/>
      <c r="D14" s="283"/>
      <c r="E14" s="331" t="s">
        <v>551</v>
      </c>
      <c r="F14" s="285"/>
      <c r="G14" s="138"/>
      <c r="H14" s="23998"/>
      <c r="R14" s="310">
        <v>14</v>
      </c>
    </row>
    <row r="15" spans="1:18" s="1561" customFormat="1" ht="14.65" customHeight="1">
      <c r="A15" s="279"/>
      <c r="B15" s="1086"/>
      <c r="C15" s="312"/>
      <c r="D15" s="332"/>
      <c r="E15" s="1603"/>
      <c r="F15" s="1604"/>
      <c r="G15" s="1605"/>
      <c r="H15" s="1606"/>
      <c r="J15" s="1550"/>
      <c r="K15" s="1550"/>
      <c r="R15" s="1557">
        <v>14</v>
      </c>
    </row>
    <row r="16" spans="1:18" ht="14.65" customHeight="1">
      <c r="D16" s="1607"/>
      <c r="E16" s="24087"/>
      <c r="F16" s="24087"/>
      <c r="G16" s="24087"/>
      <c r="H16" s="24087"/>
      <c r="R16" s="310">
        <v>14</v>
      </c>
    </row>
    <row r="17" spans="1:18" ht="22.5" hidden="1" customHeight="1">
      <c r="A17" s="300" t="s">
        <v>73</v>
      </c>
      <c r="B17" s="83">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50" style="1292" customWidth="1"/>
    <col min="12" max="20" width="10" style="1561" customWidth="1"/>
    <col min="21" max="21" width="10" style="611" customWidth="1"/>
    <col min="22" max="22" width="10.5703125" style="1561" hidden="1"/>
  </cols>
  <sheetData>
    <row r="1" spans="1:22" s="1292" customFormat="1" ht="22.5" hidden="1" customHeight="1">
      <c r="C1" s="608"/>
      <c r="G1" s="353">
        <v>4</v>
      </c>
      <c r="I1" s="353">
        <v>4</v>
      </c>
      <c r="U1" s="356"/>
      <c r="V1" s="353" t="s">
        <v>1</v>
      </c>
    </row>
    <row r="2" spans="1:22" s="1561" customFormat="1" ht="15" hidden="1" customHeight="1">
      <c r="A2" s="298"/>
      <c r="C2" s="113"/>
      <c r="D2" s="282"/>
      <c r="E2" s="609"/>
      <c r="F2" s="458"/>
      <c r="G2" s="552"/>
      <c r="H2" s="552"/>
      <c r="I2" s="552"/>
      <c r="J2" s="552"/>
      <c r="U2" s="610"/>
      <c r="V2" s="445">
        <v>0</v>
      </c>
    </row>
    <row r="3" spans="1:22" s="1292"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4069" t="s">
        <v>1404</v>
      </c>
      <c r="E5" s="24069"/>
      <c r="F5" s="24069"/>
      <c r="G5" s="24069"/>
      <c r="H5" s="24069"/>
      <c r="I5" s="24069"/>
      <c r="J5" s="24069"/>
      <c r="V5" s="441">
        <v>63</v>
      </c>
    </row>
    <row r="6" spans="1:22" ht="15.75" customHeight="1">
      <c r="C6" s="113"/>
      <c r="D6" s="24042" t="str">
        <f>IF(org=0,"Не определено",org)</f>
        <v>ООО "Смоленскрегионтеплоэнерго"</v>
      </c>
      <c r="E6" s="24042"/>
      <c r="F6" s="24042"/>
      <c r="G6" s="24042"/>
      <c r="H6" s="24042"/>
      <c r="I6" s="24042"/>
      <c r="J6" s="24042"/>
      <c r="K6" s="473"/>
      <c r="V6" s="441">
        <v>15</v>
      </c>
    </row>
    <row r="7" spans="1:22" ht="15.75" customHeight="1">
      <c r="C7" s="113"/>
      <c r="D7" s="688"/>
      <c r="E7" s="445"/>
      <c r="F7" s="445"/>
      <c r="G7" s="473">
        <v>22</v>
      </c>
      <c r="I7" s="473">
        <v>1</v>
      </c>
      <c r="J7" s="688"/>
      <c r="V7" s="441">
        <v>15</v>
      </c>
    </row>
    <row r="8" spans="1:22" s="1561" customFormat="1" ht="1.1499999999999999" customHeight="1">
      <c r="A8" s="693"/>
      <c r="C8" s="113"/>
      <c r="D8" s="445"/>
      <c r="E8" s="445"/>
      <c r="F8" s="445"/>
      <c r="G8" s="473"/>
      <c r="H8" s="688"/>
      <c r="I8" s="473" t="s">
        <v>223</v>
      </c>
      <c r="J8" s="688"/>
      <c r="K8" s="353"/>
      <c r="U8" s="611"/>
      <c r="V8" s="692">
        <v>1</v>
      </c>
    </row>
    <row r="9" spans="1:22" ht="15.75" customHeight="1">
      <c r="C9" s="113"/>
      <c r="D9" s="647"/>
      <c r="E9" s="24213" t="s">
        <v>214</v>
      </c>
      <c r="F9" s="24214"/>
      <c r="G9" s="24238" t="str">
        <f>IF(G8="","",INDEX(DIFFERENTIATION_UNMERGE_VD,MATCH(G8,DIFFERENTIATION_ID_DIFF,0)))</f>
        <v/>
      </c>
      <c r="H9" s="24239"/>
      <c r="I9" s="24238">
        <f>IF(I8="","",INDEX(DIFFERENTIATION_UNMERGE_VD,MATCH(I8,DIFFERENTIATION_ID_DIFF,0)))</f>
        <v>0</v>
      </c>
      <c r="J9" s="24239"/>
      <c r="K9" s="24022" t="s">
        <v>530</v>
      </c>
      <c r="V9" s="441">
        <v>15</v>
      </c>
    </row>
    <row r="10" spans="1:22" s="1561" customFormat="1" ht="15.75" customHeight="1">
      <c r="A10" s="693"/>
      <c r="C10" s="113"/>
      <c r="D10" s="647"/>
      <c r="E10" s="24213" t="s">
        <v>814</v>
      </c>
      <c r="F10" s="24214"/>
      <c r="G10" s="24238" t="str">
        <f>IF(G8="","",INDEX(DIFFERENTIATION_UNMERGE_AREA,MATCH(G8,DIFFERENTIATION_ID_DIFF,0)))</f>
        <v/>
      </c>
      <c r="H10" s="24239"/>
      <c r="I10" s="24238" t="str">
        <f>IF(I8="","",INDEX(DIFFERENTIATION_UNMERGE_AREA,MATCH(I8,DIFFERENTIATION_ID_DIFF,0)))</f>
        <v/>
      </c>
      <c r="J10" s="24239"/>
      <c r="K10" s="24027"/>
      <c r="U10" s="611"/>
      <c r="V10" s="692">
        <v>15</v>
      </c>
    </row>
    <row r="11" spans="1:22" s="1561" customFormat="1" ht="15.75" customHeight="1">
      <c r="A11" s="693"/>
      <c r="C11" s="113"/>
      <c r="D11" s="647"/>
      <c r="E11" s="24213" t="s">
        <v>815</v>
      </c>
      <c r="F11" s="24214"/>
      <c r="G11" s="24238" t="str">
        <f>IF(G8="","",INDEX(DIFFERENTIATION_UNMERGE_SYSTEM,MATCH(G8,DIFFERENTIATION_ID_DIFF,0)))</f>
        <v/>
      </c>
      <c r="H11" s="24239"/>
      <c r="I11" s="24238" t="str">
        <f>IF(I8="","",INDEX(DIFFERENTIATION_UNMERGE_SYSTEM,MATCH(I8,DIFFERENTIATION_ID_DIFF,0)))</f>
        <v>без дифференциации</v>
      </c>
      <c r="J11" s="24239"/>
      <c r="K11" s="24027"/>
      <c r="U11" s="611"/>
      <c r="V11" s="692">
        <v>15</v>
      </c>
    </row>
    <row r="12" spans="1:22" s="1561" customFormat="1" ht="15.75" customHeight="1">
      <c r="A12" s="693"/>
      <c r="C12" s="113"/>
      <c r="D12" s="24215" t="s">
        <v>529</v>
      </c>
      <c r="E12" s="24216"/>
      <c r="F12" s="24216"/>
      <c r="G12" s="816"/>
      <c r="H12" s="816"/>
      <c r="I12" s="816"/>
      <c r="J12" s="816"/>
      <c r="K12" s="24027"/>
      <c r="U12" s="611"/>
      <c r="V12" s="692">
        <v>15</v>
      </c>
    </row>
    <row r="13" spans="1:22" ht="35.65" customHeight="1">
      <c r="C13" s="113"/>
      <c r="D13" s="735" t="s">
        <v>79</v>
      </c>
      <c r="E13" s="737" t="s">
        <v>531</v>
      </c>
      <c r="F13" s="737" t="s">
        <v>816</v>
      </c>
      <c r="G13" s="738" t="s">
        <v>532</v>
      </c>
      <c r="H13" s="737" t="s">
        <v>619</v>
      </c>
      <c r="I13" s="738" t="s">
        <v>532</v>
      </c>
      <c r="J13" s="737" t="s">
        <v>619</v>
      </c>
      <c r="K13" s="24074"/>
      <c r="V13" s="441">
        <v>34</v>
      </c>
    </row>
    <row r="14" spans="1:22" ht="15" hidden="1" customHeight="1">
      <c r="C14" s="113"/>
      <c r="D14" s="529" t="s">
        <v>218</v>
      </c>
      <c r="E14" s="529" t="s">
        <v>95</v>
      </c>
      <c r="F14" s="529" t="s">
        <v>81</v>
      </c>
      <c r="G14" s="595" t="str">
        <f>G1&amp;".1"</f>
        <v>4.1</v>
      </c>
      <c r="H14" s="595"/>
      <c r="I14" s="595" t="str">
        <f>I1&amp;".1"</f>
        <v>4.1</v>
      </c>
      <c r="J14" s="595"/>
      <c r="K14" s="225"/>
      <c r="V14" s="441">
        <v>0</v>
      </c>
    </row>
    <row r="15" spans="1:22" ht="22.5" hidden="1" customHeight="1">
      <c r="A15" s="441"/>
      <c r="C15" s="462"/>
      <c r="D15" s="457">
        <v>1</v>
      </c>
      <c r="E15" s="613" t="s">
        <v>1058</v>
      </c>
      <c r="F15" s="457" t="s">
        <v>1059</v>
      </c>
      <c r="G15" s="614"/>
      <c r="H15" s="614"/>
      <c r="I15" s="614"/>
      <c r="J15" s="614"/>
      <c r="K15" s="225" t="s">
        <v>1060</v>
      </c>
      <c r="V15" s="441">
        <v>0</v>
      </c>
    </row>
    <row r="16" spans="1:22" ht="22.5" hidden="1" customHeight="1">
      <c r="A16" s="441"/>
      <c r="C16" s="462"/>
      <c r="D16" s="457">
        <v>2</v>
      </c>
      <c r="E16" s="215" t="s">
        <v>1061</v>
      </c>
      <c r="F16" s="457" t="s">
        <v>1062</v>
      </c>
      <c r="G16" s="614"/>
      <c r="H16" s="614"/>
      <c r="I16" s="614"/>
      <c r="J16" s="614"/>
      <c r="K16" s="225" t="s">
        <v>1063</v>
      </c>
      <c r="V16" s="441">
        <v>0</v>
      </c>
    </row>
    <row r="17" spans="1:22" ht="123.75" hidden="1" customHeight="1">
      <c r="A17" s="441"/>
      <c r="C17" s="462"/>
      <c r="D17" s="457">
        <v>3</v>
      </c>
      <c r="E17" s="215" t="s">
        <v>1405</v>
      </c>
      <c r="F17" s="457" t="s">
        <v>535</v>
      </c>
      <c r="G17" s="614"/>
      <c r="H17" s="614"/>
      <c r="I17" s="614"/>
      <c r="J17" s="614"/>
      <c r="K17" s="225" t="s">
        <v>1406</v>
      </c>
      <c r="V17" s="441">
        <v>0</v>
      </c>
    </row>
    <row r="18" spans="1:22" ht="48.2" customHeight="1">
      <c r="A18" s="441"/>
      <c r="C18" s="462"/>
      <c r="D18" s="457">
        <v>3</v>
      </c>
      <c r="E18" s="215" t="s">
        <v>1064</v>
      </c>
      <c r="F18" s="457" t="s">
        <v>535</v>
      </c>
      <c r="G18" s="739" t="s">
        <v>535</v>
      </c>
      <c r="H18" s="740" t="s">
        <v>535</v>
      </c>
      <c r="I18" s="457" t="s">
        <v>535</v>
      </c>
      <c r="J18" s="514" t="s">
        <v>535</v>
      </c>
      <c r="K18" s="225" t="s">
        <v>1407</v>
      </c>
      <c r="V18" s="441">
        <v>46</v>
      </c>
    </row>
    <row r="19" spans="1:22" ht="35.65" customHeight="1">
      <c r="A19" s="441"/>
      <c r="C19" s="462"/>
      <c r="D19" s="475" t="s">
        <v>553</v>
      </c>
      <c r="E19" s="495" t="s">
        <v>1066</v>
      </c>
      <c r="F19" s="457" t="s">
        <v>1067</v>
      </c>
      <c r="G19" s="747"/>
      <c r="H19" s="45"/>
      <c r="I19" s="747"/>
      <c r="J19" s="748"/>
      <c r="K19" s="615"/>
      <c r="V19" s="441">
        <v>34</v>
      </c>
    </row>
    <row r="20" spans="1:22" ht="35.65" customHeight="1">
      <c r="A20" s="441"/>
      <c r="C20" s="462"/>
      <c r="D20" s="1787" t="s">
        <v>561</v>
      </c>
      <c r="E20" s="495" t="s">
        <v>1068</v>
      </c>
      <c r="F20" s="457" t="s">
        <v>1069</v>
      </c>
      <c r="G20" s="747"/>
      <c r="H20" s="45"/>
      <c r="I20" s="747"/>
      <c r="J20" s="45"/>
      <c r="K20" s="615"/>
      <c r="V20" s="441">
        <v>34</v>
      </c>
    </row>
    <row r="21" spans="1:22" ht="48.2" customHeight="1">
      <c r="A21" s="441"/>
      <c r="C21" s="462"/>
      <c r="D21" s="1787" t="s">
        <v>563</v>
      </c>
      <c r="E21" s="495" t="s">
        <v>1070</v>
      </c>
      <c r="F21" s="457" t="s">
        <v>821</v>
      </c>
      <c r="G21" s="616"/>
      <c r="H21" s="45"/>
      <c r="I21" s="616"/>
      <c r="J21" s="45"/>
      <c r="K21" s="615"/>
      <c r="V21" s="441">
        <v>46</v>
      </c>
    </row>
    <row r="22" spans="1:22" ht="67.5" hidden="1" customHeight="1">
      <c r="A22" s="441"/>
      <c r="C22" s="462"/>
      <c r="D22" s="457">
        <v>5</v>
      </c>
      <c r="E22" s="215" t="s">
        <v>1408</v>
      </c>
      <c r="F22" s="457" t="s">
        <v>808</v>
      </c>
      <c r="G22" s="617"/>
      <c r="H22" s="618"/>
      <c r="I22" s="617"/>
      <c r="J22" s="618"/>
      <c r="K22" s="225" t="s">
        <v>1409</v>
      </c>
      <c r="V22" s="441">
        <v>0</v>
      </c>
    </row>
    <row r="23" spans="1:22" ht="33.75" hidden="1" customHeight="1">
      <c r="C23" s="387"/>
      <c r="D23" s="457">
        <v>6</v>
      </c>
      <c r="E23" s="215" t="s">
        <v>1410</v>
      </c>
      <c r="F23" s="457" t="s">
        <v>1411</v>
      </c>
      <c r="G23" s="617"/>
      <c r="H23" s="617"/>
      <c r="I23" s="617"/>
      <c r="J23" s="617"/>
      <c r="K23" s="225" t="s">
        <v>1412</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73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47" hidden="1"/>
    <col min="3" max="4" width="3" style="1747" customWidth="1"/>
    <col min="5" max="6" width="15" style="1747" customWidth="1"/>
    <col min="7" max="7" width="11.5703125" style="1747" customWidth="1"/>
    <col min="8" max="9" width="3" style="1747" customWidth="1"/>
    <col min="10" max="10" width="12" style="1747" customWidth="1"/>
    <col min="11" max="11" width="0.28515625" style="1747" customWidth="1"/>
    <col min="12" max="13" width="10" style="1747" customWidth="1"/>
    <col min="14" max="15" width="3" style="1747" customWidth="1"/>
    <col min="16" max="16" width="19" style="1747" customWidth="1"/>
    <col min="17" max="17" width="0.28515625" style="1747" customWidth="1"/>
    <col min="18" max="19" width="10" style="1747" customWidth="1"/>
    <col min="20" max="21" width="3" style="1747" customWidth="1"/>
    <col min="22" max="22" width="25" style="1747" customWidth="1"/>
    <col min="23" max="23" width="0.28515625" style="1747" customWidth="1"/>
    <col min="24" max="25" width="10" style="1747" customWidth="1"/>
    <col min="26" max="27" width="3" style="1747" customWidth="1"/>
    <col min="28" max="28" width="16" style="1747" customWidth="1"/>
    <col min="29" max="29" width="0.28515625" style="1747" customWidth="1"/>
    <col min="30" max="31" width="10" style="1747" customWidth="1"/>
    <col min="32" max="33" width="3" style="1747" customWidth="1"/>
    <col min="34" max="34" width="8" style="1747" customWidth="1"/>
    <col min="35" max="35" width="21" style="1747" customWidth="1"/>
    <col min="36" max="36" width="8" style="1747" customWidth="1"/>
    <col min="37" max="37" width="8" style="294" customWidth="1"/>
    <col min="38" max="64" width="8" style="1747" customWidth="1"/>
    <col min="65" max="65" width="9.140625" style="1747"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v>
      </c>
    </row>
    <row r="2" spans="1:65" s="1479" customFormat="1" ht="11.25" hidden="1" customHeight="1">
      <c r="L2" s="1479" t="s">
        <v>508</v>
      </c>
      <c r="M2" s="1479" t="s">
        <v>509</v>
      </c>
      <c r="R2" s="1479" t="s">
        <v>510</v>
      </c>
      <c r="S2" s="1479" t="s">
        <v>509</v>
      </c>
      <c r="X2" s="1479" t="s">
        <v>508</v>
      </c>
      <c r="Y2" s="1479" t="s">
        <v>509</v>
      </c>
      <c r="AD2" s="1479" t="s">
        <v>508</v>
      </c>
      <c r="AE2" s="1479" t="s">
        <v>509</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2"/>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17" customFormat="1" ht="34.5" customHeight="1">
      <c r="A4" s="1082"/>
      <c r="B4" s="1081"/>
      <c r="C4" s="1441"/>
      <c r="D4" s="24021" t="s">
        <v>511</v>
      </c>
      <c r="E4" s="24021"/>
      <c r="F4" s="24021"/>
      <c r="G4" s="24021"/>
      <c r="H4" s="24021"/>
      <c r="I4" s="24021"/>
      <c r="J4" s="24021"/>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17" customFormat="1" ht="14.65" customHeight="1">
      <c r="A5" s="1558"/>
      <c r="B5" s="1557"/>
      <c r="C5" s="1441"/>
      <c r="D5" s="24042" t="str">
        <f>IF(org=0,"Не определено",org)</f>
        <v>ООО "Смоленскрегионтеплоэнерго"</v>
      </c>
      <c r="E5" s="24042"/>
      <c r="F5" s="24042"/>
      <c r="G5" s="24042"/>
      <c r="H5" s="24042"/>
      <c r="I5" s="24042"/>
      <c r="J5" s="24042"/>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17"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3947" t="s">
        <v>79</v>
      </c>
      <c r="E8" s="23947" t="s">
        <v>214</v>
      </c>
      <c r="F8" s="24023" t="s">
        <v>228</v>
      </c>
      <c r="G8" s="24024"/>
      <c r="H8" s="24023" t="s">
        <v>79</v>
      </c>
      <c r="I8" s="24024"/>
      <c r="J8" s="23947" t="s">
        <v>229</v>
      </c>
      <c r="K8" s="1482"/>
      <c r="L8" s="24022" t="s">
        <v>512</v>
      </c>
      <c r="M8" s="24022"/>
      <c r="N8" s="24022"/>
      <c r="O8" s="24022"/>
      <c r="P8" s="24022"/>
      <c r="Q8" s="1483"/>
      <c r="R8" s="23928" t="s">
        <v>513</v>
      </c>
      <c r="S8" s="23933"/>
      <c r="T8" s="23933"/>
      <c r="U8" s="23933"/>
      <c r="V8" s="23933"/>
      <c r="W8" s="1483"/>
      <c r="X8" s="23947" t="s">
        <v>514</v>
      </c>
      <c r="Y8" s="23947"/>
      <c r="Z8" s="23947"/>
      <c r="AA8" s="23947"/>
      <c r="AB8" s="23947"/>
      <c r="AC8" s="1484"/>
      <c r="AD8" s="23947" t="s">
        <v>515</v>
      </c>
      <c r="AE8" s="23947"/>
      <c r="AF8" s="23947"/>
      <c r="AG8" s="23947"/>
      <c r="AH8" s="23928"/>
      <c r="AI8" s="23947" t="s">
        <v>516</v>
      </c>
      <c r="AJ8" s="1500"/>
      <c r="BM8" s="229">
        <v>32</v>
      </c>
    </row>
    <row r="9" spans="1:65" ht="23.25" customHeight="1">
      <c r="D9" s="23947"/>
      <c r="E9" s="23947"/>
      <c r="F9" s="24022" t="s">
        <v>80</v>
      </c>
      <c r="G9" s="24022" t="s">
        <v>234</v>
      </c>
      <c r="H9" s="24025"/>
      <c r="I9" s="24026"/>
      <c r="J9" s="23928"/>
      <c r="K9" s="1485"/>
      <c r="L9" s="23947" t="s">
        <v>517</v>
      </c>
      <c r="M9" s="23928"/>
      <c r="N9" s="24023" t="s">
        <v>79</v>
      </c>
      <c r="O9" s="24024"/>
      <c r="P9" s="23947" t="s">
        <v>235</v>
      </c>
      <c r="Q9" s="1482"/>
      <c r="R9" s="23947" t="s">
        <v>517</v>
      </c>
      <c r="S9" s="23928"/>
      <c r="T9" s="24023" t="s">
        <v>79</v>
      </c>
      <c r="U9" s="24024"/>
      <c r="V9" s="23947" t="s">
        <v>235</v>
      </c>
      <c r="W9" s="1482"/>
      <c r="X9" s="23947" t="s">
        <v>517</v>
      </c>
      <c r="Y9" s="23928"/>
      <c r="Z9" s="24023" t="s">
        <v>79</v>
      </c>
      <c r="AA9" s="24024"/>
      <c r="AB9" s="23947" t="s">
        <v>518</v>
      </c>
      <c r="AC9" s="1482"/>
      <c r="AD9" s="23947" t="s">
        <v>517</v>
      </c>
      <c r="AE9" s="23928"/>
      <c r="AF9" s="24023" t="s">
        <v>79</v>
      </c>
      <c r="AG9" s="24024"/>
      <c r="AH9" s="23928" t="s">
        <v>518</v>
      </c>
      <c r="AI9" s="23947"/>
      <c r="AJ9" s="1500"/>
      <c r="BM9" s="229">
        <v>22</v>
      </c>
    </row>
    <row r="10" spans="1:65" ht="24" customHeight="1">
      <c r="D10" s="24022"/>
      <c r="E10" s="24022"/>
      <c r="F10" s="24027"/>
      <c r="G10" s="24027"/>
      <c r="H10" s="24028"/>
      <c r="I10" s="24029"/>
      <c r="J10" s="24023"/>
      <c r="K10" s="1485"/>
      <c r="L10" s="1504" t="s">
        <v>519</v>
      </c>
      <c r="M10" s="1499" t="s">
        <v>520</v>
      </c>
      <c r="N10" s="24025"/>
      <c r="O10" s="24026"/>
      <c r="P10" s="24022"/>
      <c r="Q10" s="1482"/>
      <c r="R10" s="1504" t="s">
        <v>519</v>
      </c>
      <c r="S10" s="1499" t="s">
        <v>520</v>
      </c>
      <c r="T10" s="24025"/>
      <c r="U10" s="24026"/>
      <c r="V10" s="24022"/>
      <c r="W10" s="1482"/>
      <c r="X10" s="1504" t="s">
        <v>519</v>
      </c>
      <c r="Y10" s="1499" t="s">
        <v>520</v>
      </c>
      <c r="Z10" s="24025"/>
      <c r="AA10" s="24026"/>
      <c r="AB10" s="24022"/>
      <c r="AC10" s="1482"/>
      <c r="AD10" s="1504" t="s">
        <v>519</v>
      </c>
      <c r="AE10" s="1499" t="s">
        <v>520</v>
      </c>
      <c r="AF10" s="24025"/>
      <c r="AG10" s="24026"/>
      <c r="AH10" s="24023"/>
      <c r="AI10" s="24022"/>
      <c r="AJ10" s="1500"/>
      <c r="AK10" s="190" t="s">
        <v>521</v>
      </c>
      <c r="AL10" s="190" t="s">
        <v>236</v>
      </c>
      <c r="BM10" s="229">
        <v>23</v>
      </c>
    </row>
    <row r="11" spans="1:65" ht="15" customHeight="1">
      <c r="D11" s="24030" t="s">
        <v>218</v>
      </c>
      <c r="E11" s="24032" t="s">
        <v>522</v>
      </c>
      <c r="F11" s="24032" t="s">
        <v>523</v>
      </c>
      <c r="G11" s="24018" t="s">
        <v>6</v>
      </c>
      <c r="H11" s="1525"/>
      <c r="I11" s="24035"/>
      <c r="J11" s="23975"/>
      <c r="K11" s="1440"/>
      <c r="L11" s="23967"/>
      <c r="M11" s="23967"/>
      <c r="N11" s="1510"/>
      <c r="O11" s="23967"/>
      <c r="P11" s="23975"/>
      <c r="Q11" s="1511"/>
      <c r="R11" s="23967"/>
      <c r="S11" s="23967"/>
      <c r="T11" s="1512"/>
      <c r="U11" s="23967"/>
      <c r="V11" s="23975"/>
      <c r="W11" s="1513"/>
      <c r="X11" s="23967"/>
      <c r="Y11" s="23967"/>
      <c r="Z11" s="1510"/>
      <c r="AA11" s="23967"/>
      <c r="AB11" s="23975"/>
      <c r="AC11" s="1514"/>
      <c r="AD11" s="23967"/>
      <c r="AE11" s="23967"/>
      <c r="AF11" s="1439"/>
      <c r="AG11" s="1439"/>
      <c r="AH11" s="1515"/>
      <c r="AI11" s="1222"/>
      <c r="AJ11" s="1500"/>
      <c r="BM11" s="229">
        <v>14</v>
      </c>
    </row>
    <row r="12" spans="1:65" ht="14.65" customHeight="1">
      <c r="D12" s="24030"/>
      <c r="E12" s="24032"/>
      <c r="F12" s="24032"/>
      <c r="G12" s="24019"/>
      <c r="H12" s="1526"/>
      <c r="I12" s="24036"/>
      <c r="J12" s="23976"/>
      <c r="K12" s="1536"/>
      <c r="L12" s="23968"/>
      <c r="M12" s="23968"/>
      <c r="N12" s="1516"/>
      <c r="O12" s="23968"/>
      <c r="P12" s="23976"/>
      <c r="Q12" s="1517"/>
      <c r="R12" s="23968"/>
      <c r="S12" s="23968"/>
      <c r="T12" s="1518"/>
      <c r="U12" s="23968"/>
      <c r="V12" s="23976"/>
      <c r="W12" s="1519"/>
      <c r="X12" s="23968"/>
      <c r="Y12" s="23968"/>
      <c r="Z12" s="1516"/>
      <c r="AA12" s="23968"/>
      <c r="AB12" s="23976"/>
      <c r="AC12" s="1520"/>
      <c r="AD12" s="23968"/>
      <c r="AE12" s="23968"/>
      <c r="AF12" s="1521"/>
      <c r="AG12" s="1521"/>
      <c r="AH12" s="24039"/>
      <c r="AI12" s="24040"/>
      <c r="AJ12" s="1500"/>
      <c r="BM12" s="229">
        <v>14</v>
      </c>
    </row>
    <row r="13" spans="1:65" ht="14.65" customHeight="1">
      <c r="D13" s="24030"/>
      <c r="E13" s="24032"/>
      <c r="F13" s="24032"/>
      <c r="G13" s="24019"/>
      <c r="H13" s="1526"/>
      <c r="I13" s="24036"/>
      <c r="J13" s="23976"/>
      <c r="K13" s="1536"/>
      <c r="L13" s="23968"/>
      <c r="M13" s="23968"/>
      <c r="N13" s="1516"/>
      <c r="O13" s="23968"/>
      <c r="P13" s="23976"/>
      <c r="Q13" s="1517"/>
      <c r="R13" s="23968"/>
      <c r="S13" s="23968"/>
      <c r="T13" s="1518"/>
      <c r="U13" s="23968"/>
      <c r="V13" s="23976"/>
      <c r="W13" s="1519"/>
      <c r="X13" s="23968"/>
      <c r="Y13" s="23968"/>
      <c r="Z13" s="1438"/>
      <c r="AA13" s="1521"/>
      <c r="AB13" s="24039"/>
      <c r="AC13" s="24039"/>
      <c r="AD13" s="24039"/>
      <c r="AE13" s="24039"/>
      <c r="AF13" s="24039"/>
      <c r="AG13" s="24039"/>
      <c r="AH13" s="24039"/>
      <c r="AI13" s="24040"/>
      <c r="AJ13" s="1500"/>
      <c r="BM13" s="229">
        <v>14</v>
      </c>
    </row>
    <row r="14" spans="1:65" ht="14.65" customHeight="1">
      <c r="D14" s="24030"/>
      <c r="E14" s="24032"/>
      <c r="F14" s="24032"/>
      <c r="G14" s="24019"/>
      <c r="H14" s="1526"/>
      <c r="I14" s="24036"/>
      <c r="J14" s="23976"/>
      <c r="K14" s="1536"/>
      <c r="L14" s="23968"/>
      <c r="M14" s="23968"/>
      <c r="N14" s="1516"/>
      <c r="O14" s="23968"/>
      <c r="P14" s="23976"/>
      <c r="Q14" s="1517"/>
      <c r="R14" s="23968"/>
      <c r="S14" s="23968"/>
      <c r="T14" s="1522"/>
      <c r="U14" s="1523"/>
      <c r="V14" s="24039"/>
      <c r="W14" s="24039"/>
      <c r="X14" s="24039"/>
      <c r="Y14" s="24039"/>
      <c r="Z14" s="24039"/>
      <c r="AA14" s="24039"/>
      <c r="AB14" s="24039"/>
      <c r="AC14" s="24039"/>
      <c r="AD14" s="24039"/>
      <c r="AE14" s="24039"/>
      <c r="AF14" s="24039"/>
      <c r="AG14" s="24039"/>
      <c r="AH14" s="24039"/>
      <c r="AI14" s="24040"/>
      <c r="AJ14" s="1500"/>
      <c r="BM14" s="229">
        <v>14</v>
      </c>
    </row>
    <row r="15" spans="1:65" ht="11.45" customHeight="1">
      <c r="D15" s="24030"/>
      <c r="E15" s="24032"/>
      <c r="F15" s="24032"/>
      <c r="G15" s="24019"/>
      <c r="H15" s="1527"/>
      <c r="I15" s="24036"/>
      <c r="J15" s="23976"/>
      <c r="K15" s="1536"/>
      <c r="L15" s="23968"/>
      <c r="M15" s="23968"/>
      <c r="N15" s="1521"/>
      <c r="O15" s="1521"/>
      <c r="P15" s="24039"/>
      <c r="Q15" s="24039"/>
      <c r="R15" s="24039"/>
      <c r="S15" s="24039"/>
      <c r="T15" s="24039"/>
      <c r="U15" s="24039"/>
      <c r="V15" s="24039"/>
      <c r="W15" s="24039"/>
      <c r="X15" s="24039"/>
      <c r="Y15" s="24039"/>
      <c r="Z15" s="24039"/>
      <c r="AA15" s="24039"/>
      <c r="AB15" s="24039"/>
      <c r="AC15" s="24039"/>
      <c r="AD15" s="24039"/>
      <c r="AE15" s="24039"/>
      <c r="AF15" s="24039"/>
      <c r="AG15" s="24039"/>
      <c r="AH15" s="24039"/>
      <c r="AI15" s="24040"/>
      <c r="AJ15" s="1500"/>
      <c r="BM15" s="229">
        <v>11</v>
      </c>
    </row>
    <row r="16" spans="1:65" s="1480" customFormat="1" ht="11.45" customHeight="1">
      <c r="D16" s="24031"/>
      <c r="E16" s="24033"/>
      <c r="F16" s="24034"/>
      <c r="G16" s="23962"/>
      <c r="H16" s="1524"/>
      <c r="I16" s="1528"/>
      <c r="J16" s="24037"/>
      <c r="K16" s="24037"/>
      <c r="L16" s="24037"/>
      <c r="M16" s="24037"/>
      <c r="N16" s="24037"/>
      <c r="O16" s="24037"/>
      <c r="P16" s="24037"/>
      <c r="Q16" s="24037"/>
      <c r="R16" s="24037"/>
      <c r="S16" s="24037"/>
      <c r="T16" s="24037"/>
      <c r="U16" s="24037"/>
      <c r="V16" s="24037"/>
      <c r="W16" s="24037"/>
      <c r="X16" s="24037"/>
      <c r="Y16" s="24037"/>
      <c r="Z16" s="24037"/>
      <c r="AA16" s="24037"/>
      <c r="AB16" s="24037"/>
      <c r="AC16" s="24037"/>
      <c r="AD16" s="24037"/>
      <c r="AE16" s="24037"/>
      <c r="AF16" s="24037"/>
      <c r="AG16" s="24037"/>
      <c r="AH16" s="24037"/>
      <c r="AI16" s="24038"/>
      <c r="AJ16" s="1500"/>
      <c r="AK16" s="242"/>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4030" t="s">
        <v>95</v>
      </c>
      <c r="E17" s="24032" t="s">
        <v>522</v>
      </c>
      <c r="F17" s="24032" t="s">
        <v>524</v>
      </c>
      <c r="G17" s="24018" t="s">
        <v>6</v>
      </c>
      <c r="H17" s="1525"/>
      <c r="I17" s="24035"/>
      <c r="J17" s="23975"/>
      <c r="K17" s="1440"/>
      <c r="L17" s="23967"/>
      <c r="M17" s="23967"/>
      <c r="N17" s="1510"/>
      <c r="O17" s="23967"/>
      <c r="P17" s="23975"/>
      <c r="Q17" s="1511"/>
      <c r="R17" s="23967"/>
      <c r="S17" s="23967"/>
      <c r="T17" s="1512"/>
      <c r="U17" s="23967"/>
      <c r="V17" s="23975"/>
      <c r="W17" s="1513"/>
      <c r="X17" s="23967"/>
      <c r="Y17" s="23967"/>
      <c r="Z17" s="1510"/>
      <c r="AA17" s="23967"/>
      <c r="AB17" s="23975"/>
      <c r="AC17" s="1514"/>
      <c r="AD17" s="23967"/>
      <c r="AE17" s="23967"/>
      <c r="AF17" s="1439"/>
      <c r="AG17" s="1439"/>
      <c r="AH17" s="1515"/>
      <c r="AI17" s="1222"/>
      <c r="AJ17" s="1500"/>
      <c r="BM17" s="229">
        <v>14</v>
      </c>
    </row>
    <row r="18" spans="4:65" ht="14.65" customHeight="1">
      <c r="D18" s="24030"/>
      <c r="E18" s="24032"/>
      <c r="F18" s="24032"/>
      <c r="G18" s="24019"/>
      <c r="H18" s="1526"/>
      <c r="I18" s="24036"/>
      <c r="J18" s="23976"/>
      <c r="K18" s="1509"/>
      <c r="L18" s="23968"/>
      <c r="M18" s="23968"/>
      <c r="N18" s="1516"/>
      <c r="O18" s="23968"/>
      <c r="P18" s="23976"/>
      <c r="Q18" s="1517"/>
      <c r="R18" s="23968"/>
      <c r="S18" s="23968"/>
      <c r="T18" s="1518"/>
      <c r="U18" s="23968"/>
      <c r="V18" s="23976"/>
      <c r="W18" s="1519"/>
      <c r="X18" s="23968"/>
      <c r="Y18" s="23968"/>
      <c r="Z18" s="1516"/>
      <c r="AA18" s="23968"/>
      <c r="AB18" s="23976"/>
      <c r="AC18" s="1520"/>
      <c r="AD18" s="23968"/>
      <c r="AE18" s="23968"/>
      <c r="AF18" s="1521"/>
      <c r="AG18" s="1521"/>
      <c r="AH18" s="24039"/>
      <c r="AI18" s="24040"/>
      <c r="AJ18" s="1500"/>
      <c r="BM18" s="229">
        <v>14</v>
      </c>
    </row>
    <row r="19" spans="4:65" ht="14.65" customHeight="1">
      <c r="D19" s="24030"/>
      <c r="E19" s="24032"/>
      <c r="F19" s="24032"/>
      <c r="G19" s="24019"/>
      <c r="H19" s="1526"/>
      <c r="I19" s="24036"/>
      <c r="J19" s="23976"/>
      <c r="K19" s="1509"/>
      <c r="L19" s="23968"/>
      <c r="M19" s="23968"/>
      <c r="N19" s="1516"/>
      <c r="O19" s="23968"/>
      <c r="P19" s="23976"/>
      <c r="Q19" s="1517"/>
      <c r="R19" s="23968"/>
      <c r="S19" s="23968"/>
      <c r="T19" s="1518"/>
      <c r="U19" s="23968"/>
      <c r="V19" s="23976"/>
      <c r="W19" s="1519"/>
      <c r="X19" s="23968"/>
      <c r="Y19" s="23968"/>
      <c r="Z19" s="1438"/>
      <c r="AA19" s="1521"/>
      <c r="AB19" s="24039"/>
      <c r="AC19" s="24039"/>
      <c r="AD19" s="24039"/>
      <c r="AE19" s="24039"/>
      <c r="AF19" s="24039"/>
      <c r="AG19" s="24039"/>
      <c r="AH19" s="24039"/>
      <c r="AI19" s="24040"/>
      <c r="AJ19" s="1500"/>
      <c r="BM19" s="229">
        <v>14</v>
      </c>
    </row>
    <row r="20" spans="4:65" ht="14.65" customHeight="1">
      <c r="D20" s="24030"/>
      <c r="E20" s="24032"/>
      <c r="F20" s="24032"/>
      <c r="G20" s="24019"/>
      <c r="H20" s="1526"/>
      <c r="I20" s="24036"/>
      <c r="J20" s="23976"/>
      <c r="K20" s="1509"/>
      <c r="L20" s="23968"/>
      <c r="M20" s="23968"/>
      <c r="N20" s="1516"/>
      <c r="O20" s="23968"/>
      <c r="P20" s="23976"/>
      <c r="Q20" s="1517"/>
      <c r="R20" s="23968"/>
      <c r="S20" s="23968"/>
      <c r="T20" s="1522"/>
      <c r="U20" s="1523"/>
      <c r="V20" s="24039"/>
      <c r="W20" s="24039"/>
      <c r="X20" s="24039"/>
      <c r="Y20" s="24039"/>
      <c r="Z20" s="24039"/>
      <c r="AA20" s="24039"/>
      <c r="AB20" s="24039"/>
      <c r="AC20" s="24039"/>
      <c r="AD20" s="24039"/>
      <c r="AE20" s="24039"/>
      <c r="AF20" s="24039"/>
      <c r="AG20" s="24039"/>
      <c r="AH20" s="24039"/>
      <c r="AI20" s="24040"/>
      <c r="AJ20" s="1500"/>
      <c r="BM20" s="229">
        <v>14</v>
      </c>
    </row>
    <row r="21" spans="4:65" ht="11.45" customHeight="1">
      <c r="D21" s="24030"/>
      <c r="E21" s="24032"/>
      <c r="F21" s="24032"/>
      <c r="G21" s="24019"/>
      <c r="H21" s="1527"/>
      <c r="I21" s="24036"/>
      <c r="J21" s="23976"/>
      <c r="K21" s="1509"/>
      <c r="L21" s="23968"/>
      <c r="M21" s="23968"/>
      <c r="N21" s="1521"/>
      <c r="O21" s="1521"/>
      <c r="P21" s="24039"/>
      <c r="Q21" s="24039"/>
      <c r="R21" s="24039"/>
      <c r="S21" s="24039"/>
      <c r="T21" s="24039"/>
      <c r="U21" s="24039"/>
      <c r="V21" s="24039"/>
      <c r="W21" s="24039"/>
      <c r="X21" s="24039"/>
      <c r="Y21" s="24039"/>
      <c r="Z21" s="24039"/>
      <c r="AA21" s="24039"/>
      <c r="AB21" s="24039"/>
      <c r="AC21" s="24039"/>
      <c r="AD21" s="24039"/>
      <c r="AE21" s="24039"/>
      <c r="AF21" s="24039"/>
      <c r="AG21" s="24039"/>
      <c r="AH21" s="24039"/>
      <c r="AI21" s="24040"/>
      <c r="AJ21" s="1500"/>
      <c r="BM21" s="229">
        <v>11</v>
      </c>
    </row>
    <row r="22" spans="4:65" s="1480" customFormat="1" ht="11.45" customHeight="1">
      <c r="D22" s="24031"/>
      <c r="E22" s="24033"/>
      <c r="F22" s="24034"/>
      <c r="G22" s="23962"/>
      <c r="H22" s="1524"/>
      <c r="I22" s="1528"/>
      <c r="J22" s="24037"/>
      <c r="K22" s="24037"/>
      <c r="L22" s="24037"/>
      <c r="M22" s="24037"/>
      <c r="N22" s="24037"/>
      <c r="O22" s="24037"/>
      <c r="P22" s="24037"/>
      <c r="Q22" s="24037"/>
      <c r="R22" s="24037"/>
      <c r="S22" s="24037"/>
      <c r="T22" s="24037"/>
      <c r="U22" s="24037"/>
      <c r="V22" s="24037"/>
      <c r="W22" s="24037"/>
      <c r="X22" s="24037"/>
      <c r="Y22" s="24037"/>
      <c r="Z22" s="24037"/>
      <c r="AA22" s="24037"/>
      <c r="AB22" s="24037"/>
      <c r="AC22" s="24037"/>
      <c r="AD22" s="24037"/>
      <c r="AE22" s="24037"/>
      <c r="AF22" s="24037"/>
      <c r="AG22" s="24037"/>
      <c r="AH22" s="24037"/>
      <c r="AI22" s="24038"/>
      <c r="AJ22" s="1500"/>
      <c r="AK22" s="242"/>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4030" t="s">
        <v>81</v>
      </c>
      <c r="E23" s="24032" t="s">
        <v>522</v>
      </c>
      <c r="F23" s="24032" t="s">
        <v>525</v>
      </c>
      <c r="G23" s="24018" t="s">
        <v>6</v>
      </c>
      <c r="H23" s="1525"/>
      <c r="I23" s="24035"/>
      <c r="J23" s="23975"/>
      <c r="K23" s="1440"/>
      <c r="L23" s="23967"/>
      <c r="M23" s="23967"/>
      <c r="N23" s="1510"/>
      <c r="O23" s="23967"/>
      <c r="P23" s="23975"/>
      <c r="Q23" s="1511"/>
      <c r="R23" s="23967"/>
      <c r="S23" s="23967"/>
      <c r="T23" s="1512"/>
      <c r="U23" s="23967"/>
      <c r="V23" s="23975"/>
      <c r="W23" s="1513"/>
      <c r="X23" s="23967"/>
      <c r="Y23" s="23967"/>
      <c r="Z23" s="1510"/>
      <c r="AA23" s="23967"/>
      <c r="AB23" s="23975"/>
      <c r="AC23" s="1514"/>
      <c r="AD23" s="23967"/>
      <c r="AE23" s="23967"/>
      <c r="AF23" s="1439"/>
      <c r="AG23" s="1439"/>
      <c r="AH23" s="1515"/>
      <c r="AI23" s="1222"/>
      <c r="AJ23" s="1500"/>
      <c r="AK23" s="242" t="s">
        <v>89</v>
      </c>
      <c r="BM23" s="229">
        <v>14</v>
      </c>
    </row>
    <row r="24" spans="4:65" ht="14.65" customHeight="1">
      <c r="D24" s="24030"/>
      <c r="E24" s="24032"/>
      <c r="F24" s="24032"/>
      <c r="G24" s="24019"/>
      <c r="H24" s="1526"/>
      <c r="I24" s="24036"/>
      <c r="J24" s="23976"/>
      <c r="K24" s="1536"/>
      <c r="L24" s="23968"/>
      <c r="M24" s="23968"/>
      <c r="N24" s="1516"/>
      <c r="O24" s="23968"/>
      <c r="P24" s="23976"/>
      <c r="Q24" s="1517"/>
      <c r="R24" s="23968"/>
      <c r="S24" s="23968"/>
      <c r="T24" s="1518"/>
      <c r="U24" s="23968"/>
      <c r="V24" s="23976"/>
      <c r="W24" s="1519"/>
      <c r="X24" s="23968"/>
      <c r="Y24" s="23968"/>
      <c r="Z24" s="1516"/>
      <c r="AA24" s="23968"/>
      <c r="AB24" s="23976"/>
      <c r="AC24" s="1520"/>
      <c r="AD24" s="23968"/>
      <c r="AE24" s="23968"/>
      <c r="AF24" s="1521"/>
      <c r="AG24" s="1521"/>
      <c r="AH24" s="24039"/>
      <c r="AI24" s="24040"/>
      <c r="AJ24" s="1500"/>
      <c r="BM24" s="229">
        <v>14</v>
      </c>
    </row>
    <row r="25" spans="4:65" ht="14.65" customHeight="1">
      <c r="D25" s="24030"/>
      <c r="E25" s="24032"/>
      <c r="F25" s="24032"/>
      <c r="G25" s="24019"/>
      <c r="H25" s="1526"/>
      <c r="I25" s="24036"/>
      <c r="J25" s="23976"/>
      <c r="K25" s="1536"/>
      <c r="L25" s="23968"/>
      <c r="M25" s="23968"/>
      <c r="N25" s="1516"/>
      <c r="O25" s="23968"/>
      <c r="P25" s="23976"/>
      <c r="Q25" s="1517"/>
      <c r="R25" s="23968"/>
      <c r="S25" s="23968"/>
      <c r="T25" s="1518"/>
      <c r="U25" s="23968"/>
      <c r="V25" s="23976"/>
      <c r="W25" s="1519"/>
      <c r="X25" s="23968"/>
      <c r="Y25" s="23968"/>
      <c r="Z25" s="1438"/>
      <c r="AA25" s="1521"/>
      <c r="AB25" s="24039"/>
      <c r="AC25" s="24039"/>
      <c r="AD25" s="24039"/>
      <c r="AE25" s="24039"/>
      <c r="AF25" s="24039"/>
      <c r="AG25" s="24039"/>
      <c r="AH25" s="24039"/>
      <c r="AI25" s="24040"/>
      <c r="AJ25" s="1500"/>
      <c r="BM25" s="229">
        <v>14</v>
      </c>
    </row>
    <row r="26" spans="4:65" ht="14.65" customHeight="1">
      <c r="D26" s="24030"/>
      <c r="E26" s="24032"/>
      <c r="F26" s="24032"/>
      <c r="G26" s="24019"/>
      <c r="H26" s="1526"/>
      <c r="I26" s="24036"/>
      <c r="J26" s="23976"/>
      <c r="K26" s="1536"/>
      <c r="L26" s="23968"/>
      <c r="M26" s="23968"/>
      <c r="N26" s="1516"/>
      <c r="O26" s="23968"/>
      <c r="P26" s="23976"/>
      <c r="Q26" s="1517"/>
      <c r="R26" s="23968"/>
      <c r="S26" s="23968"/>
      <c r="T26" s="1522"/>
      <c r="U26" s="1523"/>
      <c r="V26" s="24039"/>
      <c r="W26" s="24039"/>
      <c r="X26" s="24039"/>
      <c r="Y26" s="24039"/>
      <c r="Z26" s="24039"/>
      <c r="AA26" s="24039"/>
      <c r="AB26" s="24039"/>
      <c r="AC26" s="24039"/>
      <c r="AD26" s="24039"/>
      <c r="AE26" s="24039"/>
      <c r="AF26" s="24039"/>
      <c r="AG26" s="24039"/>
      <c r="AH26" s="24039"/>
      <c r="AI26" s="24040"/>
      <c r="AJ26" s="1500"/>
      <c r="BM26" s="229">
        <v>14</v>
      </c>
    </row>
    <row r="27" spans="4:65" ht="11.45" customHeight="1">
      <c r="D27" s="24030"/>
      <c r="E27" s="24032"/>
      <c r="F27" s="24032"/>
      <c r="G27" s="24019"/>
      <c r="H27" s="1527"/>
      <c r="I27" s="24036"/>
      <c r="J27" s="23976"/>
      <c r="K27" s="1536"/>
      <c r="L27" s="23968"/>
      <c r="M27" s="23968"/>
      <c r="N27" s="1521"/>
      <c r="O27" s="1521"/>
      <c r="P27" s="24039"/>
      <c r="Q27" s="24039"/>
      <c r="R27" s="24039"/>
      <c r="S27" s="24039"/>
      <c r="T27" s="24039"/>
      <c r="U27" s="24039"/>
      <c r="V27" s="24039"/>
      <c r="W27" s="24039"/>
      <c r="X27" s="24039"/>
      <c r="Y27" s="24039"/>
      <c r="Z27" s="24039"/>
      <c r="AA27" s="24039"/>
      <c r="AB27" s="24039"/>
      <c r="AC27" s="24039"/>
      <c r="AD27" s="24039"/>
      <c r="AE27" s="24039"/>
      <c r="AF27" s="24039"/>
      <c r="AG27" s="24039"/>
      <c r="AH27" s="24039"/>
      <c r="AI27" s="24040"/>
      <c r="AJ27" s="1500"/>
      <c r="BM27" s="229">
        <v>11</v>
      </c>
    </row>
    <row r="28" spans="4:65" s="1480" customFormat="1" ht="11.45" customHeight="1">
      <c r="D28" s="24031"/>
      <c r="E28" s="24033"/>
      <c r="F28" s="24034"/>
      <c r="G28" s="23962"/>
      <c r="H28" s="1524"/>
      <c r="I28" s="1528"/>
      <c r="J28" s="24037"/>
      <c r="K28" s="24037"/>
      <c r="L28" s="24037"/>
      <c r="M28" s="24037"/>
      <c r="N28" s="24037"/>
      <c r="O28" s="24037"/>
      <c r="P28" s="24037"/>
      <c r="Q28" s="24037"/>
      <c r="R28" s="24037"/>
      <c r="S28" s="24037"/>
      <c r="T28" s="24037"/>
      <c r="U28" s="24037"/>
      <c r="V28" s="24037"/>
      <c r="W28" s="24037"/>
      <c r="X28" s="24037"/>
      <c r="Y28" s="24037"/>
      <c r="Z28" s="24037"/>
      <c r="AA28" s="24037"/>
      <c r="AB28" s="24037"/>
      <c r="AC28" s="24037"/>
      <c r="AD28" s="24037"/>
      <c r="AE28" s="24037"/>
      <c r="AF28" s="24037"/>
      <c r="AG28" s="24037"/>
      <c r="AH28" s="24037"/>
      <c r="AI28" s="24038"/>
      <c r="AJ28" s="1500"/>
      <c r="AK28" s="242"/>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4030" t="s">
        <v>82</v>
      </c>
      <c r="E29" s="24032" t="s">
        <v>522</v>
      </c>
      <c r="F29" s="24032" t="s">
        <v>526</v>
      </c>
      <c r="G29" s="24018" t="s">
        <v>6</v>
      </c>
      <c r="H29" s="1525"/>
      <c r="I29" s="24035"/>
      <c r="J29" s="23975"/>
      <c r="K29" s="1440"/>
      <c r="L29" s="23967"/>
      <c r="M29" s="23967"/>
      <c r="N29" s="1510"/>
      <c r="O29" s="23967"/>
      <c r="P29" s="23975"/>
      <c r="Q29" s="1511"/>
      <c r="R29" s="23967"/>
      <c r="S29" s="23967"/>
      <c r="T29" s="1512"/>
      <c r="U29" s="23967"/>
      <c r="V29" s="23975"/>
      <c r="W29" s="1513"/>
      <c r="X29" s="23967"/>
      <c r="Y29" s="23967"/>
      <c r="Z29" s="1510"/>
      <c r="AA29" s="23967"/>
      <c r="AB29" s="23975"/>
      <c r="AC29" s="1514"/>
      <c r="AD29" s="23967"/>
      <c r="AE29" s="23967"/>
      <c r="AF29" s="1439"/>
      <c r="AG29" s="1439"/>
      <c r="AH29" s="1515"/>
      <c r="AI29" s="1222"/>
      <c r="AJ29" s="1500"/>
      <c r="BM29" s="229">
        <v>14</v>
      </c>
    </row>
    <row r="30" spans="4:65" ht="14.65" customHeight="1">
      <c r="D30" s="24030"/>
      <c r="E30" s="24032"/>
      <c r="F30" s="24032"/>
      <c r="G30" s="24019"/>
      <c r="H30" s="1526"/>
      <c r="I30" s="24036"/>
      <c r="J30" s="23976"/>
      <c r="K30" s="1509"/>
      <c r="L30" s="23968"/>
      <c r="M30" s="23968"/>
      <c r="N30" s="1516"/>
      <c r="O30" s="23968"/>
      <c r="P30" s="23976"/>
      <c r="Q30" s="1517"/>
      <c r="R30" s="23968"/>
      <c r="S30" s="23968"/>
      <c r="T30" s="1518"/>
      <c r="U30" s="23968"/>
      <c r="V30" s="23976"/>
      <c r="W30" s="1519"/>
      <c r="X30" s="23968"/>
      <c r="Y30" s="23968"/>
      <c r="Z30" s="1516"/>
      <c r="AA30" s="23968"/>
      <c r="AB30" s="23976"/>
      <c r="AC30" s="1520"/>
      <c r="AD30" s="23968"/>
      <c r="AE30" s="23968"/>
      <c r="AF30" s="1521"/>
      <c r="AG30" s="1521"/>
      <c r="AH30" s="24039"/>
      <c r="AI30" s="24040"/>
      <c r="AJ30" s="1500"/>
      <c r="BM30" s="229">
        <v>14</v>
      </c>
    </row>
    <row r="31" spans="4:65" ht="14.65" customHeight="1">
      <c r="D31" s="24030"/>
      <c r="E31" s="24032"/>
      <c r="F31" s="24032"/>
      <c r="G31" s="24019"/>
      <c r="H31" s="1526"/>
      <c r="I31" s="24036"/>
      <c r="J31" s="23976"/>
      <c r="K31" s="1509"/>
      <c r="L31" s="23968"/>
      <c r="M31" s="23968"/>
      <c r="N31" s="1516"/>
      <c r="O31" s="23968"/>
      <c r="P31" s="23976"/>
      <c r="Q31" s="1517"/>
      <c r="R31" s="23968"/>
      <c r="S31" s="23968"/>
      <c r="T31" s="1518"/>
      <c r="U31" s="23968"/>
      <c r="V31" s="23976"/>
      <c r="W31" s="1519"/>
      <c r="X31" s="23968"/>
      <c r="Y31" s="23968"/>
      <c r="Z31" s="1438"/>
      <c r="AA31" s="1521"/>
      <c r="AB31" s="24039"/>
      <c r="AC31" s="24039"/>
      <c r="AD31" s="24039"/>
      <c r="AE31" s="24039"/>
      <c r="AF31" s="24039"/>
      <c r="AG31" s="24039"/>
      <c r="AH31" s="24039"/>
      <c r="AI31" s="24040"/>
      <c r="AJ31" s="1500"/>
      <c r="BM31" s="229">
        <v>14</v>
      </c>
    </row>
    <row r="32" spans="4:65" ht="14.65" customHeight="1">
      <c r="D32" s="24030"/>
      <c r="E32" s="24032"/>
      <c r="F32" s="24032"/>
      <c r="G32" s="24019"/>
      <c r="H32" s="1526"/>
      <c r="I32" s="24036"/>
      <c r="J32" s="23976"/>
      <c r="K32" s="1509"/>
      <c r="L32" s="23968"/>
      <c r="M32" s="23968"/>
      <c r="N32" s="1516"/>
      <c r="O32" s="23968"/>
      <c r="P32" s="23976"/>
      <c r="Q32" s="1517"/>
      <c r="R32" s="23968"/>
      <c r="S32" s="23968"/>
      <c r="T32" s="1522"/>
      <c r="U32" s="1523"/>
      <c r="V32" s="24039"/>
      <c r="W32" s="24039"/>
      <c r="X32" s="24039"/>
      <c r="Y32" s="24039"/>
      <c r="Z32" s="24039"/>
      <c r="AA32" s="24039"/>
      <c r="AB32" s="24039"/>
      <c r="AC32" s="24039"/>
      <c r="AD32" s="24039"/>
      <c r="AE32" s="24039"/>
      <c r="AF32" s="24039"/>
      <c r="AG32" s="24039"/>
      <c r="AH32" s="24039"/>
      <c r="AI32" s="24040"/>
      <c r="AJ32" s="1500"/>
      <c r="BM32" s="229">
        <v>14</v>
      </c>
    </row>
    <row r="33" spans="4:65" ht="11.45" customHeight="1">
      <c r="D33" s="24030"/>
      <c r="E33" s="24032"/>
      <c r="F33" s="24032"/>
      <c r="G33" s="24019"/>
      <c r="H33" s="1527"/>
      <c r="I33" s="24036"/>
      <c r="J33" s="23976"/>
      <c r="K33" s="1509"/>
      <c r="L33" s="23968"/>
      <c r="M33" s="23968"/>
      <c r="N33" s="1521"/>
      <c r="O33" s="1521"/>
      <c r="P33" s="24039"/>
      <c r="Q33" s="24039"/>
      <c r="R33" s="24039"/>
      <c r="S33" s="24039"/>
      <c r="T33" s="24039"/>
      <c r="U33" s="24039"/>
      <c r="V33" s="24039"/>
      <c r="W33" s="24039"/>
      <c r="X33" s="24039"/>
      <c r="Y33" s="24039"/>
      <c r="Z33" s="24039"/>
      <c r="AA33" s="24039"/>
      <c r="AB33" s="24039"/>
      <c r="AC33" s="24039"/>
      <c r="AD33" s="24039"/>
      <c r="AE33" s="24039"/>
      <c r="AF33" s="24039"/>
      <c r="AG33" s="24039"/>
      <c r="AH33" s="24039"/>
      <c r="AI33" s="24040"/>
      <c r="AJ33" s="1500"/>
      <c r="BM33" s="229">
        <v>11</v>
      </c>
    </row>
    <row r="34" spans="4:65" s="1480" customFormat="1" ht="11.45" customHeight="1">
      <c r="D34" s="24031"/>
      <c r="E34" s="24033"/>
      <c r="F34" s="24034"/>
      <c r="G34" s="23962"/>
      <c r="H34" s="1524"/>
      <c r="I34" s="1528"/>
      <c r="J34" s="24037"/>
      <c r="K34" s="24037"/>
      <c r="L34" s="24037"/>
      <c r="M34" s="24037"/>
      <c r="N34" s="24037"/>
      <c r="O34" s="24037"/>
      <c r="P34" s="24037"/>
      <c r="Q34" s="24037"/>
      <c r="R34" s="24037"/>
      <c r="S34" s="24037"/>
      <c r="T34" s="24037"/>
      <c r="U34" s="24037"/>
      <c r="V34" s="24037"/>
      <c r="W34" s="24037"/>
      <c r="X34" s="24037"/>
      <c r="Y34" s="24037"/>
      <c r="Z34" s="24037"/>
      <c r="AA34" s="24037"/>
      <c r="AB34" s="24037"/>
      <c r="AC34" s="24037"/>
      <c r="AD34" s="24037"/>
      <c r="AE34" s="24037"/>
      <c r="AF34" s="24037"/>
      <c r="AG34" s="24037"/>
      <c r="AH34" s="24037"/>
      <c r="AI34" s="24038"/>
      <c r="AJ34" s="1500"/>
      <c r="AK34" s="242"/>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4030" t="s">
        <v>109</v>
      </c>
      <c r="E35" s="24032" t="s">
        <v>522</v>
      </c>
      <c r="F35" s="24032" t="s">
        <v>527</v>
      </c>
      <c r="G35" s="24018" t="s">
        <v>6</v>
      </c>
      <c r="H35" s="1525"/>
      <c r="I35" s="24035"/>
      <c r="J35" s="23975"/>
      <c r="K35" s="1440"/>
      <c r="L35" s="23967"/>
      <c r="M35" s="23967"/>
      <c r="N35" s="1510"/>
      <c r="O35" s="23967"/>
      <c r="P35" s="23975"/>
      <c r="Q35" s="1511"/>
      <c r="R35" s="23967"/>
      <c r="S35" s="23967"/>
      <c r="T35" s="1512"/>
      <c r="U35" s="23967"/>
      <c r="V35" s="23975"/>
      <c r="W35" s="1513"/>
      <c r="X35" s="23967"/>
      <c r="Y35" s="23967"/>
      <c r="Z35" s="1510"/>
      <c r="AA35" s="23967"/>
      <c r="AB35" s="23975"/>
      <c r="AC35" s="1514"/>
      <c r="AD35" s="23967"/>
      <c r="AE35" s="23967"/>
      <c r="AF35" s="1439"/>
      <c r="AG35" s="1439"/>
      <c r="AH35" s="1515"/>
      <c r="AI35" s="1222"/>
      <c r="AJ35" s="1500"/>
      <c r="BM35" s="229">
        <v>14</v>
      </c>
    </row>
    <row r="36" spans="4:65" ht="14.65" customHeight="1">
      <c r="D36" s="24030"/>
      <c r="E36" s="24032"/>
      <c r="F36" s="24032"/>
      <c r="G36" s="24019"/>
      <c r="H36" s="1526"/>
      <c r="I36" s="24036"/>
      <c r="J36" s="23976"/>
      <c r="K36" s="1509"/>
      <c r="L36" s="23968"/>
      <c r="M36" s="23968"/>
      <c r="N36" s="1516"/>
      <c r="O36" s="23968"/>
      <c r="P36" s="23976"/>
      <c r="Q36" s="1517"/>
      <c r="R36" s="23968"/>
      <c r="S36" s="23968"/>
      <c r="T36" s="1518"/>
      <c r="U36" s="23968"/>
      <c r="V36" s="23976"/>
      <c r="W36" s="1519"/>
      <c r="X36" s="23968"/>
      <c r="Y36" s="23968"/>
      <c r="Z36" s="1516"/>
      <c r="AA36" s="23968"/>
      <c r="AB36" s="23976"/>
      <c r="AC36" s="1520"/>
      <c r="AD36" s="23968"/>
      <c r="AE36" s="23968"/>
      <c r="AF36" s="1521"/>
      <c r="AG36" s="1521"/>
      <c r="AH36" s="24039"/>
      <c r="AI36" s="24040"/>
      <c r="AJ36" s="1500"/>
      <c r="BM36" s="229">
        <v>14</v>
      </c>
    </row>
    <row r="37" spans="4:65" ht="14.65" customHeight="1">
      <c r="D37" s="24030"/>
      <c r="E37" s="24032"/>
      <c r="F37" s="24032"/>
      <c r="G37" s="24019"/>
      <c r="H37" s="1526"/>
      <c r="I37" s="24036"/>
      <c r="J37" s="23976"/>
      <c r="K37" s="1509"/>
      <c r="L37" s="23968"/>
      <c r="M37" s="23968"/>
      <c r="N37" s="1516"/>
      <c r="O37" s="23968"/>
      <c r="P37" s="23976"/>
      <c r="Q37" s="1517"/>
      <c r="R37" s="23968"/>
      <c r="S37" s="23968"/>
      <c r="T37" s="1518"/>
      <c r="U37" s="23968"/>
      <c r="V37" s="23976"/>
      <c r="W37" s="1519"/>
      <c r="X37" s="23968"/>
      <c r="Y37" s="23968"/>
      <c r="Z37" s="1438"/>
      <c r="AA37" s="1521"/>
      <c r="AB37" s="24039"/>
      <c r="AC37" s="24039"/>
      <c r="AD37" s="24039"/>
      <c r="AE37" s="24039"/>
      <c r="AF37" s="24039"/>
      <c r="AG37" s="24039"/>
      <c r="AH37" s="24039"/>
      <c r="AI37" s="24040"/>
      <c r="AJ37" s="1500"/>
      <c r="BM37" s="229">
        <v>14</v>
      </c>
    </row>
    <row r="38" spans="4:65" ht="14.65" customHeight="1">
      <c r="D38" s="24030"/>
      <c r="E38" s="24032"/>
      <c r="F38" s="24032"/>
      <c r="G38" s="24019"/>
      <c r="H38" s="1526"/>
      <c r="I38" s="24036"/>
      <c r="J38" s="23976"/>
      <c r="K38" s="1509"/>
      <c r="L38" s="23968"/>
      <c r="M38" s="23968"/>
      <c r="N38" s="1516"/>
      <c r="O38" s="23968"/>
      <c r="P38" s="23976"/>
      <c r="Q38" s="1517"/>
      <c r="R38" s="23968"/>
      <c r="S38" s="23968"/>
      <c r="T38" s="1522"/>
      <c r="U38" s="1523"/>
      <c r="V38" s="24039"/>
      <c r="W38" s="24039"/>
      <c r="X38" s="24039"/>
      <c r="Y38" s="24039"/>
      <c r="Z38" s="24039"/>
      <c r="AA38" s="24039"/>
      <c r="AB38" s="24039"/>
      <c r="AC38" s="24039"/>
      <c r="AD38" s="24039"/>
      <c r="AE38" s="24039"/>
      <c r="AF38" s="24039"/>
      <c r="AG38" s="24039"/>
      <c r="AH38" s="24039"/>
      <c r="AI38" s="24040"/>
      <c r="AJ38" s="1500"/>
      <c r="BM38" s="229">
        <v>14</v>
      </c>
    </row>
    <row r="39" spans="4:65" ht="11.45" customHeight="1">
      <c r="D39" s="24030"/>
      <c r="E39" s="24032"/>
      <c r="F39" s="24032"/>
      <c r="G39" s="24019"/>
      <c r="H39" s="1527"/>
      <c r="I39" s="24036"/>
      <c r="J39" s="23976"/>
      <c r="K39" s="1509"/>
      <c r="L39" s="23968"/>
      <c r="M39" s="23968"/>
      <c r="N39" s="1521"/>
      <c r="O39" s="1521"/>
      <c r="P39" s="24039"/>
      <c r="Q39" s="24039"/>
      <c r="R39" s="24039"/>
      <c r="S39" s="24039"/>
      <c r="T39" s="24039"/>
      <c r="U39" s="24039"/>
      <c r="V39" s="24039"/>
      <c r="W39" s="24039"/>
      <c r="X39" s="24039"/>
      <c r="Y39" s="24039"/>
      <c r="Z39" s="24039"/>
      <c r="AA39" s="24039"/>
      <c r="AB39" s="24039"/>
      <c r="AC39" s="24039"/>
      <c r="AD39" s="24039"/>
      <c r="AE39" s="24039"/>
      <c r="AF39" s="24039"/>
      <c r="AG39" s="24039"/>
      <c r="AH39" s="24039"/>
      <c r="AI39" s="24040"/>
      <c r="AJ39" s="1500"/>
      <c r="BM39" s="229">
        <v>11</v>
      </c>
    </row>
    <row r="40" spans="4:65" s="1480" customFormat="1" ht="11.45" customHeight="1">
      <c r="D40" s="24030"/>
      <c r="E40" s="24032"/>
      <c r="F40" s="24041"/>
      <c r="G40" s="23962"/>
      <c r="H40" s="1524"/>
      <c r="I40" s="1528"/>
      <c r="J40" s="24037"/>
      <c r="K40" s="24037"/>
      <c r="L40" s="24037"/>
      <c r="M40" s="24037"/>
      <c r="N40" s="24037"/>
      <c r="O40" s="24037"/>
      <c r="P40" s="24037"/>
      <c r="Q40" s="24037"/>
      <c r="R40" s="24037"/>
      <c r="S40" s="24037"/>
      <c r="T40" s="24037"/>
      <c r="U40" s="24037"/>
      <c r="V40" s="24037"/>
      <c r="W40" s="24037"/>
      <c r="X40" s="24037"/>
      <c r="Y40" s="24037"/>
      <c r="Z40" s="24037"/>
      <c r="AA40" s="24037"/>
      <c r="AB40" s="24037"/>
      <c r="AC40" s="24037"/>
      <c r="AD40" s="24037"/>
      <c r="AE40" s="24037"/>
      <c r="AF40" s="24037"/>
      <c r="AG40" s="24037"/>
      <c r="AH40" s="24037"/>
      <c r="AI40" s="24038"/>
      <c r="AJ40" s="1500"/>
      <c r="AK40" s="242"/>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73</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47" customWidth="1"/>
    <col min="3" max="3" width="9.140625" style="1747"/>
    <col min="4" max="4" width="26.5703125" style="1747" customWidth="1"/>
    <col min="5" max="5" width="36.85546875" style="1720" customWidth="1"/>
    <col min="6" max="6" width="23.5703125" style="1720" customWidth="1"/>
    <col min="7" max="7" width="31.42578125" style="1720" customWidth="1"/>
    <col min="8" max="8" width="40.85546875" style="1720" customWidth="1"/>
    <col min="9" max="9" width="14.5703125" style="1720" customWidth="1"/>
    <col min="10" max="10" width="26.85546875" style="1720" customWidth="1"/>
    <col min="11" max="11" width="50" style="1720" customWidth="1"/>
    <col min="12" max="12" width="52.42578125" style="1720" customWidth="1"/>
    <col min="13" max="13" width="10.7109375" style="1720" customWidth="1"/>
    <col min="14" max="14" width="55.140625" style="1720" customWidth="1"/>
    <col min="15" max="15" width="31.85546875" style="1720" customWidth="1"/>
    <col min="16" max="16" width="23.85546875" style="1720" customWidth="1"/>
    <col min="17" max="17" width="46.5703125" style="1720" customWidth="1"/>
    <col min="18" max="18" width="24" style="1720" customWidth="1"/>
    <col min="19" max="19" width="20.5703125" style="1720" customWidth="1"/>
    <col min="20" max="20" width="22" style="1720" customWidth="1"/>
    <col min="21" max="22" width="26.42578125" style="1720" customWidth="1"/>
    <col min="23" max="23" width="8.28515625" style="1720" hidden="1" customWidth="1"/>
    <col min="24" max="24" width="59.7109375" style="1720" customWidth="1"/>
    <col min="25" max="25" width="49.140625" style="1720" customWidth="1"/>
    <col min="26" max="26" width="11.140625" style="1720" customWidth="1"/>
    <col min="27" max="30" width="29" style="1720" customWidth="1"/>
    <col min="31" max="31" width="9.140625" style="1720"/>
    <col min="32" max="32" width="34.7109375" style="1720" customWidth="1"/>
    <col min="33" max="33" width="9.140625" style="1720"/>
    <col min="34" max="35" width="34.42578125" style="1720" customWidth="1"/>
    <col min="36" max="36" width="9.140625" style="1720"/>
    <col min="37" max="37" width="24.5703125" style="1720" customWidth="1"/>
    <col min="38" max="38" width="9.140625" style="1720"/>
    <col min="39" max="39" width="26.140625" style="1720" customWidth="1"/>
    <col min="40" max="40" width="1.7109375" style="1720" customWidth="1"/>
    <col min="41" max="41" width="9.140625" style="1720"/>
    <col min="42" max="43" width="47.85546875" style="1720" customWidth="1"/>
    <col min="44" max="44" width="1.7109375" style="1720" customWidth="1"/>
    <col min="45" max="45" width="21.42578125" style="1720" customWidth="1"/>
    <col min="46" max="46" width="1.7109375" style="1720" customWidth="1"/>
    <col min="47" max="47" width="31.28515625" style="1720" customWidth="1"/>
    <col min="48" max="48" width="1.7109375" style="1720" customWidth="1"/>
    <col min="49" max="50" width="9.140625" style="1720"/>
    <col min="51" max="51" width="3.7109375" style="1720" customWidth="1"/>
    <col min="52" max="52" width="60.85546875" style="1720" customWidth="1"/>
    <col min="53" max="53" width="49.28515625" style="1720" customWidth="1"/>
    <col min="54" max="54" width="35.140625" style="1720" customWidth="1"/>
    <col min="55" max="55" width="9.140625" style="1720"/>
    <col min="56" max="56" width="1.7109375" style="1720" customWidth="1"/>
    <col min="57" max="57" width="12.5703125" style="995" customWidth="1"/>
    <col min="58" max="58" width="14.28515625" style="995" customWidth="1"/>
    <col min="59" max="59" width="30.7109375" style="1720" customWidth="1"/>
    <col min="60" max="60" width="40.7109375" style="1737" customWidth="1"/>
    <col min="61" max="61" width="15" style="1737" customWidth="1"/>
    <col min="62" max="62" width="40.7109375" style="1737" customWidth="1"/>
    <col min="63" max="63" width="2.7109375" style="1737" customWidth="1"/>
    <col min="64" max="64" width="44.7109375" style="1737" customWidth="1"/>
    <col min="65" max="65" width="2.7109375" style="1737" customWidth="1"/>
    <col min="66" max="66" width="40.7109375" style="1737" customWidth="1"/>
    <col min="67" max="68" width="9.140625" style="1720"/>
    <col min="69" max="69" width="18.140625" style="1720" customWidth="1"/>
    <col min="70" max="70" width="57.85546875" style="1720" customWidth="1"/>
    <col min="71" max="71" width="1.7109375" style="1720" customWidth="1"/>
    <col min="72" max="72" width="22.5703125" style="1720" customWidth="1"/>
    <col min="73" max="73" width="57.85546875" style="1720" customWidth="1"/>
    <col min="74" max="74" width="1.7109375" style="1720" customWidth="1"/>
    <col min="75" max="75" width="22.5703125" style="1720" customWidth="1"/>
    <col min="76" max="76" width="57.85546875" style="1720" customWidth="1"/>
    <col min="77" max="77" width="1.7109375" style="1720" customWidth="1"/>
    <col min="78" max="78" width="22.5703125" style="1720" customWidth="1"/>
    <col min="79" max="79" width="57.85546875" style="1720" customWidth="1"/>
    <col min="80" max="81" width="9.140625" style="1720"/>
    <col min="82" max="82" width="49.5703125" style="1720" customWidth="1"/>
  </cols>
  <sheetData>
    <row r="1" spans="1:79" s="1353" customFormat="1" ht="11.25" customHeight="1">
      <c r="A1" s="996" t="s">
        <v>1413</v>
      </c>
      <c r="B1" s="996" t="s">
        <v>1414</v>
      </c>
      <c r="C1" s="996" t="s">
        <v>1415</v>
      </c>
      <c r="D1" s="996" t="s">
        <v>1416</v>
      </c>
      <c r="E1" s="996" t="s">
        <v>1417</v>
      </c>
      <c r="F1" s="996" t="s">
        <v>1418</v>
      </c>
      <c r="G1" s="996" t="s">
        <v>1419</v>
      </c>
      <c r="H1" s="996" t="s">
        <v>1420</v>
      </c>
      <c r="I1" s="996" t="s">
        <v>1421</v>
      </c>
      <c r="J1" s="996" t="s">
        <v>1422</v>
      </c>
      <c r="K1" s="996" t="s">
        <v>1423</v>
      </c>
      <c r="L1" s="996" t="s">
        <v>1424</v>
      </c>
      <c r="M1" s="996"/>
      <c r="N1" s="996" t="s">
        <v>1425</v>
      </c>
      <c r="O1" s="996" t="s">
        <v>1426</v>
      </c>
      <c r="P1" s="996" t="s">
        <v>1427</v>
      </c>
      <c r="Q1" s="996" t="s">
        <v>1428</v>
      </c>
      <c r="R1" s="996" t="s">
        <v>1429</v>
      </c>
      <c r="S1" s="996" t="s">
        <v>1430</v>
      </c>
      <c r="T1" s="996" t="s">
        <v>1431</v>
      </c>
      <c r="U1" s="996" t="s">
        <v>1432</v>
      </c>
      <c r="V1" s="996"/>
      <c r="W1" s="727" t="s">
        <v>1433</v>
      </c>
      <c r="X1" s="996" t="s">
        <v>1434</v>
      </c>
      <c r="Y1" s="996" t="s">
        <v>1435</v>
      </c>
      <c r="Z1" s="996"/>
      <c r="AA1" s="996" t="s">
        <v>1436</v>
      </c>
      <c r="AB1" s="996"/>
      <c r="AC1" s="996" t="s">
        <v>1437</v>
      </c>
      <c r="AD1" s="996"/>
      <c r="AF1" s="996" t="s">
        <v>1438</v>
      </c>
      <c r="AH1" s="996" t="s">
        <v>1439</v>
      </c>
      <c r="AI1" s="996" t="s">
        <v>1440</v>
      </c>
      <c r="AK1" s="996" t="s">
        <v>1441</v>
      </c>
      <c r="AM1" s="996" t="s">
        <v>1442</v>
      </c>
      <c r="AP1" s="996" t="s">
        <v>1443</v>
      </c>
      <c r="AQ1" s="996" t="s">
        <v>1444</v>
      </c>
      <c r="AS1" s="996" t="s">
        <v>1445</v>
      </c>
      <c r="AU1" s="996" t="s">
        <v>1446</v>
      </c>
      <c r="AW1" s="996" t="s">
        <v>1447</v>
      </c>
      <c r="AX1" s="996" t="s">
        <v>1448</v>
      </c>
      <c r="AZ1" s="1078" t="s">
        <v>1449</v>
      </c>
      <c r="BB1" s="996" t="s">
        <v>1450</v>
      </c>
      <c r="BC1" s="996"/>
      <c r="BE1" s="996" t="s">
        <v>1451</v>
      </c>
      <c r="BF1" s="996" t="s">
        <v>1452</v>
      </c>
      <c r="BH1" s="998" t="s">
        <v>1057</v>
      </c>
      <c r="BI1" s="999"/>
      <c r="BJ1" s="1000" t="s">
        <v>1453</v>
      </c>
      <c r="BK1" s="999"/>
      <c r="BL1" s="1001" t="s">
        <v>1156</v>
      </c>
      <c r="BM1" s="999"/>
      <c r="BN1" s="1002" t="s">
        <v>1454</v>
      </c>
    </row>
    <row r="2" spans="1:79" ht="11.25" customHeight="1">
      <c r="A2" s="1003" t="s">
        <v>1455</v>
      </c>
      <c r="B2" s="1004">
        <v>2000</v>
      </c>
      <c r="C2" s="1004">
        <v>2022</v>
      </c>
      <c r="D2" s="1004" t="s">
        <v>59</v>
      </c>
      <c r="E2" s="1005" t="s">
        <v>1456</v>
      </c>
      <c r="F2" s="1005" t="s">
        <v>1457</v>
      </c>
      <c r="G2" s="1005" t="s">
        <v>1458</v>
      </c>
      <c r="H2" s="1006" t="s">
        <v>48</v>
      </c>
      <c r="I2" s="1005" t="s">
        <v>218</v>
      </c>
      <c r="J2" s="1005" t="s">
        <v>1459</v>
      </c>
      <c r="K2" s="1007" t="s">
        <v>1460</v>
      </c>
      <c r="L2" s="1008"/>
      <c r="M2" s="1007">
        <v>1</v>
      </c>
      <c r="N2" s="1088" t="s">
        <v>1461</v>
      </c>
      <c r="O2" s="1006" t="s">
        <v>1462</v>
      </c>
      <c r="P2" s="1009" t="s">
        <v>1463</v>
      </c>
      <c r="Q2" s="1010" t="s">
        <v>1464</v>
      </c>
      <c r="R2" s="81" t="s">
        <v>1465</v>
      </c>
      <c r="S2" s="81" t="s">
        <v>1466</v>
      </c>
      <c r="T2" s="1011" t="s">
        <v>1467</v>
      </c>
      <c r="U2" s="1008" t="s">
        <v>1468</v>
      </c>
      <c r="V2" s="1012">
        <v>1</v>
      </c>
      <c r="W2" s="1013"/>
      <c r="X2" s="1013" t="s">
        <v>1469</v>
      </c>
      <c r="Y2" s="1004" t="s">
        <v>1470</v>
      </c>
      <c r="Z2" s="1014"/>
      <c r="AA2" s="1004" t="s">
        <v>1471</v>
      </c>
      <c r="AB2" s="1015" t="s">
        <v>1471</v>
      </c>
      <c r="AC2" s="1004" t="s">
        <v>1472</v>
      </c>
      <c r="AD2" s="1015" t="s">
        <v>1472</v>
      </c>
      <c r="AF2" s="1006" t="s">
        <v>1468</v>
      </c>
      <c r="AH2" s="1005" t="s">
        <v>1473</v>
      </c>
      <c r="AI2" s="1005" t="s">
        <v>1473</v>
      </c>
      <c r="AK2" s="1005" t="s">
        <v>1474</v>
      </c>
      <c r="AM2" s="1005" t="s">
        <v>1475</v>
      </c>
      <c r="AP2" s="1016" t="s">
        <v>1469</v>
      </c>
      <c r="AQ2" s="1017" t="s">
        <v>1469</v>
      </c>
      <c r="AS2" s="1004" t="s">
        <v>1476</v>
      </c>
      <c r="AU2" s="1046" t="s">
        <v>1477</v>
      </c>
      <c r="AW2" s="1046" t="s">
        <v>1478</v>
      </c>
      <c r="AX2" s="1046" t="s">
        <v>1478</v>
      </c>
      <c r="AZ2" s="1046" t="s">
        <v>1479</v>
      </c>
      <c r="BB2" s="1046" t="s">
        <v>1480</v>
      </c>
      <c r="BC2" s="1046" t="s">
        <v>1481</v>
      </c>
      <c r="BE2" s="1046">
        <v>2000</v>
      </c>
      <c r="BF2" s="1046" t="s">
        <v>1482</v>
      </c>
    </row>
    <row r="3" spans="1:79" ht="11.25" customHeight="1">
      <c r="A3" s="1003" t="s">
        <v>1483</v>
      </c>
      <c r="B3" s="1004">
        <v>2001</v>
      </c>
      <c r="C3" s="1004">
        <v>2023</v>
      </c>
      <c r="D3" s="1004" t="s">
        <v>6</v>
      </c>
      <c r="E3" s="1005" t="s">
        <v>1484</v>
      </c>
      <c r="F3" s="1005" t="s">
        <v>1485</v>
      </c>
      <c r="G3" s="1005" t="s">
        <v>1486</v>
      </c>
      <c r="H3" s="1006" t="s">
        <v>1487</v>
      </c>
      <c r="I3" s="1005" t="s">
        <v>95</v>
      </c>
      <c r="J3" s="1005" t="s">
        <v>806</v>
      </c>
      <c r="K3" s="1007" t="s">
        <v>1488</v>
      </c>
      <c r="L3" s="1008">
        <f>IFERROR(MATCH(K3,OFFER_METHOD,0),0)</f>
        <v>0</v>
      </c>
      <c r="M3" s="1007">
        <v>2</v>
      </c>
      <c r="N3" s="1088" t="s">
        <v>1489</v>
      </c>
      <c r="O3" s="1006" t="s">
        <v>1490</v>
      </c>
      <c r="P3" s="1009" t="s">
        <v>26</v>
      </c>
      <c r="Q3" s="1010" t="s">
        <v>1491</v>
      </c>
      <c r="R3" s="81" t="s">
        <v>1492</v>
      </c>
      <c r="S3" s="81" t="s">
        <v>1493</v>
      </c>
      <c r="T3" s="1011" t="s">
        <v>1494</v>
      </c>
      <c r="U3" s="1008" t="s">
        <v>1495</v>
      </c>
      <c r="V3" s="1012">
        <v>2</v>
      </c>
      <c r="W3" s="1013"/>
      <c r="X3" s="1013" t="s">
        <v>1496</v>
      </c>
      <c r="Y3" s="1004" t="s">
        <v>1470</v>
      </c>
      <c r="Z3" s="1014"/>
      <c r="AA3" s="1004" t="s">
        <v>1497</v>
      </c>
      <c r="AB3" s="1015" t="s">
        <v>1497</v>
      </c>
      <c r="AC3" s="1004" t="s">
        <v>1498</v>
      </c>
      <c r="AD3" s="1015" t="s">
        <v>1498</v>
      </c>
      <c r="AF3" s="1006" t="s">
        <v>1495</v>
      </c>
      <c r="AH3" s="1005" t="s">
        <v>1499</v>
      </c>
      <c r="AI3" s="1005" t="s">
        <v>1500</v>
      </c>
      <c r="AK3" s="1005" t="s">
        <v>1501</v>
      </c>
      <c r="AM3" s="1005" t="s">
        <v>1502</v>
      </c>
      <c r="AP3" s="1016" t="s">
        <v>1503</v>
      </c>
      <c r="AQ3" s="1017" t="s">
        <v>1503</v>
      </c>
      <c r="AS3" s="1004" t="s">
        <v>1504</v>
      </c>
      <c r="AU3" s="1046" t="s">
        <v>1505</v>
      </c>
      <c r="AW3" s="1046" t="s">
        <v>1506</v>
      </c>
      <c r="AX3" s="1046" t="s">
        <v>1506</v>
      </c>
      <c r="AZ3" s="1046" t="s">
        <v>1507</v>
      </c>
      <c r="BB3" s="1046" t="s">
        <v>1508</v>
      </c>
      <c r="BC3" s="1046" t="s">
        <v>1481</v>
      </c>
      <c r="BE3" s="1046">
        <v>2001</v>
      </c>
      <c r="BF3" s="1046" t="s">
        <v>1509</v>
      </c>
      <c r="BH3" s="996" t="s">
        <v>1510</v>
      </c>
      <c r="BJ3" s="996" t="s">
        <v>1511</v>
      </c>
      <c r="BL3" s="996" t="s">
        <v>1512</v>
      </c>
      <c r="BN3" s="996" t="s">
        <v>1513</v>
      </c>
      <c r="BR3" s="996" t="s">
        <v>1514</v>
      </c>
      <c r="BS3" s="1354"/>
      <c r="BT3" s="999"/>
      <c r="BU3" s="996" t="s">
        <v>1515</v>
      </c>
      <c r="BV3" s="999"/>
      <c r="BW3" s="1616"/>
      <c r="BX3" s="1618" t="s">
        <v>1516</v>
      </c>
      <c r="CA3" s="996" t="s">
        <v>1517</v>
      </c>
    </row>
    <row r="4" spans="1:79" ht="11.25" customHeight="1">
      <c r="A4" s="1003" t="s">
        <v>1518</v>
      </c>
      <c r="B4" s="1004">
        <v>2002</v>
      </c>
      <c r="C4" s="1004">
        <v>2024</v>
      </c>
      <c r="E4" s="1005" t="s">
        <v>1519</v>
      </c>
      <c r="F4" s="1005" t="s">
        <v>1520</v>
      </c>
      <c r="H4" s="1006" t="s">
        <v>1521</v>
      </c>
      <c r="I4" s="1005" t="s">
        <v>81</v>
      </c>
      <c r="J4" s="1005" t="s">
        <v>1522</v>
      </c>
      <c r="K4" s="1007" t="s">
        <v>1523</v>
      </c>
      <c r="L4" s="1008">
        <f>IFERROR(MATCH(K4,OFFER_METHOD,0),0)</f>
        <v>0</v>
      </c>
      <c r="M4" s="1007">
        <v>3</v>
      </c>
      <c r="N4" s="1088" t="s">
        <v>1524</v>
      </c>
      <c r="O4" s="1005" t="s">
        <v>1525</v>
      </c>
      <c r="Q4" s="1010" t="s">
        <v>1526</v>
      </c>
      <c r="R4" s="81" t="s">
        <v>1527</v>
      </c>
      <c r="S4" s="81" t="s">
        <v>1528</v>
      </c>
      <c r="T4" s="1011" t="s">
        <v>1529</v>
      </c>
      <c r="U4" s="1008" t="s">
        <v>1530</v>
      </c>
      <c r="V4" s="1012">
        <v>3</v>
      </c>
      <c r="W4" s="1013"/>
      <c r="X4" s="1013" t="s">
        <v>1531</v>
      </c>
      <c r="Y4" s="1004" t="s">
        <v>1470</v>
      </c>
      <c r="Z4" s="1019"/>
      <c r="AC4" s="1004" t="s">
        <v>1532</v>
      </c>
      <c r="AD4" s="1015" t="s">
        <v>1532</v>
      </c>
      <c r="AF4" s="1006" t="s">
        <v>1530</v>
      </c>
      <c r="AH4" s="1006" t="s">
        <v>1533</v>
      </c>
      <c r="AK4" s="1005" t="s">
        <v>1534</v>
      </c>
      <c r="AM4" s="1005" t="s">
        <v>1535</v>
      </c>
      <c r="AP4" s="1016" t="s">
        <v>1496</v>
      </c>
      <c r="AQ4" s="1017" t="s">
        <v>1496</v>
      </c>
      <c r="AS4" s="1004" t="s">
        <v>1536</v>
      </c>
      <c r="AU4" s="1046" t="s">
        <v>1537</v>
      </c>
      <c r="AW4" s="1046" t="s">
        <v>1538</v>
      </c>
      <c r="AX4" s="1046" t="s">
        <v>1538</v>
      </c>
      <c r="AZ4" s="1046" t="s">
        <v>1539</v>
      </c>
      <c r="BB4" s="1046" t="s">
        <v>1540</v>
      </c>
      <c r="BC4" s="1046" t="s">
        <v>1541</v>
      </c>
      <c r="BE4" s="1046">
        <v>2002</v>
      </c>
      <c r="BF4" s="1046" t="s">
        <v>1542</v>
      </c>
      <c r="BH4" s="997" t="s">
        <v>1543</v>
      </c>
      <c r="BJ4" s="997" t="s">
        <v>1543</v>
      </c>
      <c r="BL4" s="997" t="s">
        <v>1543</v>
      </c>
      <c r="BN4" s="997" t="s">
        <v>1543</v>
      </c>
      <c r="BQ4" s="1358" t="s">
        <v>1544</v>
      </c>
      <c r="BR4" s="1085" t="s">
        <v>1545</v>
      </c>
      <c r="BS4" s="210"/>
      <c r="BT4" s="1358" t="s">
        <v>1546</v>
      </c>
      <c r="BU4" s="1085" t="s">
        <v>1547</v>
      </c>
      <c r="BV4" s="999"/>
      <c r="BW4" s="1623" t="s">
        <v>1548</v>
      </c>
      <c r="BX4" s="1617" t="s">
        <v>1549</v>
      </c>
      <c r="BZ4" s="1358" t="s">
        <v>1550</v>
      </c>
      <c r="CA4" s="1085" t="s">
        <v>1551</v>
      </c>
    </row>
    <row r="5" spans="1:79" ht="11.25" customHeight="1">
      <c r="A5" s="1003" t="s">
        <v>1552</v>
      </c>
      <c r="B5" s="1004">
        <v>2003</v>
      </c>
      <c r="C5" s="1004">
        <v>2025</v>
      </c>
      <c r="E5" s="1005" t="s">
        <v>1553</v>
      </c>
      <c r="F5" s="1005" t="s">
        <v>1554</v>
      </c>
      <c r="H5" s="1006" t="s">
        <v>1555</v>
      </c>
      <c r="I5" s="1005" t="s">
        <v>82</v>
      </c>
      <c r="K5" s="1007" t="s">
        <v>1556</v>
      </c>
      <c r="L5" s="1008">
        <f>IFERROR(MATCH(K5,OFFER_METHOD,0),0)</f>
        <v>0</v>
      </c>
      <c r="M5" s="1007">
        <v>4</v>
      </c>
      <c r="N5" s="1020" t="s">
        <v>1557</v>
      </c>
      <c r="O5" s="1005" t="s">
        <v>1558</v>
      </c>
      <c r="Q5" s="1010" t="s">
        <v>1559</v>
      </c>
      <c r="R5" s="81" t="s">
        <v>769</v>
      </c>
      <c r="T5" s="1006" t="s">
        <v>1560</v>
      </c>
      <c r="U5" s="1008" t="s">
        <v>1561</v>
      </c>
      <c r="V5" s="1012">
        <v>4</v>
      </c>
      <c r="W5" s="1013"/>
      <c r="X5" s="1013" t="s">
        <v>266</v>
      </c>
      <c r="Y5" s="1004" t="s">
        <v>1562</v>
      </c>
      <c r="Z5" s="1019">
        <v>1</v>
      </c>
      <c r="AF5" s="1006" t="s">
        <v>1563</v>
      </c>
      <c r="AH5" s="1005" t="s">
        <v>1564</v>
      </c>
      <c r="AK5" s="1005" t="s">
        <v>1565</v>
      </c>
      <c r="AM5" s="1005" t="s">
        <v>1566</v>
      </c>
      <c r="AP5" s="1016" t="s">
        <v>266</v>
      </c>
      <c r="AQ5" s="1017" t="s">
        <v>266</v>
      </c>
      <c r="AU5" s="1046" t="s">
        <v>1567</v>
      </c>
      <c r="AW5" s="1046" t="s">
        <v>1568</v>
      </c>
      <c r="AX5" s="1046" t="s">
        <v>1568</v>
      </c>
      <c r="AZ5" s="1046" t="s">
        <v>1569</v>
      </c>
      <c r="BB5" s="1046" t="s">
        <v>1570</v>
      </c>
      <c r="BC5" s="1046" t="s">
        <v>1571</v>
      </c>
      <c r="BE5" s="1046">
        <v>2003</v>
      </c>
      <c r="BF5" s="1046" t="s">
        <v>1572</v>
      </c>
      <c r="BH5" s="997" t="s">
        <v>1573</v>
      </c>
      <c r="BJ5" s="997" t="s">
        <v>1573</v>
      </c>
      <c r="BL5" s="997" t="s">
        <v>1573</v>
      </c>
      <c r="BN5" s="997" t="s">
        <v>1574</v>
      </c>
      <c r="BQ5" s="1207">
        <v>4213775</v>
      </c>
      <c r="BR5" s="997" t="s">
        <v>1469</v>
      </c>
      <c r="BS5" s="1355"/>
      <c r="BT5" s="1207">
        <v>64236871</v>
      </c>
      <c r="BU5" s="997" t="s">
        <v>327</v>
      </c>
      <c r="BV5" s="999"/>
      <c r="BW5" s="1621">
        <v>4213767</v>
      </c>
      <c r="BX5" s="1619" t="s">
        <v>1575</v>
      </c>
      <c r="BZ5" s="1207">
        <v>64237509</v>
      </c>
      <c r="CA5" s="1221" t="s">
        <v>1576</v>
      </c>
    </row>
    <row r="6" spans="1:79" ht="11.25" customHeight="1">
      <c r="A6" s="1003" t="s">
        <v>1577</v>
      </c>
      <c r="B6" s="1004">
        <v>2004</v>
      </c>
      <c r="C6" s="1004">
        <v>2026</v>
      </c>
      <c r="E6" s="1005" t="s">
        <v>1578</v>
      </c>
      <c r="F6" s="1021"/>
      <c r="H6" s="1006" t="s">
        <v>1579</v>
      </c>
      <c r="I6" s="1005" t="s">
        <v>109</v>
      </c>
      <c r="J6" s="996" t="s">
        <v>1580</v>
      </c>
      <c r="L6" s="1008">
        <f>SUM(kind_of_control_method_filter)</f>
        <v>0</v>
      </c>
      <c r="N6" s="1020" t="s">
        <v>1581</v>
      </c>
      <c r="O6" s="1005" t="s">
        <v>1582</v>
      </c>
      <c r="R6" s="81" t="s">
        <v>1464</v>
      </c>
      <c r="T6" s="1006" t="s">
        <v>1583</v>
      </c>
      <c r="U6" s="1008" t="s">
        <v>1563</v>
      </c>
      <c r="V6" s="1012">
        <v>5</v>
      </c>
      <c r="W6" s="1013"/>
      <c r="X6" s="1004" t="s">
        <v>272</v>
      </c>
      <c r="Y6" s="1004" t="s">
        <v>1584</v>
      </c>
      <c r="Z6" s="1019"/>
      <c r="AA6" s="1022"/>
      <c r="AH6" s="1005" t="s">
        <v>1585</v>
      </c>
      <c r="AK6" s="1005" t="s">
        <v>1586</v>
      </c>
      <c r="AM6" s="1005" t="s">
        <v>1587</v>
      </c>
      <c r="AP6" s="1016" t="s">
        <v>272</v>
      </c>
      <c r="AQ6" s="1017" t="s">
        <v>272</v>
      </c>
      <c r="AU6" s="1046" t="s">
        <v>1588</v>
      </c>
      <c r="AW6" s="1046" t="s">
        <v>1589</v>
      </c>
      <c r="AX6" s="1046" t="s">
        <v>1589</v>
      </c>
      <c r="BB6" s="1046" t="s">
        <v>1590</v>
      </c>
      <c r="BC6" s="1046" t="s">
        <v>1571</v>
      </c>
      <c r="BE6" s="1046">
        <v>2004</v>
      </c>
      <c r="BF6" s="1046" t="s">
        <v>1591</v>
      </c>
      <c r="BH6" s="997" t="s">
        <v>1592</v>
      </c>
      <c r="BJ6" s="997" t="s">
        <v>1593</v>
      </c>
      <c r="BL6" s="997" t="s">
        <v>1593</v>
      </c>
      <c r="BN6" s="997" t="s">
        <v>1594</v>
      </c>
      <c r="BQ6" s="1207">
        <v>4213784</v>
      </c>
      <c r="BR6" s="1221" t="s">
        <v>1503</v>
      </c>
      <c r="BS6" s="1356"/>
      <c r="BT6" s="1207">
        <v>64236872</v>
      </c>
      <c r="BU6" s="997" t="s">
        <v>332</v>
      </c>
      <c r="BV6" s="999"/>
      <c r="BW6" s="1621">
        <v>4213768</v>
      </c>
      <c r="BX6" s="1619" t="s">
        <v>483</v>
      </c>
      <c r="BZ6" s="1207">
        <v>64237510</v>
      </c>
      <c r="CA6" s="997" t="s">
        <v>1595</v>
      </c>
    </row>
    <row r="7" spans="1:79" ht="11.25" customHeight="1">
      <c r="A7" s="1003" t="s">
        <v>1596</v>
      </c>
      <c r="B7" s="1004">
        <v>2005</v>
      </c>
      <c r="E7" s="1005" t="s">
        <v>1597</v>
      </c>
      <c r="F7" s="1021"/>
      <c r="H7" s="1006" t="s">
        <v>1598</v>
      </c>
      <c r="I7" s="1005" t="s">
        <v>83</v>
      </c>
      <c r="J7" s="1005" t="s">
        <v>1599</v>
      </c>
      <c r="N7" s="1024" t="s">
        <v>1600</v>
      </c>
      <c r="O7" s="1005" t="s">
        <v>1601</v>
      </c>
      <c r="U7" s="1008" t="s">
        <v>6</v>
      </c>
      <c r="V7" s="306" t="s">
        <v>83</v>
      </c>
      <c r="W7" s="1013"/>
      <c r="X7" s="1004" t="s">
        <v>278</v>
      </c>
      <c r="Y7" s="1004" t="s">
        <v>1562</v>
      </c>
      <c r="Z7" s="1019"/>
      <c r="AA7" s="1022"/>
      <c r="AH7" s="1005" t="s">
        <v>1602</v>
      </c>
      <c r="AK7" s="1005" t="s">
        <v>1603</v>
      </c>
      <c r="AM7" s="1005" t="s">
        <v>1604</v>
      </c>
      <c r="AP7" s="1016" t="s">
        <v>278</v>
      </c>
      <c r="AQ7" s="1017" t="s">
        <v>278</v>
      </c>
      <c r="AU7" s="1046" t="s">
        <v>1605</v>
      </c>
      <c r="AW7" s="1046" t="s">
        <v>1606</v>
      </c>
      <c r="AX7" s="1046" t="s">
        <v>1606</v>
      </c>
      <c r="AZ7" s="996" t="s">
        <v>1607</v>
      </c>
      <c r="BB7" s="1046" t="s">
        <v>1608</v>
      </c>
      <c r="BC7" s="1046" t="s">
        <v>1571</v>
      </c>
      <c r="BE7" s="1046">
        <v>2005</v>
      </c>
      <c r="BF7" s="1046" t="s">
        <v>1609</v>
      </c>
      <c r="BH7" s="997" t="s">
        <v>1610</v>
      </c>
      <c r="BJ7" s="997" t="s">
        <v>1592</v>
      </c>
      <c r="BL7" s="997" t="s">
        <v>1592</v>
      </c>
      <c r="BN7" s="997" t="s">
        <v>1611</v>
      </c>
      <c r="BQ7" s="1207">
        <v>4213781</v>
      </c>
      <c r="BR7" s="997" t="s">
        <v>1496</v>
      </c>
      <c r="BS7" s="1355"/>
      <c r="BT7" s="1207">
        <v>64236873</v>
      </c>
      <c r="BU7" s="997" t="s">
        <v>337</v>
      </c>
      <c r="BV7" s="999"/>
      <c r="BW7" s="1621">
        <v>4213769</v>
      </c>
      <c r="BX7" s="1619" t="s">
        <v>1612</v>
      </c>
      <c r="BZ7" s="1207">
        <v>64237511</v>
      </c>
      <c r="CA7" s="997" t="s">
        <v>498</v>
      </c>
    </row>
    <row r="8" spans="1:79" ht="11.25" customHeight="1">
      <c r="A8" s="1003" t="s">
        <v>1613</v>
      </c>
      <c r="B8" s="1004">
        <v>2006</v>
      </c>
      <c r="E8" s="1005" t="s">
        <v>1614</v>
      </c>
      <c r="F8" s="1021"/>
      <c r="H8" s="1006" t="s">
        <v>1615</v>
      </c>
      <c r="I8" s="1005" t="s">
        <v>84</v>
      </c>
      <c r="J8" s="1005" t="s">
        <v>1616</v>
      </c>
      <c r="N8" s="1089" t="s">
        <v>1617</v>
      </c>
      <c r="O8" s="1005" t="s">
        <v>1618</v>
      </c>
      <c r="V8" s="306" t="s">
        <v>84</v>
      </c>
      <c r="W8" s="1013"/>
      <c r="X8" s="1004" t="s">
        <v>284</v>
      </c>
      <c r="Y8" s="1004" t="s">
        <v>1562</v>
      </c>
      <c r="Z8" s="1019"/>
      <c r="AA8" s="1022"/>
      <c r="AK8" s="1005" t="s">
        <v>1619</v>
      </c>
      <c r="AP8" s="1016" t="s">
        <v>284</v>
      </c>
      <c r="AQ8" s="1017" t="s">
        <v>284</v>
      </c>
      <c r="AU8" s="1046" t="s">
        <v>1620</v>
      </c>
      <c r="AW8" s="1046" t="s">
        <v>1621</v>
      </c>
      <c r="AX8" s="1046" t="s">
        <v>1621</v>
      </c>
      <c r="AZ8" s="1046" t="s">
        <v>1622</v>
      </c>
      <c r="BB8" s="1046" t="s">
        <v>1623</v>
      </c>
      <c r="BC8" s="1046" t="s">
        <v>1571</v>
      </c>
      <c r="BE8" s="1046">
        <v>2006</v>
      </c>
      <c r="BF8" s="1046" t="s">
        <v>1624</v>
      </c>
      <c r="BH8" s="997" t="s">
        <v>1625</v>
      </c>
      <c r="BJ8" s="997" t="s">
        <v>1626</v>
      </c>
      <c r="BL8" s="997" t="s">
        <v>1626</v>
      </c>
      <c r="BN8" s="997" t="s">
        <v>1627</v>
      </c>
      <c r="BQ8" s="1207">
        <v>4213776</v>
      </c>
      <c r="BR8" s="997" t="s">
        <v>266</v>
      </c>
      <c r="BS8" s="1355"/>
      <c r="BT8" s="1207">
        <v>64236874</v>
      </c>
      <c r="BU8" s="1221" t="s">
        <v>1628</v>
      </c>
      <c r="BV8" s="999"/>
      <c r="BW8" s="1621">
        <v>4213770</v>
      </c>
      <c r="BX8" s="1622" t="s">
        <v>1629</v>
      </c>
      <c r="BZ8" s="1207">
        <v>64237512</v>
      </c>
      <c r="CA8" s="997" t="s">
        <v>493</v>
      </c>
    </row>
    <row r="9" spans="1:79" ht="11.25" customHeight="1">
      <c r="A9" s="1003" t="s">
        <v>1630</v>
      </c>
      <c r="B9" s="1004">
        <v>2007</v>
      </c>
      <c r="E9" s="1005" t="s">
        <v>1631</v>
      </c>
      <c r="F9" s="1021"/>
      <c r="G9" s="996" t="s">
        <v>1632</v>
      </c>
      <c r="H9" s="996" t="s">
        <v>1633</v>
      </c>
      <c r="I9" s="1005" t="s">
        <v>90</v>
      </c>
      <c r="O9" s="1005" t="s">
        <v>1634</v>
      </c>
      <c r="V9" s="306" t="s">
        <v>90</v>
      </c>
      <c r="W9" s="1013"/>
      <c r="X9" s="1004" t="s">
        <v>290</v>
      </c>
      <c r="Y9" s="1004" t="s">
        <v>1470</v>
      </c>
      <c r="Z9" s="1019">
        <v>1</v>
      </c>
      <c r="AA9" s="1022"/>
      <c r="AK9" s="1005" t="s">
        <v>1635</v>
      </c>
      <c r="AP9" s="1016" t="s">
        <v>1636</v>
      </c>
      <c r="AQ9" s="1017" t="s">
        <v>1636</v>
      </c>
      <c r="AW9" s="1046" t="s">
        <v>1637</v>
      </c>
      <c r="AX9" s="1046" t="s">
        <v>1637</v>
      </c>
      <c r="AZ9" s="1046" t="s">
        <v>1638</v>
      </c>
      <c r="BB9" s="1046" t="s">
        <v>1639</v>
      </c>
      <c r="BC9" s="1046" t="s">
        <v>1571</v>
      </c>
      <c r="BE9" s="1046">
        <v>2007</v>
      </c>
      <c r="BF9" s="1046" t="s">
        <v>1640</v>
      </c>
      <c r="BH9" s="997" t="s">
        <v>1641</v>
      </c>
      <c r="BJ9" s="997" t="s">
        <v>1642</v>
      </c>
      <c r="BL9" s="997" t="s">
        <v>1642</v>
      </c>
      <c r="BN9" s="997" t="s">
        <v>1643</v>
      </c>
      <c r="BQ9" s="1207">
        <v>4213777</v>
      </c>
      <c r="BR9" s="997" t="s">
        <v>272</v>
      </c>
      <c r="BS9" s="1355"/>
      <c r="BT9" s="1207">
        <v>64236875</v>
      </c>
      <c r="BU9" s="997" t="s">
        <v>342</v>
      </c>
      <c r="BV9" s="999"/>
      <c r="BW9" s="1616"/>
      <c r="BX9" s="1616"/>
    </row>
    <row r="10" spans="1:79" ht="11.25" customHeight="1">
      <c r="A10" s="1003" t="s">
        <v>1644</v>
      </c>
      <c r="B10" s="1004">
        <v>2008</v>
      </c>
      <c r="E10" s="1005" t="s">
        <v>1645</v>
      </c>
      <c r="F10" s="1021"/>
      <c r="G10" s="1005" t="s">
        <v>1646</v>
      </c>
      <c r="H10" s="1005" t="s">
        <v>1647</v>
      </c>
      <c r="I10" s="1005" t="s">
        <v>128</v>
      </c>
      <c r="J10" s="996" t="s">
        <v>1648</v>
      </c>
      <c r="K10" s="996" t="s">
        <v>1649</v>
      </c>
      <c r="O10" s="1005" t="s">
        <v>1650</v>
      </c>
      <c r="V10" s="307" t="s">
        <v>128</v>
      </c>
      <c r="W10" s="1025"/>
      <c r="X10" s="1025" t="s">
        <v>1651</v>
      </c>
      <c r="Y10" s="1026" t="s">
        <v>1652</v>
      </c>
      <c r="Z10" s="1019"/>
      <c r="AP10" s="1016" t="s">
        <v>1651</v>
      </c>
      <c r="AQ10" s="1017" t="s">
        <v>1651</v>
      </c>
      <c r="AW10" s="1046" t="s">
        <v>1653</v>
      </c>
      <c r="AX10" s="1046" t="s">
        <v>1653</v>
      </c>
      <c r="AZ10" s="1046" t="s">
        <v>1654</v>
      </c>
      <c r="BB10" s="1046" t="s">
        <v>1655</v>
      </c>
      <c r="BC10" s="1046" t="s">
        <v>1571</v>
      </c>
      <c r="BE10" s="1046">
        <v>2008</v>
      </c>
      <c r="BF10" s="1046" t="s">
        <v>1656</v>
      </c>
      <c r="BH10" s="997" t="s">
        <v>1657</v>
      </c>
      <c r="BJ10" s="997" t="s">
        <v>1658</v>
      </c>
      <c r="BL10" s="997" t="s">
        <v>1658</v>
      </c>
      <c r="BN10" s="997" t="s">
        <v>1659</v>
      </c>
      <c r="BQ10" s="1207">
        <v>4213778</v>
      </c>
      <c r="BR10" s="997" t="s">
        <v>278</v>
      </c>
      <c r="BS10" s="1355"/>
      <c r="BT10" s="1207">
        <v>64236876</v>
      </c>
      <c r="BU10" s="997" t="s">
        <v>322</v>
      </c>
      <c r="BV10" s="999"/>
      <c r="BW10" s="1616"/>
      <c r="BX10" s="1616"/>
    </row>
    <row r="11" spans="1:79" ht="11.25" customHeight="1">
      <c r="A11" s="1003" t="s">
        <v>1660</v>
      </c>
      <c r="B11" s="1004">
        <v>2009</v>
      </c>
      <c r="E11" s="1005" t="s">
        <v>1661</v>
      </c>
      <c r="F11" s="1021"/>
      <c r="G11" s="1005" t="s">
        <v>1662</v>
      </c>
      <c r="H11" s="1005" t="s">
        <v>1663</v>
      </c>
      <c r="I11" s="1005" t="s">
        <v>133</v>
      </c>
      <c r="J11" s="1006" t="s">
        <v>1664</v>
      </c>
      <c r="K11" s="1027" t="s">
        <v>1665</v>
      </c>
      <c r="O11" s="1006" t="s">
        <v>1666</v>
      </c>
      <c r="V11" s="306" t="s">
        <v>133</v>
      </c>
      <c r="W11" s="211"/>
      <c r="X11" s="1013" t="s">
        <v>1636</v>
      </c>
      <c r="Y11" s="1004" t="s">
        <v>1667</v>
      </c>
      <c r="Z11" s="1019"/>
      <c r="AP11" s="1016" t="s">
        <v>290</v>
      </c>
      <c r="AQ11" s="1018" t="s">
        <v>290</v>
      </c>
      <c r="AW11" s="1046" t="s">
        <v>1668</v>
      </c>
      <c r="AX11" s="1046" t="s">
        <v>1668</v>
      </c>
      <c r="AZ11" s="1046" t="s">
        <v>1669</v>
      </c>
      <c r="BB11" s="1046" t="s">
        <v>1670</v>
      </c>
      <c r="BC11" s="1046" t="s">
        <v>1571</v>
      </c>
      <c r="BE11" s="1046">
        <v>2009</v>
      </c>
      <c r="BF11" s="1046" t="s">
        <v>1671</v>
      </c>
      <c r="BH11" s="997" t="s">
        <v>1672</v>
      </c>
      <c r="BJ11" s="997" t="s">
        <v>1641</v>
      </c>
      <c r="BL11" s="997" t="s">
        <v>1641</v>
      </c>
      <c r="BN11" s="997" t="s">
        <v>1673</v>
      </c>
      <c r="BQ11" s="1207">
        <v>4213780</v>
      </c>
      <c r="BR11" s="997" t="s">
        <v>284</v>
      </c>
      <c r="BS11" s="1355"/>
      <c r="BW11" s="1616"/>
      <c r="BX11" s="1616"/>
    </row>
    <row r="12" spans="1:79" ht="11.25" customHeight="1">
      <c r="A12" s="1003" t="s">
        <v>1674</v>
      </c>
      <c r="B12" s="1004">
        <v>2010</v>
      </c>
      <c r="E12" s="1005" t="s">
        <v>1675</v>
      </c>
      <c r="F12" s="1021"/>
      <c r="G12" s="1005" t="s">
        <v>1663</v>
      </c>
      <c r="I12" s="1005" t="s">
        <v>138</v>
      </c>
      <c r="J12" s="1006" t="s">
        <v>1676</v>
      </c>
      <c r="K12" s="1027" t="s">
        <v>1677</v>
      </c>
      <c r="O12" s="1006" t="s">
        <v>1464</v>
      </c>
      <c r="V12" s="306" t="s">
        <v>138</v>
      </c>
      <c r="W12" s="1018"/>
      <c r="X12" s="1013" t="s">
        <v>1678</v>
      </c>
      <c r="Y12" s="1004" t="s">
        <v>1470</v>
      </c>
      <c r="AP12" s="1016"/>
      <c r="AW12" s="1046" t="s">
        <v>133</v>
      </c>
      <c r="AX12" s="1046" t="s">
        <v>133</v>
      </c>
      <c r="AZ12" s="1046" t="s">
        <v>1679</v>
      </c>
      <c r="BB12" s="1046" t="s">
        <v>1680</v>
      </c>
      <c r="BC12" s="1046" t="s">
        <v>1571</v>
      </c>
      <c r="BE12" s="1046">
        <v>2010</v>
      </c>
      <c r="BF12" s="1046" t="s">
        <v>1681</v>
      </c>
      <c r="BH12" s="997" t="s">
        <v>1682</v>
      </c>
      <c r="BJ12" s="997" t="s">
        <v>1683</v>
      </c>
      <c r="BL12" s="997" t="s">
        <v>1683</v>
      </c>
      <c r="BN12" s="997" t="s">
        <v>1684</v>
      </c>
      <c r="BQ12" s="1207">
        <v>4213779</v>
      </c>
      <c r="BR12" s="997" t="s">
        <v>1636</v>
      </c>
      <c r="BS12" s="1355"/>
      <c r="BT12" s="999"/>
      <c r="BU12" s="999"/>
      <c r="BV12" s="999"/>
      <c r="BW12" s="1616"/>
      <c r="BX12" s="1616"/>
    </row>
    <row r="13" spans="1:79" ht="11.25" customHeight="1">
      <c r="A13" s="1003" t="s">
        <v>1685</v>
      </c>
      <c r="B13" s="1004">
        <v>2011</v>
      </c>
      <c r="E13" s="1005" t="s">
        <v>1686</v>
      </c>
      <c r="F13" s="1021"/>
      <c r="I13" s="1005" t="s">
        <v>147</v>
      </c>
      <c r="K13" s="1027" t="s">
        <v>1635</v>
      </c>
      <c r="V13" s="306" t="s">
        <v>147</v>
      </c>
      <c r="W13" s="1018"/>
      <c r="X13" s="1018"/>
      <c r="Y13" s="1018"/>
      <c r="AW13" s="1046" t="s">
        <v>138</v>
      </c>
      <c r="AX13" s="1046" t="s">
        <v>138</v>
      </c>
      <c r="BB13" s="1046" t="s">
        <v>1687</v>
      </c>
      <c r="BC13" s="1046" t="s">
        <v>1688</v>
      </c>
      <c r="BE13" s="1046">
        <v>2011</v>
      </c>
      <c r="BF13" s="1046" t="s">
        <v>1689</v>
      </c>
      <c r="BH13" s="997" t="s">
        <v>1690</v>
      </c>
      <c r="BJ13" s="997" t="s">
        <v>1672</v>
      </c>
      <c r="BL13" s="997" t="s">
        <v>1672</v>
      </c>
      <c r="BN13" s="997" t="s">
        <v>1691</v>
      </c>
      <c r="BQ13" s="1207">
        <v>4213783</v>
      </c>
      <c r="BR13" s="997" t="s">
        <v>1651</v>
      </c>
      <c r="BS13" s="1355"/>
      <c r="BT13" s="999"/>
      <c r="BU13" s="999"/>
      <c r="BV13" s="999"/>
      <c r="BW13" s="1620"/>
      <c r="BX13" s="1616"/>
    </row>
    <row r="14" spans="1:79" ht="11.25" customHeight="1">
      <c r="A14" s="1003" t="s">
        <v>1692</v>
      </c>
      <c r="B14" s="1004">
        <v>2012</v>
      </c>
      <c r="I14" s="1005" t="s">
        <v>101</v>
      </c>
      <c r="J14" s="996" t="s">
        <v>1693</v>
      </c>
      <c r="N14" s="996" t="s">
        <v>1694</v>
      </c>
      <c r="V14" s="1012">
        <v>13</v>
      </c>
      <c r="W14" s="1013"/>
      <c r="X14" s="1013" t="s">
        <v>1503</v>
      </c>
      <c r="Y14" s="1004" t="s">
        <v>1470</v>
      </c>
      <c r="AW14" s="1046" t="s">
        <v>147</v>
      </c>
      <c r="AX14" s="1046" t="s">
        <v>147</v>
      </c>
      <c r="AZ14" s="996" t="s">
        <v>1695</v>
      </c>
      <c r="BB14" s="1046" t="s">
        <v>1696</v>
      </c>
      <c r="BC14" s="1046" t="s">
        <v>1688</v>
      </c>
      <c r="BE14" s="1046">
        <v>2012</v>
      </c>
      <c r="BH14" s="997" t="s">
        <v>1611</v>
      </c>
      <c r="BJ14" s="1143" t="s">
        <v>1697</v>
      </c>
      <c r="BL14" s="1143" t="s">
        <v>1697</v>
      </c>
      <c r="BN14" s="997" t="s">
        <v>1698</v>
      </c>
      <c r="BQ14" s="1207">
        <v>4213782</v>
      </c>
      <c r="BR14" s="997" t="s">
        <v>290</v>
      </c>
      <c r="BS14" s="1355"/>
      <c r="BT14" s="999"/>
      <c r="BU14" s="999"/>
      <c r="BV14" s="999"/>
      <c r="BW14" s="1620"/>
      <c r="BX14" s="1616"/>
    </row>
    <row r="15" spans="1:79" ht="19.5" customHeight="1">
      <c r="A15" s="1003" t="s">
        <v>1699</v>
      </c>
      <c r="B15" s="1004">
        <v>2013</v>
      </c>
      <c r="E15" s="1624" t="s">
        <v>1700</v>
      </c>
      <c r="G15" s="996" t="s">
        <v>1701</v>
      </c>
      <c r="H15" s="996" t="s">
        <v>1702</v>
      </c>
      <c r="I15" s="1007" t="s">
        <v>154</v>
      </c>
      <c r="J15" s="1018" t="s">
        <v>833</v>
      </c>
      <c r="N15" s="1084" t="s">
        <v>1703</v>
      </c>
      <c r="X15" s="1016"/>
      <c r="AW15" s="1046" t="s">
        <v>101</v>
      </c>
      <c r="AX15" s="1046" t="s">
        <v>101</v>
      </c>
      <c r="AZ15" s="1046" t="s">
        <v>1622</v>
      </c>
      <c r="BB15" s="1046" t="s">
        <v>1704</v>
      </c>
      <c r="BC15" s="1046" t="s">
        <v>1688</v>
      </c>
      <c r="BE15" s="1046">
        <v>2013</v>
      </c>
      <c r="BH15" s="997" t="s">
        <v>1627</v>
      </c>
      <c r="BJ15" s="1143" t="s">
        <v>1705</v>
      </c>
      <c r="BL15" s="1143" t="s">
        <v>1705</v>
      </c>
      <c r="BN15" s="997" t="s">
        <v>1706</v>
      </c>
      <c r="BR15" s="999"/>
      <c r="BS15" s="1357"/>
      <c r="BT15" s="999"/>
      <c r="BU15" s="999"/>
      <c r="BV15" s="999"/>
      <c r="BW15" s="1620"/>
      <c r="BX15" s="1616"/>
    </row>
    <row r="16" spans="1:79" ht="21" customHeight="1">
      <c r="A16" s="1767" t="s">
        <v>1707</v>
      </c>
      <c r="B16" s="1004">
        <v>2014</v>
      </c>
      <c r="E16" s="1625" t="s">
        <v>1708</v>
      </c>
      <c r="G16" s="1005" t="s">
        <v>1709</v>
      </c>
      <c r="H16" s="1005" t="s">
        <v>1710</v>
      </c>
      <c r="I16" s="1007" t="s">
        <v>160</v>
      </c>
      <c r="J16" s="1018" t="s">
        <v>806</v>
      </c>
      <c r="N16" s="1084" t="s">
        <v>1711</v>
      </c>
      <c r="AW16" s="1046" t="s">
        <v>154</v>
      </c>
      <c r="AX16" s="1046" t="s">
        <v>154</v>
      </c>
      <c r="AZ16" s="1046" t="s">
        <v>1638</v>
      </c>
      <c r="BB16" s="1046" t="s">
        <v>1712</v>
      </c>
      <c r="BC16" s="1046" t="s">
        <v>1688</v>
      </c>
      <c r="BE16" s="1046">
        <v>2014</v>
      </c>
      <c r="BH16" s="997" t="s">
        <v>1643</v>
      </c>
      <c r="BJ16" s="1143" t="s">
        <v>1713</v>
      </c>
      <c r="BL16" s="1143" t="s">
        <v>1713</v>
      </c>
      <c r="BN16" s="997" t="s">
        <v>1714</v>
      </c>
      <c r="BR16" s="999"/>
      <c r="BS16" s="1357"/>
      <c r="BT16" s="999"/>
      <c r="BU16" s="999"/>
      <c r="BV16" s="999"/>
      <c r="BW16" s="1620"/>
      <c r="BX16" s="1616"/>
    </row>
    <row r="17" spans="1:82" ht="21" customHeight="1">
      <c r="A17" s="1003" t="s">
        <v>1715</v>
      </c>
      <c r="B17" s="1004">
        <v>2015</v>
      </c>
      <c r="G17" s="1005" t="s">
        <v>1663</v>
      </c>
      <c r="H17" s="1005" t="s">
        <v>1663</v>
      </c>
      <c r="I17" s="1005" t="s">
        <v>105</v>
      </c>
      <c r="N17" s="1084" t="s">
        <v>1716</v>
      </c>
      <c r="X17" s="1016"/>
      <c r="AW17" s="1046" t="s">
        <v>160</v>
      </c>
      <c r="AX17" s="1046" t="s">
        <v>160</v>
      </c>
      <c r="AZ17" s="1046" t="s">
        <v>1717</v>
      </c>
      <c r="BB17" s="1046" t="s">
        <v>1718</v>
      </c>
      <c r="BC17" s="1046" t="s">
        <v>1571</v>
      </c>
      <c r="BE17" s="1046">
        <v>2015</v>
      </c>
      <c r="BH17" s="997" t="s">
        <v>1659</v>
      </c>
      <c r="BJ17" s="1143" t="s">
        <v>1719</v>
      </c>
      <c r="BL17" s="1143" t="s">
        <v>1719</v>
      </c>
      <c r="BN17" s="997" t="s">
        <v>1720</v>
      </c>
      <c r="BR17" s="996" t="s">
        <v>1514</v>
      </c>
      <c r="BS17" s="1354"/>
      <c r="BU17" s="996" t="s">
        <v>1721</v>
      </c>
      <c r="BV17" s="999"/>
      <c r="BW17" s="1616"/>
      <c r="BX17" s="1618" t="s">
        <v>1722</v>
      </c>
      <c r="CA17" s="996" t="s">
        <v>1723</v>
      </c>
      <c r="CD17" s="996" t="s">
        <v>1724</v>
      </c>
    </row>
    <row r="18" spans="1:82" ht="21" customHeight="1">
      <c r="A18" s="1003" t="s">
        <v>1725</v>
      </c>
      <c r="B18" s="1004">
        <v>2016</v>
      </c>
      <c r="E18" s="1899" t="s">
        <v>1726</v>
      </c>
      <c r="I18" s="1005" t="s">
        <v>171</v>
      </c>
      <c r="N18" s="1084" t="s">
        <v>1727</v>
      </c>
      <c r="X18" s="1016"/>
      <c r="AW18" s="1046" t="s">
        <v>105</v>
      </c>
      <c r="AX18" s="1046" t="s">
        <v>105</v>
      </c>
      <c r="BB18" s="1046" t="s">
        <v>1728</v>
      </c>
      <c r="BC18" s="1046" t="s">
        <v>1571</v>
      </c>
      <c r="BE18" s="1046">
        <v>2016</v>
      </c>
      <c r="BH18" s="997" t="s">
        <v>1673</v>
      </c>
      <c r="BJ18" s="1143" t="s">
        <v>1729</v>
      </c>
      <c r="BL18" s="1143" t="s">
        <v>1729</v>
      </c>
      <c r="BN18" s="997" t="s">
        <v>1730</v>
      </c>
      <c r="BQ18" s="1358" t="s">
        <v>1544</v>
      </c>
      <c r="BR18" s="1085" t="s">
        <v>1545</v>
      </c>
      <c r="BS18" s="210"/>
      <c r="BT18" s="1358" t="s">
        <v>1731</v>
      </c>
      <c r="BU18" s="1085" t="s">
        <v>1732</v>
      </c>
      <c r="BV18" s="999"/>
      <c r="BW18" s="1623" t="s">
        <v>1733</v>
      </c>
      <c r="BX18" s="1617" t="s">
        <v>1734</v>
      </c>
      <c r="BZ18" s="1358" t="s">
        <v>1735</v>
      </c>
      <c r="CA18" s="1085" t="s">
        <v>1736</v>
      </c>
      <c r="CC18" s="1358" t="s">
        <v>1737</v>
      </c>
      <c r="CD18" s="1085" t="s">
        <v>1738</v>
      </c>
    </row>
    <row r="19" spans="1:82" ht="21" customHeight="1">
      <c r="A19" s="1767" t="s">
        <v>1739</v>
      </c>
      <c r="B19" s="1004">
        <v>2017</v>
      </c>
      <c r="E19" s="1003" t="s">
        <v>265</v>
      </c>
      <c r="I19" s="1005" t="s">
        <v>111</v>
      </c>
      <c r="N19" s="1084" t="s">
        <v>1740</v>
      </c>
      <c r="X19" s="1016"/>
      <c r="AW19" s="1046" t="s">
        <v>171</v>
      </c>
      <c r="AX19" s="1046" t="s">
        <v>171</v>
      </c>
      <c r="AZ19" s="996" t="s">
        <v>1741</v>
      </c>
      <c r="BB19" s="1046" t="s">
        <v>1742</v>
      </c>
      <c r="BC19" s="1046" t="s">
        <v>1571</v>
      </c>
      <c r="BE19" s="1046">
        <v>2017</v>
      </c>
      <c r="BH19" s="997" t="s">
        <v>1743</v>
      </c>
      <c r="BJ19" s="1143" t="s">
        <v>1744</v>
      </c>
      <c r="BL19" s="1143" t="s">
        <v>1744</v>
      </c>
      <c r="BQ19" s="1207">
        <v>4190064</v>
      </c>
      <c r="BR19" s="997" t="s">
        <v>1745</v>
      </c>
      <c r="BS19" s="1355"/>
      <c r="BT19" s="1207">
        <v>4189671</v>
      </c>
      <c r="BU19" s="997" t="s">
        <v>1746</v>
      </c>
      <c r="BV19" s="999"/>
      <c r="BW19" s="1621">
        <v>4189706</v>
      </c>
      <c r="BX19" s="1619" t="s">
        <v>1747</v>
      </c>
      <c r="BZ19" s="1207">
        <v>4189714</v>
      </c>
      <c r="CA19" s="997" t="s">
        <v>1748</v>
      </c>
      <c r="CC19" s="1207">
        <v>4189708</v>
      </c>
      <c r="CD19" s="997" t="s">
        <v>1749</v>
      </c>
    </row>
    <row r="20" spans="1:82" ht="21" customHeight="1">
      <c r="A20" s="1003" t="s">
        <v>1750</v>
      </c>
      <c r="B20" s="1004">
        <v>2018</v>
      </c>
      <c r="E20" s="1003" t="s">
        <v>1503</v>
      </c>
      <c r="I20" s="1005" t="s">
        <v>182</v>
      </c>
      <c r="N20" s="1084" t="s">
        <v>1751</v>
      </c>
      <c r="AW20" s="1046" t="s">
        <v>111</v>
      </c>
      <c r="AX20" s="1046" t="s">
        <v>111</v>
      </c>
      <c r="AZ20" s="1046" t="s">
        <v>1752</v>
      </c>
      <c r="BB20" s="1046" t="s">
        <v>1753</v>
      </c>
      <c r="BC20" s="1046" t="s">
        <v>1688</v>
      </c>
      <c r="BE20" s="1046">
        <v>2018</v>
      </c>
      <c r="BH20" s="997" t="s">
        <v>1684</v>
      </c>
      <c r="BJ20" s="997" t="s">
        <v>1611</v>
      </c>
      <c r="BL20" s="997" t="s">
        <v>1611</v>
      </c>
      <c r="BQ20" s="1207">
        <v>4190065</v>
      </c>
      <c r="BR20" s="997" t="s">
        <v>1754</v>
      </c>
      <c r="BS20" s="1355"/>
      <c r="BT20" s="1207">
        <v>4189672</v>
      </c>
      <c r="BU20" s="997" t="s">
        <v>1755</v>
      </c>
      <c r="BV20" s="999"/>
      <c r="BW20" s="1621">
        <v>4189705</v>
      </c>
      <c r="BX20" s="1619" t="s">
        <v>1756</v>
      </c>
      <c r="BZ20" s="1207">
        <v>4189713</v>
      </c>
      <c r="CA20" s="997" t="s">
        <v>1756</v>
      </c>
      <c r="CC20" s="1207">
        <v>4189709</v>
      </c>
      <c r="CD20" s="997" t="s">
        <v>1757</v>
      </c>
    </row>
    <row r="21" spans="1:82" ht="21" customHeight="1">
      <c r="A21" s="1003" t="s">
        <v>1758</v>
      </c>
      <c r="B21" s="1004">
        <v>2019</v>
      </c>
      <c r="I21" s="1005" t="s">
        <v>187</v>
      </c>
      <c r="N21" s="1084" t="s">
        <v>1759</v>
      </c>
      <c r="AW21" s="1046" t="s">
        <v>182</v>
      </c>
      <c r="AX21" s="1046" t="s">
        <v>182</v>
      </c>
      <c r="AZ21" s="1046" t="s">
        <v>1760</v>
      </c>
      <c r="BB21" s="1046" t="s">
        <v>1761</v>
      </c>
      <c r="BC21" s="1046" t="s">
        <v>1571</v>
      </c>
      <c r="BE21" s="1046">
        <v>2019</v>
      </c>
      <c r="BH21" s="997" t="s">
        <v>1691</v>
      </c>
      <c r="BJ21" s="997" t="s">
        <v>1627</v>
      </c>
      <c r="BL21" s="997" t="s">
        <v>1627</v>
      </c>
      <c r="BQ21" s="1207">
        <v>4190066</v>
      </c>
      <c r="BR21" s="997" t="s">
        <v>1762</v>
      </c>
      <c r="BS21" s="1355"/>
      <c r="BT21" s="1207">
        <v>4189673</v>
      </c>
      <c r="BU21" s="997" t="s">
        <v>1763</v>
      </c>
      <c r="BV21" s="999"/>
      <c r="BW21" s="1621">
        <v>4189707</v>
      </c>
      <c r="BX21" s="1619" t="s">
        <v>1764</v>
      </c>
      <c r="BZ21" s="1207">
        <v>4189712</v>
      </c>
      <c r="CA21" s="997" t="s">
        <v>1765</v>
      </c>
      <c r="CC21" s="1207">
        <v>4189710</v>
      </c>
      <c r="CD21" s="997" t="s">
        <v>1766</v>
      </c>
    </row>
    <row r="22" spans="1:82" ht="21" customHeight="1">
      <c r="A22" s="1003" t="s">
        <v>1767</v>
      </c>
      <c r="B22" s="1004">
        <v>2020</v>
      </c>
      <c r="N22" s="1084" t="s">
        <v>1768</v>
      </c>
      <c r="AW22" s="1046" t="s">
        <v>187</v>
      </c>
      <c r="AX22" s="1046" t="s">
        <v>187</v>
      </c>
      <c r="AZ22" s="1046" t="s">
        <v>1769</v>
      </c>
      <c r="BB22" s="1046" t="s">
        <v>1770</v>
      </c>
      <c r="BC22" s="1046" t="s">
        <v>1571</v>
      </c>
      <c r="BE22" s="1046">
        <v>2020</v>
      </c>
      <c r="BH22" s="997" t="s">
        <v>1698</v>
      </c>
      <c r="BJ22" s="997" t="s">
        <v>1643</v>
      </c>
      <c r="BL22" s="997" t="s">
        <v>1643</v>
      </c>
      <c r="BQ22" s="1207">
        <v>4190067</v>
      </c>
      <c r="BR22" s="997" t="s">
        <v>1771</v>
      </c>
      <c r="BS22" s="1355"/>
      <c r="BT22" s="1207">
        <v>4189674</v>
      </c>
      <c r="BU22" s="997" t="s">
        <v>1772</v>
      </c>
      <c r="BV22" s="999"/>
      <c r="BW22" s="999"/>
      <c r="CC22" s="1207">
        <v>4189711</v>
      </c>
      <c r="CD22" s="997" t="s">
        <v>522</v>
      </c>
    </row>
    <row r="23" spans="1:82" ht="21" customHeight="1">
      <c r="A23" s="1003" t="s">
        <v>1773</v>
      </c>
      <c r="B23" s="1004">
        <v>2021</v>
      </c>
      <c r="AW23" s="1046" t="s">
        <v>192</v>
      </c>
      <c r="AX23" s="1046" t="s">
        <v>192</v>
      </c>
      <c r="AZ23" s="1046" t="s">
        <v>1774</v>
      </c>
      <c r="BB23" s="1046" t="s">
        <v>1775</v>
      </c>
      <c r="BC23" s="1046" t="s">
        <v>1481</v>
      </c>
      <c r="BE23" s="1046">
        <v>2021</v>
      </c>
      <c r="BH23" s="997" t="s">
        <v>1706</v>
      </c>
      <c r="BJ23" s="997" t="s">
        <v>1659</v>
      </c>
      <c r="BL23" s="997" t="s">
        <v>1659</v>
      </c>
      <c r="BQ23" s="1207">
        <v>4190068</v>
      </c>
      <c r="BR23" s="997" t="s">
        <v>1776</v>
      </c>
      <c r="BS23" s="1355"/>
      <c r="BT23" s="1207">
        <v>4189675</v>
      </c>
      <c r="BU23" s="997" t="s">
        <v>1777</v>
      </c>
      <c r="BV23" s="999"/>
      <c r="BW23" s="999"/>
      <c r="CC23" s="1207">
        <v>5110778</v>
      </c>
      <c r="CD23" s="997" t="s">
        <v>1778</v>
      </c>
    </row>
    <row r="24" spans="1:82" ht="21" customHeight="1">
      <c r="A24" s="1003" t="s">
        <v>1779</v>
      </c>
      <c r="B24" s="1004">
        <v>2022</v>
      </c>
      <c r="AW24" s="1046" t="s">
        <v>197</v>
      </c>
      <c r="AX24" s="1046" t="s">
        <v>197</v>
      </c>
      <c r="AZ24" s="1046" t="s">
        <v>1780</v>
      </c>
      <c r="BB24" s="1046" t="s">
        <v>1781</v>
      </c>
      <c r="BC24" s="1046" t="s">
        <v>1782</v>
      </c>
      <c r="BE24" s="1046">
        <v>2022</v>
      </c>
      <c r="BH24" s="997" t="s">
        <v>1714</v>
      </c>
      <c r="BJ24" s="997" t="s">
        <v>1673</v>
      </c>
      <c r="BL24" s="997" t="s">
        <v>1673</v>
      </c>
      <c r="BQ24" s="1207">
        <v>4190069</v>
      </c>
      <c r="BR24" s="997" t="s">
        <v>1783</v>
      </c>
      <c r="BS24" s="1355"/>
      <c r="BT24" s="1207">
        <v>4189676</v>
      </c>
      <c r="BU24" s="997" t="s">
        <v>1784</v>
      </c>
      <c r="BV24" s="999"/>
      <c r="BW24" s="999"/>
      <c r="CC24" s="1207">
        <v>25575374</v>
      </c>
      <c r="CD24" s="997" t="s">
        <v>1785</v>
      </c>
    </row>
    <row r="25" spans="1:82" ht="11.25" customHeight="1">
      <c r="A25" s="1003" t="s">
        <v>1786</v>
      </c>
      <c r="B25" s="1004">
        <v>2023</v>
      </c>
      <c r="AW25" s="1046" t="s">
        <v>202</v>
      </c>
      <c r="AX25" s="1046" t="s">
        <v>202</v>
      </c>
      <c r="AZ25" s="1046" t="s">
        <v>1787</v>
      </c>
      <c r="BB25" s="1046" t="s">
        <v>1788</v>
      </c>
      <c r="BC25" s="1046" t="s">
        <v>1782</v>
      </c>
      <c r="BE25" s="1046">
        <v>2023</v>
      </c>
      <c r="BH25" s="997" t="s">
        <v>1720</v>
      </c>
      <c r="BJ25" s="997" t="s">
        <v>1743</v>
      </c>
      <c r="BL25" s="997" t="s">
        <v>1743</v>
      </c>
      <c r="BQ25" s="1207">
        <v>4190070</v>
      </c>
      <c r="BR25" s="997" t="s">
        <v>1789</v>
      </c>
      <c r="BS25" s="1355"/>
      <c r="BT25" s="1207">
        <v>4189677</v>
      </c>
      <c r="BU25" s="997" t="s">
        <v>1790</v>
      </c>
      <c r="BV25" s="999"/>
      <c r="BW25" s="999"/>
    </row>
    <row r="26" spans="1:82" ht="11.25" customHeight="1">
      <c r="A26" s="1003" t="s">
        <v>1791</v>
      </c>
      <c r="B26" s="1004">
        <v>2024</v>
      </c>
      <c r="J26" s="1629" t="s">
        <v>1792</v>
      </c>
      <c r="AX26" s="1046" t="s">
        <v>207</v>
      </c>
      <c r="AZ26" s="1046" t="s">
        <v>1666</v>
      </c>
      <c r="BB26" s="1046" t="s">
        <v>1793</v>
      </c>
      <c r="BC26" s="1046" t="s">
        <v>1782</v>
      </c>
      <c r="BE26" s="1046">
        <v>2024</v>
      </c>
      <c r="BH26" s="997" t="s">
        <v>1730</v>
      </c>
      <c r="BJ26" s="997" t="s">
        <v>1684</v>
      </c>
      <c r="BL26" s="997" t="s">
        <v>1684</v>
      </c>
      <c r="BQ26" s="1207">
        <v>4190071</v>
      </c>
      <c r="BR26" s="997" t="s">
        <v>1794</v>
      </c>
      <c r="BS26" s="1355"/>
      <c r="BV26" s="999"/>
      <c r="BW26" s="999"/>
    </row>
    <row r="27" spans="1:82" ht="11.25" customHeight="1">
      <c r="A27" s="1003" t="s">
        <v>1795</v>
      </c>
      <c r="B27" s="1004">
        <v>2025</v>
      </c>
      <c r="J27" s="113" t="s">
        <v>96</v>
      </c>
      <c r="AX27" s="1046" t="s">
        <v>1796</v>
      </c>
      <c r="BB27" s="1046" t="s">
        <v>1797</v>
      </c>
      <c r="BC27" s="1046" t="s">
        <v>1782</v>
      </c>
      <c r="BE27" s="1046">
        <v>2025</v>
      </c>
      <c r="BH27" s="999" t="s">
        <v>17</v>
      </c>
      <c r="BJ27" s="997" t="s">
        <v>1691</v>
      </c>
      <c r="BL27" s="997" t="s">
        <v>1691</v>
      </c>
      <c r="BN27" s="999" t="s">
        <v>17</v>
      </c>
      <c r="BQ27" s="1207">
        <v>4190072</v>
      </c>
      <c r="BR27" s="997" t="s">
        <v>1798</v>
      </c>
      <c r="BS27" s="1355"/>
      <c r="BV27" s="999"/>
      <c r="BW27" s="999"/>
    </row>
    <row r="28" spans="1:82" ht="11.25" customHeight="1">
      <c r="A28" s="1003" t="s">
        <v>1799</v>
      </c>
      <c r="D28" s="1028"/>
      <c r="E28" s="1029"/>
      <c r="F28" s="1029"/>
      <c r="H28" s="1030" t="s">
        <v>1800</v>
      </c>
      <c r="AX28" s="1046" t="s">
        <v>1801</v>
      </c>
      <c r="AZ28" s="996" t="s">
        <v>1802</v>
      </c>
      <c r="BB28" s="1046" t="s">
        <v>1803</v>
      </c>
      <c r="BC28" s="1046" t="s">
        <v>1804</v>
      </c>
      <c r="BE28" s="1046">
        <v>2026</v>
      </c>
      <c r="BH28" s="999" t="s">
        <v>17</v>
      </c>
      <c r="BJ28" s="997" t="s">
        <v>1698</v>
      </c>
      <c r="BL28" s="997" t="s">
        <v>1698</v>
      </c>
      <c r="BN28" s="999" t="s">
        <v>17</v>
      </c>
      <c r="BQ28" s="1207">
        <v>4190073</v>
      </c>
      <c r="BR28" s="997" t="s">
        <v>1805</v>
      </c>
      <c r="BS28" s="1355"/>
      <c r="BV28" s="999"/>
      <c r="BW28" s="999"/>
    </row>
    <row r="29" spans="1:82" ht="11.25" customHeight="1">
      <c r="A29" s="1003" t="s">
        <v>1806</v>
      </c>
      <c r="D29" s="1031" t="s">
        <v>1807</v>
      </c>
      <c r="E29" s="1032" t="str">
        <f>IF(TEMPLATE_GROUP="","",INDEX(StartDateList,MATCH(TEMPLATE_GROUP,CodeTemplateList,0),1))</f>
        <v>01.01.2024</v>
      </c>
      <c r="F29" s="1032" t="str">
        <f>IF(TEMPLATE_GROUP="","",INDEX(EndDateList,MATCH(TEMPLATE_GROUP,CodeTemplateList,0),1))</f>
        <v>31.12.2029</v>
      </c>
      <c r="H29" s="1033" t="s">
        <v>1808</v>
      </c>
      <c r="AX29" s="1046" t="s">
        <v>1809</v>
      </c>
      <c r="AZ29" s="1046" t="s">
        <v>1465</v>
      </c>
      <c r="BB29" s="1046" t="s">
        <v>1666</v>
      </c>
      <c r="BC29" s="1019"/>
      <c r="BE29" s="1046">
        <v>2027</v>
      </c>
      <c r="BJ29" s="997" t="s">
        <v>1706</v>
      </c>
      <c r="BL29" s="997" t="s">
        <v>1706</v>
      </c>
    </row>
    <row r="30" spans="1:82" ht="11.25" customHeight="1">
      <c r="A30" s="1003" t="s">
        <v>1810</v>
      </c>
      <c r="D30" s="1034"/>
      <c r="E30" s="1035"/>
      <c r="F30" s="1035"/>
      <c r="AX30" s="1046" t="s">
        <v>1811</v>
      </c>
      <c r="AZ30" s="1046" t="s">
        <v>1492</v>
      </c>
      <c r="BE30" s="1046">
        <v>2028</v>
      </c>
      <c r="BJ30" s="997" t="s">
        <v>1812</v>
      </c>
      <c r="BL30" s="997" t="s">
        <v>1812</v>
      </c>
    </row>
    <row r="31" spans="1:82" ht="12.75" customHeight="1">
      <c r="A31" s="1003" t="s">
        <v>1813</v>
      </c>
      <c r="D31" s="1028"/>
      <c r="E31" s="1029"/>
      <c r="F31" s="1029"/>
      <c r="H31" s="1036"/>
      <c r="AX31" s="1046" t="s">
        <v>1814</v>
      </c>
      <c r="AZ31" s="1046" t="s">
        <v>771</v>
      </c>
      <c r="BE31" s="1046">
        <v>2029</v>
      </c>
      <c r="BJ31" s="997" t="s">
        <v>1815</v>
      </c>
      <c r="BL31" s="997" t="s">
        <v>1815</v>
      </c>
    </row>
    <row r="32" spans="1:82" ht="11.25" customHeight="1">
      <c r="A32" s="1003" t="s">
        <v>1816</v>
      </c>
      <c r="D32" s="1031" t="s">
        <v>1817</v>
      </c>
      <c r="E32" s="1032" t="str">
        <f>IF(TEMPLATE_GROUP="","",INDEX(StartDateList,MATCH(TEMPLATE_GROUP,CodeTemplateList,0),1))</f>
        <v>01.01.2024</v>
      </c>
      <c r="F32" s="1032" t="str">
        <f>IF(TEMPLATE_GROUP="","",INDEX(EndDateList,MATCH(TEMPLATE_GROUP,CodeTemplateList,0),1))</f>
        <v>31.12.2029</v>
      </c>
      <c r="H32" s="1037" t="s">
        <v>1818</v>
      </c>
      <c r="O32" s="1003" t="s">
        <v>1462</v>
      </c>
      <c r="AX32" s="1046" t="s">
        <v>1819</v>
      </c>
      <c r="AZ32" s="1046" t="s">
        <v>769</v>
      </c>
      <c r="BE32" s="1046">
        <v>2030</v>
      </c>
      <c r="BJ32" s="997" t="s">
        <v>1714</v>
      </c>
      <c r="BL32" s="997" t="s">
        <v>1714</v>
      </c>
    </row>
    <row r="33" spans="1:66" ht="11.25" customHeight="1">
      <c r="A33" s="1003" t="s">
        <v>1820</v>
      </c>
      <c r="O33" s="1003" t="s">
        <v>1490</v>
      </c>
      <c r="AX33" s="1046" t="s">
        <v>1821</v>
      </c>
      <c r="AZ33" s="1046" t="s">
        <v>1464</v>
      </c>
      <c r="BE33" s="1046">
        <v>2031</v>
      </c>
      <c r="BJ33" s="997" t="s">
        <v>1720</v>
      </c>
      <c r="BL33" s="997" t="s">
        <v>1720</v>
      </c>
    </row>
    <row r="34" spans="1:66" ht="11.25" customHeight="1">
      <c r="A34" s="1003" t="s">
        <v>1822</v>
      </c>
      <c r="O34" s="1003" t="s">
        <v>1525</v>
      </c>
      <c r="AX34" s="1046" t="s">
        <v>1823</v>
      </c>
      <c r="BE34" s="1046">
        <v>2032</v>
      </c>
      <c r="BJ34" s="997" t="s">
        <v>1730</v>
      </c>
      <c r="BL34" s="997" t="s">
        <v>1730</v>
      </c>
    </row>
    <row r="35" spans="1:66" ht="11.25" customHeight="1">
      <c r="A35" s="1003" t="s">
        <v>1824</v>
      </c>
      <c r="O35" s="1003" t="s">
        <v>1558</v>
      </c>
      <c r="AX35" s="1046" t="s">
        <v>1825</v>
      </c>
      <c r="AZ35" s="996" t="s">
        <v>1826</v>
      </c>
      <c r="BE35" s="1046">
        <v>2033</v>
      </c>
      <c r="BL35" s="997" t="s">
        <v>1827</v>
      </c>
    </row>
    <row r="36" spans="1:66" ht="11.25" customHeight="1">
      <c r="A36" s="1767" t="s">
        <v>1828</v>
      </c>
      <c r="D36" s="1038" t="s">
        <v>1829</v>
      </c>
      <c r="E36" s="1039" t="s">
        <v>1143</v>
      </c>
      <c r="F36" s="1040" t="str">
        <f>INDEX(E37:E41,MATCH(TEMPLATE_SPHERE,F37:F41,0))</f>
        <v>горячего водоснабжения</v>
      </c>
      <c r="G36" s="1040" t="str">
        <f>INDEX(G37:G41,MATCH(TEMPLATE_SPHERE,F37:F41,0))</f>
        <v>горячее водоснабжение</v>
      </c>
      <c r="O36" s="1003" t="s">
        <v>1582</v>
      </c>
      <c r="AX36" s="1046" t="s">
        <v>1830</v>
      </c>
      <c r="AZ36" s="1046" t="s">
        <v>1464</v>
      </c>
      <c r="BE36" s="1046">
        <v>2034</v>
      </c>
      <c r="BL36" s="997" t="s">
        <v>1831</v>
      </c>
    </row>
    <row r="37" spans="1:66" ht="11.25" customHeight="1">
      <c r="A37" s="1003" t="s">
        <v>1832</v>
      </c>
      <c r="E37" s="343" t="s">
        <v>1833</v>
      </c>
      <c r="F37" s="1041" t="s">
        <v>1057</v>
      </c>
      <c r="G37" s="343" t="s">
        <v>1834</v>
      </c>
      <c r="O37" s="1003" t="s">
        <v>1601</v>
      </c>
      <c r="AX37" s="1046" t="s">
        <v>1835</v>
      </c>
      <c r="AZ37" s="1046" t="s">
        <v>1491</v>
      </c>
      <c r="BE37" s="1046">
        <v>2035</v>
      </c>
    </row>
    <row r="38" spans="1:66" ht="11.25" customHeight="1">
      <c r="A38" s="1003" t="s">
        <v>1836</v>
      </c>
      <c r="E38" s="343" t="s">
        <v>1837</v>
      </c>
      <c r="F38" s="1042" t="s">
        <v>1103</v>
      </c>
      <c r="G38" s="343" t="s">
        <v>1838</v>
      </c>
      <c r="O38" s="1003" t="s">
        <v>1618</v>
      </c>
      <c r="AX38" s="1046" t="s">
        <v>1839</v>
      </c>
      <c r="AZ38" s="1046" t="s">
        <v>1526</v>
      </c>
      <c r="BE38" s="1046">
        <v>2036</v>
      </c>
      <c r="BH38" s="996" t="s">
        <v>1840</v>
      </c>
      <c r="BJ38" s="996" t="s">
        <v>1841</v>
      </c>
      <c r="BL38" s="996" t="s">
        <v>1842</v>
      </c>
      <c r="BN38" s="996" t="s">
        <v>1843</v>
      </c>
    </row>
    <row r="39" spans="1:66" ht="11.25" customHeight="1">
      <c r="A39" s="1003" t="s">
        <v>1844</v>
      </c>
      <c r="E39" s="343" t="s">
        <v>1845</v>
      </c>
      <c r="F39" s="1042" t="s">
        <v>1156</v>
      </c>
      <c r="G39" s="343" t="s">
        <v>1846</v>
      </c>
      <c r="O39" s="1003" t="s">
        <v>1634</v>
      </c>
      <c r="AX39" s="1046" t="s">
        <v>173</v>
      </c>
      <c r="AZ39" s="1046" t="s">
        <v>1559</v>
      </c>
      <c r="BE39" s="1046">
        <v>2037</v>
      </c>
      <c r="BH39" s="997" t="s">
        <v>1847</v>
      </c>
      <c r="BJ39" s="1143" t="s">
        <v>1847</v>
      </c>
      <c r="BL39" s="1143" t="s">
        <v>1847</v>
      </c>
      <c r="BN39" s="997" t="s">
        <v>1848</v>
      </c>
    </row>
    <row r="40" spans="1:66" ht="11.25" customHeight="1">
      <c r="A40" s="1003" t="s">
        <v>1849</v>
      </c>
      <c r="E40" s="343" t="s">
        <v>1850</v>
      </c>
      <c r="F40" s="1042" t="s">
        <v>1143</v>
      </c>
      <c r="G40" s="343" t="s">
        <v>1851</v>
      </c>
      <c r="O40" s="1003" t="s">
        <v>1650</v>
      </c>
      <c r="AX40" s="1046" t="s">
        <v>199</v>
      </c>
      <c r="BE40" s="1046">
        <v>2038</v>
      </c>
      <c r="BH40" s="997" t="s">
        <v>1852</v>
      </c>
      <c r="BJ40" s="1143" t="s">
        <v>1276</v>
      </c>
      <c r="BL40" s="1143" t="s">
        <v>1276</v>
      </c>
      <c r="BN40" s="997" t="s">
        <v>1310</v>
      </c>
    </row>
    <row r="41" spans="1:66" ht="11.25" customHeight="1">
      <c r="A41" s="1003" t="s">
        <v>1853</v>
      </c>
      <c r="E41" s="343" t="s">
        <v>1854</v>
      </c>
      <c r="F41" s="1042" t="s">
        <v>1855</v>
      </c>
      <c r="G41" s="343" t="s">
        <v>1854</v>
      </c>
      <c r="O41" s="1003" t="s">
        <v>1666</v>
      </c>
      <c r="AX41" s="1046" t="s">
        <v>1856</v>
      </c>
      <c r="AZ41" s="996" t="s">
        <v>1857</v>
      </c>
      <c r="BE41" s="1046">
        <v>2039</v>
      </c>
      <c r="BH41" s="997" t="s">
        <v>1858</v>
      </c>
      <c r="BJ41" s="1143" t="s">
        <v>1272</v>
      </c>
      <c r="BL41" s="1143" t="s">
        <v>1272</v>
      </c>
      <c r="BN41" s="997" t="s">
        <v>1297</v>
      </c>
    </row>
    <row r="42" spans="1:66" ht="11.25" customHeight="1">
      <c r="A42" s="1003" t="s">
        <v>1859</v>
      </c>
      <c r="AX42" s="1046" t="s">
        <v>1860</v>
      </c>
      <c r="AZ42" s="1046" t="s">
        <v>1462</v>
      </c>
      <c r="BE42" s="1046">
        <v>2040</v>
      </c>
      <c r="BH42" s="997" t="s">
        <v>1294</v>
      </c>
      <c r="BJ42" s="1143" t="s">
        <v>1274</v>
      </c>
      <c r="BL42" s="1143" t="s">
        <v>1274</v>
      </c>
      <c r="BN42" s="997" t="s">
        <v>1861</v>
      </c>
    </row>
    <row r="43" spans="1:66" ht="11.25" customHeight="1">
      <c r="A43" s="1003" t="s">
        <v>1862</v>
      </c>
      <c r="AX43" s="1046" t="s">
        <v>1863</v>
      </c>
      <c r="AZ43" s="1046" t="s">
        <v>1490</v>
      </c>
      <c r="BE43" s="1046">
        <v>2041</v>
      </c>
      <c r="BH43" s="997" t="s">
        <v>1864</v>
      </c>
      <c r="BJ43" s="1143" t="s">
        <v>1858</v>
      </c>
      <c r="BL43" s="1143" t="s">
        <v>1858</v>
      </c>
      <c r="BN43" s="997" t="s">
        <v>1865</v>
      </c>
    </row>
    <row r="44" spans="1:66" ht="11.25" customHeight="1">
      <c r="A44" s="1003" t="s">
        <v>1866</v>
      </c>
      <c r="G44" s="1022">
        <f ca="1">YEAR(TODAY())</f>
        <v>2026</v>
      </c>
      <c r="I44" s="729" t="s">
        <v>1867</v>
      </c>
      <c r="J44" s="1018" t="s">
        <v>1868</v>
      </c>
      <c r="K44" s="1018" t="s">
        <v>1869</v>
      </c>
      <c r="AX44" s="1046" t="s">
        <v>1870</v>
      </c>
      <c r="AZ44" s="1046" t="s">
        <v>1525</v>
      </c>
      <c r="BE44" s="1046">
        <v>2042</v>
      </c>
      <c r="BH44" s="997" t="s">
        <v>1871</v>
      </c>
      <c r="BJ44" s="1143" t="s">
        <v>1294</v>
      </c>
      <c r="BL44" s="1143" t="s">
        <v>1294</v>
      </c>
      <c r="BN44" s="997" t="s">
        <v>1872</v>
      </c>
    </row>
    <row r="45" spans="1:66" ht="11.25" customHeight="1">
      <c r="A45" s="1003" t="s">
        <v>1873</v>
      </c>
      <c r="D45" s="1038" t="s">
        <v>1874</v>
      </c>
      <c r="E45" s="1039" t="s">
        <v>1875</v>
      </c>
      <c r="F45" s="727" t="s">
        <v>1876</v>
      </c>
      <c r="G45" s="726" t="s">
        <v>1877</v>
      </c>
      <c r="H45" s="729" t="s">
        <v>1878</v>
      </c>
      <c r="I45" s="1639" t="b">
        <f>INDEX(PeriodIsEmptyList,MATCH(TEMPLATE_GROUP,CodeTemplateList,0),1)</f>
        <v>0</v>
      </c>
      <c r="J45" s="1642" t="str">
        <f>INDEX(NameTemplatesInTitleList,MATCH(TEMPLATE_GROUP,CodeTemplateList,0),1)</f>
        <v>Показатели, подлежащие раскрытию в сфере горячего водоснабжения (цены и тарифы)</v>
      </c>
      <c r="K45" s="16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1879</v>
      </c>
      <c r="AZ45" s="1046" t="s">
        <v>1558</v>
      </c>
      <c r="BE45" s="1046">
        <v>2043</v>
      </c>
      <c r="BH45" s="997" t="s">
        <v>1880</v>
      </c>
      <c r="BJ45" s="1143" t="s">
        <v>1288</v>
      </c>
      <c r="BL45" s="1143" t="s">
        <v>1288</v>
      </c>
      <c r="BN45" s="997" t="s">
        <v>1881</v>
      </c>
    </row>
    <row r="46" spans="1:66" ht="11.25" customHeight="1">
      <c r="A46" s="1003" t="s">
        <v>1882</v>
      </c>
      <c r="E46" s="343" t="s">
        <v>15</v>
      </c>
      <c r="F46" s="1041" t="s">
        <v>1883</v>
      </c>
      <c r="G46" s="1043" t="str">
        <f ca="1">IFERROR(IF(TITLE_DATE_FIL="","01.01."&amp;CURRENT_YEAR,"01.01."&amp;YEAR(TITLE_DATE_FIL)),"01.01."&amp;CURRENT_YEAR)</f>
        <v>01.01.2026</v>
      </c>
      <c r="H46" s="1043" t="str">
        <f ca="1">IFERROR(IF(TITLE_DATE_FIL="","31.12."&amp;CURRENT_YEAR,"31.12."&amp;YEAR(TITLE_DATE_FIL)),"31.12."&amp;CURRENT_YEAR)</f>
        <v>31.12.2026</v>
      </c>
      <c r="I46" s="1640" t="b">
        <f>IF(TITLE_DATE_FIL="",TRUE,FALSE)</f>
        <v>1</v>
      </c>
      <c r="J46" s="1643" t="str">
        <f>"Общая информация о регулируемой организации ("&amp;TEMPLATE_SPHERE_RUS&amp;")"</f>
        <v>Общая информация о регулируемой организации (горячего водоснабжения)</v>
      </c>
      <c r="K46" s="1644"/>
      <c r="AX46" s="1046" t="s">
        <v>1884</v>
      </c>
      <c r="AZ46" s="1046" t="s">
        <v>1582</v>
      </c>
      <c r="BE46" s="1046">
        <v>2044</v>
      </c>
      <c r="BH46" s="997" t="s">
        <v>1297</v>
      </c>
      <c r="BJ46" s="1143" t="s">
        <v>1278</v>
      </c>
      <c r="BL46" s="1143" t="s">
        <v>1278</v>
      </c>
      <c r="BN46" s="997" t="s">
        <v>1885</v>
      </c>
    </row>
    <row r="47" spans="1:66" ht="11.25" customHeight="1">
      <c r="A47" s="1003" t="s">
        <v>1886</v>
      </c>
      <c r="E47" s="343" t="s">
        <v>22</v>
      </c>
      <c r="F47" s="1042" t="s">
        <v>1887</v>
      </c>
      <c r="G47" s="1043" t="str">
        <f ca="1">IFERROR(IF(f_year="","01.01."&amp;CURRENT_YEAR,IF(LEN(f_quart)=0,"01.01."&amp;f_year,IF(f_quart="I квартал","01.01."&amp;f_year,IF(f_quart="II квартал","01.04."&amp;f_year,(IF(f_quart="III квартал","01.07."&amp;f_year,"01.10."&amp;f_year)))))),"01.01."&amp;CURRENT_YEAR)</f>
        <v>01.01.2026</v>
      </c>
      <c r="H47" s="1043" t="str">
        <f ca="1">IFERROR(IF(f_year="","31.12."&amp;CURRENT_YEAR,IF(LEN(f_quart)=0,"31.12."&amp;f_year,IF(f_quart="I квартал","31.03."&amp;f_year,IF(f_quart="II квартал","30.06."&amp;f_year,(IF(f_quart="III квартал","30.09."&amp;f_year,"31.12."&amp;f_year)))))),"31.12."&amp;CURRENT_YEAR)</f>
        <v>31.12.2026</v>
      </c>
      <c r="I47" s="1641" t="b">
        <f>IF(OR(f_year="",f_quart=""),TRUE,FALSE)</f>
        <v>1</v>
      </c>
      <c r="J47" s="16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44"/>
      <c r="AX47" s="1046" t="s">
        <v>1888</v>
      </c>
      <c r="AZ47" s="1046" t="s">
        <v>1601</v>
      </c>
      <c r="BE47" s="1046">
        <v>2045</v>
      </c>
      <c r="BH47" s="997" t="s">
        <v>1861</v>
      </c>
      <c r="BJ47" s="1143" t="s">
        <v>1280</v>
      </c>
      <c r="BL47" s="1143" t="s">
        <v>1280</v>
      </c>
      <c r="BN47" s="997" t="s">
        <v>1889</v>
      </c>
    </row>
    <row r="48" spans="1:66" ht="11.25" customHeight="1">
      <c r="A48" s="1003" t="s">
        <v>1890</v>
      </c>
      <c r="E48" s="343" t="s">
        <v>1891</v>
      </c>
      <c r="F48" s="1042" t="s">
        <v>1892</v>
      </c>
      <c r="G48" s="1043" t="str">
        <f ca="1">IFERROR(IF(f_year="","01.01."&amp;CURRENT_YEAR,"01.01."&amp;f_year),"01.01."&amp;CURRENT_YEAR)</f>
        <v>01.01.2026</v>
      </c>
      <c r="H48" s="1043" t="str">
        <f ca="1">IFERROR(IF(f_year="","31.12."&amp;CURRENT_YEAR,"31.12."&amp;f_year),"31.12."&amp;CURRENT_YEAR)</f>
        <v>31.12.2026</v>
      </c>
      <c r="I48" s="1640" t="b">
        <f>IF(f_year="",TRUE,FALSE)</f>
        <v>1</v>
      </c>
      <c r="J48" s="1643" t="s">
        <v>1893</v>
      </c>
      <c r="K48" s="1644"/>
      <c r="AX48" s="1046" t="s">
        <v>1894</v>
      </c>
      <c r="AZ48" s="1046" t="s">
        <v>1618</v>
      </c>
      <c r="BE48" s="1046">
        <v>2046</v>
      </c>
      <c r="BH48" s="997" t="s">
        <v>1865</v>
      </c>
      <c r="BJ48" s="1143" t="s">
        <v>1282</v>
      </c>
      <c r="BL48" s="1143" t="s">
        <v>1282</v>
      </c>
      <c r="BN48" s="997" t="s">
        <v>1895</v>
      </c>
    </row>
    <row r="49" spans="1:64" ht="11.25" customHeight="1">
      <c r="A49" s="1003" t="s">
        <v>1896</v>
      </c>
      <c r="E49" s="343" t="s">
        <v>1897</v>
      </c>
      <c r="F49" s="1042" t="s">
        <v>1898</v>
      </c>
      <c r="G49" s="1043" t="str">
        <f ca="1">IFERROR(IF(f_year="","01.01."&amp;CURRENT_YEAR,"01.01."&amp;f_year),"01.01."&amp;CURRENT_YEAR)</f>
        <v>01.01.2026</v>
      </c>
      <c r="H49" s="1043" t="str">
        <f ca="1">IFERROR(IF(f_year="","31.12."&amp;CURRENT_YEAR,"31.12."&amp;f_year),"31.12."&amp;CURRENT_YEAR)</f>
        <v>31.12.2026</v>
      </c>
      <c r="I49" s="1640" t="b">
        <f>IF(f_year="",TRUE,FALSE)</f>
        <v>1</v>
      </c>
      <c r="J49" s="16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44"/>
      <c r="AX49" s="1046" t="s">
        <v>150</v>
      </c>
      <c r="AZ49" s="1046" t="s">
        <v>1634</v>
      </c>
      <c r="BE49" s="1046">
        <v>2047</v>
      </c>
      <c r="BH49" s="997" t="s">
        <v>1298</v>
      </c>
      <c r="BJ49" s="1143" t="s">
        <v>1284</v>
      </c>
      <c r="BL49" s="1143" t="s">
        <v>1284</v>
      </c>
    </row>
    <row r="50" spans="1:64" ht="11.25" customHeight="1">
      <c r="A50" s="1003" t="s">
        <v>1899</v>
      </c>
      <c r="E50" s="343" t="s">
        <v>1900</v>
      </c>
      <c r="F50" s="1042" t="s">
        <v>1268</v>
      </c>
      <c r="G50" s="1043" t="str">
        <f ca="1">IFERROR(IF(f_year="","01.01."&amp;CURRENT_YEAR,"01.01."&amp;f_year),"01.01."&amp;CURRENT_YEAR)</f>
        <v>01.01.2026</v>
      </c>
      <c r="H50" s="1043" t="str">
        <f ca="1">IFERROR(IF(f_year="","31.12."&amp;CURRENT_YEAR,"31.12."&amp;f_year),"31.12."&amp;CURRENT_YEAR)</f>
        <v>31.12.2026</v>
      </c>
      <c r="I50" s="1640" t="b">
        <f>IF(f_year="",TRUE,FALSE)</f>
        <v>1</v>
      </c>
      <c r="J50" s="16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44"/>
      <c r="AX50" s="1046" t="s">
        <v>1901</v>
      </c>
      <c r="AZ50" s="1046" t="s">
        <v>1650</v>
      </c>
      <c r="BE50" s="1046">
        <v>2048</v>
      </c>
      <c r="BH50" s="997" t="s">
        <v>1872</v>
      </c>
      <c r="BJ50" s="1143" t="s">
        <v>1286</v>
      </c>
      <c r="BL50" s="1143" t="s">
        <v>1286</v>
      </c>
    </row>
    <row r="51" spans="1:64" ht="11.25" customHeight="1">
      <c r="A51" s="1003" t="s">
        <v>1902</v>
      </c>
      <c r="E51" s="343" t="s">
        <v>1903</v>
      </c>
      <c r="F51" s="1042" t="s">
        <v>1904</v>
      </c>
      <c r="G51" s="1043" t="str">
        <f>IFERROR(IF(TITLE_PERIOD_START="","01.01."&amp;CURRENT_YEAR,"01.01."&amp;YEAR(TITLE_PERIOD_START)),"01.01."&amp;CURRENT_YEAR)</f>
        <v>01.01.2024</v>
      </c>
      <c r="H51" s="1043" t="str">
        <f>IFERROR(IF(TITLE_PERIOD_END="","31.12."&amp;CURRENT_YEAR,"31.12."&amp;YEAR(TITLE_PERIOD_END)),"31.12."&amp;CURRENT_YEAR)</f>
        <v>31.12.2029</v>
      </c>
      <c r="I51" s="1641" t="b">
        <f>IF(OR(TITLE_PERIOD_START="",TITLE_PERIOD_END=""),TRUE,FALSE)</f>
        <v>0</v>
      </c>
      <c r="J51" s="16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44"/>
      <c r="AX51" s="1046" t="s">
        <v>1905</v>
      </c>
      <c r="AZ51" s="1046" t="s">
        <v>1666</v>
      </c>
      <c r="BE51" s="1046">
        <v>2049</v>
      </c>
      <c r="BH51" s="997" t="s">
        <v>1881</v>
      </c>
      <c r="BJ51" s="1143" t="s">
        <v>1906</v>
      </c>
      <c r="BL51" s="1143" t="s">
        <v>1906</v>
      </c>
    </row>
    <row r="52" spans="1:64" ht="11.25" customHeight="1">
      <c r="A52" s="1003" t="s">
        <v>1907</v>
      </c>
      <c r="E52" s="343" t="s">
        <v>1908</v>
      </c>
      <c r="F52" s="1042" t="s">
        <v>1875</v>
      </c>
      <c r="G52" s="1043" t="str">
        <f>IFERROR(IF(TITLE_PERIOD_START="","01.01."&amp;CURRENT_YEAR,"01.01."&amp;YEAR(TITLE_PERIOD_START)),"01.01."&amp;CURRENT_YEAR)</f>
        <v>01.01.2024</v>
      </c>
      <c r="H52" s="1043" t="str">
        <f>IFERROR(IF(TITLE_PERIOD_END="","31.12."&amp;CURRENT_YEAR,"31.12."&amp;YEAR(TITLE_PERIOD_END)),"31.12."&amp;CURRENT_YEAR)</f>
        <v>31.12.2029</v>
      </c>
      <c r="I52" s="1641" t="b">
        <f>IF(OR(TITLE_PERIOD_START="",TITLE_PERIOD_END=""),TRUE,FALSE)</f>
        <v>0</v>
      </c>
      <c r="J52" s="1643"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44"/>
      <c r="AX52" s="1046" t="s">
        <v>1909</v>
      </c>
      <c r="AZ52" s="1046" t="s">
        <v>1464</v>
      </c>
      <c r="BE52" s="1046">
        <v>2050</v>
      </c>
      <c r="BH52" s="997" t="s">
        <v>1885</v>
      </c>
      <c r="BJ52" s="1143" t="s">
        <v>1297</v>
      </c>
      <c r="BL52" s="1143" t="s">
        <v>1297</v>
      </c>
    </row>
    <row r="53" spans="1:64" ht="11.25" customHeight="1">
      <c r="A53" s="1003" t="s">
        <v>1910</v>
      </c>
      <c r="E53" s="343" t="s">
        <v>1911</v>
      </c>
      <c r="F53" s="1042" t="s">
        <v>1911</v>
      </c>
      <c r="G53" s="1043" t="str">
        <f ca="1">IFERROR(IF(f_year="","01.01."&amp;CURRENT_YEAR,"01.01."&amp;f_year),"01.01."&amp;CURRENT_YEAR)</f>
        <v>01.01.2026</v>
      </c>
      <c r="H53" s="1043" t="str">
        <f ca="1">IFERROR(IF(f_year="","31.12."&amp;CURRENT_YEAR,"31.12."&amp;f_year),"31.12."&amp;CURRENT_YEAR)</f>
        <v>31.12.2026</v>
      </c>
      <c r="I53" s="1640" t="b">
        <f>IF(AND(f_year="",TITLE_DATE_FIL=""),TRUE,FALSE)</f>
        <v>1</v>
      </c>
      <c r="J53" s="1643" t="s">
        <v>1912</v>
      </c>
      <c r="K53" s="1644"/>
      <c r="AX53" s="1046" t="s">
        <v>1913</v>
      </c>
      <c r="BE53" s="1046">
        <v>2051</v>
      </c>
      <c r="BH53" s="997" t="s">
        <v>1889</v>
      </c>
      <c r="BJ53" s="1143" t="s">
        <v>1861</v>
      </c>
      <c r="BL53" s="1143" t="s">
        <v>1861</v>
      </c>
    </row>
    <row r="54" spans="1:64" ht="11.25" customHeight="1">
      <c r="A54" s="1003" t="s">
        <v>1914</v>
      </c>
      <c r="AX54" s="1046" t="s">
        <v>1915</v>
      </c>
      <c r="AZ54" s="996" t="s">
        <v>1916</v>
      </c>
      <c r="BE54" s="1046">
        <v>2052</v>
      </c>
      <c r="BH54" s="997" t="s">
        <v>1895</v>
      </c>
      <c r="BJ54" s="1143" t="s">
        <v>1865</v>
      </c>
      <c r="BL54" s="1143" t="s">
        <v>1865</v>
      </c>
    </row>
    <row r="55" spans="1:64" ht="11.25" customHeight="1">
      <c r="A55" s="1003" t="s">
        <v>1917</v>
      </c>
      <c r="AX55" s="1046" t="s">
        <v>1918</v>
      </c>
      <c r="AZ55" s="1046" t="s">
        <v>1466</v>
      </c>
      <c r="BE55" s="1046">
        <v>2053</v>
      </c>
      <c r="BH55" s="999" t="s">
        <v>17</v>
      </c>
      <c r="BJ55" s="1143" t="s">
        <v>1298</v>
      </c>
      <c r="BL55" s="1143" t="s">
        <v>1298</v>
      </c>
    </row>
    <row r="56" spans="1:64" ht="11.25" customHeight="1">
      <c r="A56" s="1003" t="s">
        <v>1919</v>
      </c>
      <c r="D56" s="1045" t="s">
        <v>1920</v>
      </c>
      <c r="E56" s="1023" t="s">
        <v>1921</v>
      </c>
      <c r="F56" s="1003" t="s">
        <v>1922</v>
      </c>
      <c r="AX56" s="1046" t="s">
        <v>1923</v>
      </c>
      <c r="AZ56" s="1046" t="s">
        <v>1493</v>
      </c>
      <c r="BE56" s="1046">
        <v>2054</v>
      </c>
      <c r="BH56" s="999" t="s">
        <v>17</v>
      </c>
      <c r="BJ56" s="1143" t="s">
        <v>1872</v>
      </c>
      <c r="BL56" s="1143" t="s">
        <v>1872</v>
      </c>
    </row>
    <row r="57" spans="1:64" ht="11.25" customHeight="1">
      <c r="A57" s="1003" t="s">
        <v>1924</v>
      </c>
      <c r="D57" s="1045" t="s">
        <v>1925</v>
      </c>
      <c r="E57" s="1023" t="s">
        <v>109</v>
      </c>
      <c r="F57" s="1003" t="s">
        <v>1922</v>
      </c>
      <c r="AX57" s="1046" t="s">
        <v>1926</v>
      </c>
      <c r="AZ57" s="1046" t="s">
        <v>1528</v>
      </c>
      <c r="BE57" s="1046">
        <v>2055</v>
      </c>
      <c r="BJ57" s="1143" t="s">
        <v>1881</v>
      </c>
      <c r="BL57" s="1143" t="s">
        <v>1881</v>
      </c>
    </row>
    <row r="58" spans="1:64" ht="11.25" customHeight="1">
      <c r="A58" s="1003" t="s">
        <v>1927</v>
      </c>
      <c r="D58" s="1045" t="s">
        <v>1928</v>
      </c>
      <c r="E58" s="1023" t="s">
        <v>109</v>
      </c>
      <c r="F58" s="1003" t="s">
        <v>1922</v>
      </c>
      <c r="AX58" s="1046" t="s">
        <v>1929</v>
      </c>
      <c r="BE58" s="1046">
        <v>2056</v>
      </c>
      <c r="BJ58" s="1143" t="s">
        <v>1885</v>
      </c>
      <c r="BL58" s="1143" t="s">
        <v>1885</v>
      </c>
    </row>
    <row r="59" spans="1:64" ht="11.25" customHeight="1">
      <c r="A59" s="1003" t="s">
        <v>1930</v>
      </c>
      <c r="D59" s="1045" t="s">
        <v>237</v>
      </c>
      <c r="E59" s="1023" t="s">
        <v>1819</v>
      </c>
      <c r="F59" s="1003" t="s">
        <v>1931</v>
      </c>
      <c r="AX59" s="1046" t="s">
        <v>1932</v>
      </c>
      <c r="AZ59" s="996" t="s">
        <v>1933</v>
      </c>
      <c r="BE59" s="1046">
        <v>2057</v>
      </c>
      <c r="BJ59" s="1143" t="s">
        <v>1889</v>
      </c>
      <c r="BL59" s="1143" t="s">
        <v>1889</v>
      </c>
    </row>
    <row r="60" spans="1:64" ht="11.25" customHeight="1">
      <c r="A60" s="1003" t="s">
        <v>1934</v>
      </c>
      <c r="D60" s="1045" t="s">
        <v>1935</v>
      </c>
      <c r="E60" s="1023" t="s">
        <v>1819</v>
      </c>
      <c r="F60" s="1003" t="s">
        <v>1931</v>
      </c>
      <c r="AX60" s="1046" t="s">
        <v>1936</v>
      </c>
      <c r="AZ60" s="1046" t="s">
        <v>1467</v>
      </c>
      <c r="BE60" s="1046">
        <v>2058</v>
      </c>
      <c r="BJ60" s="1143" t="s">
        <v>1895</v>
      </c>
      <c r="BL60" s="1143" t="s">
        <v>1895</v>
      </c>
    </row>
    <row r="61" spans="1:64" ht="11.25" customHeight="1">
      <c r="A61" s="1003" t="s">
        <v>1937</v>
      </c>
      <c r="D61" s="1045" t="s">
        <v>1938</v>
      </c>
      <c r="E61" s="1023" t="s">
        <v>1819</v>
      </c>
      <c r="F61" s="1003" t="s">
        <v>1931</v>
      </c>
      <c r="AX61" s="1046" t="s">
        <v>1939</v>
      </c>
      <c r="AZ61" s="1046" t="s">
        <v>1494</v>
      </c>
      <c r="BE61" s="1046">
        <v>2059</v>
      </c>
      <c r="BL61" s="1143" t="s">
        <v>1290</v>
      </c>
    </row>
    <row r="62" spans="1:64" ht="11.25" customHeight="1">
      <c r="A62" s="1003" t="s">
        <v>1940</v>
      </c>
      <c r="D62" s="1045" t="s">
        <v>236</v>
      </c>
      <c r="E62" s="1023">
        <v>53</v>
      </c>
      <c r="F62" s="1003" t="s">
        <v>1931</v>
      </c>
      <c r="AZ62" s="1046" t="s">
        <v>1529</v>
      </c>
      <c r="BE62" s="1046">
        <v>2060</v>
      </c>
      <c r="BL62" s="1143" t="s">
        <v>1292</v>
      </c>
    </row>
    <row r="63" spans="1:64" ht="11.25" customHeight="1">
      <c r="A63" s="1003" t="s">
        <v>1941</v>
      </c>
      <c r="D63" s="1045" t="s">
        <v>1942</v>
      </c>
      <c r="E63" s="1023">
        <v>64</v>
      </c>
      <c r="F63" s="1003" t="s">
        <v>1931</v>
      </c>
      <c r="AZ63" s="1046" t="s">
        <v>1560</v>
      </c>
      <c r="BE63" s="1046">
        <v>2061</v>
      </c>
    </row>
    <row r="64" spans="1:64" ht="11.25" customHeight="1">
      <c r="A64" s="1003" t="s">
        <v>1943</v>
      </c>
      <c r="D64" s="1045" t="s">
        <v>1944</v>
      </c>
      <c r="E64" s="1023">
        <v>64</v>
      </c>
      <c r="F64" s="1003" t="s">
        <v>1931</v>
      </c>
      <c r="AZ64" s="1046" t="s">
        <v>1583</v>
      </c>
      <c r="BE64" s="1046">
        <v>2062</v>
      </c>
    </row>
    <row r="65" spans="1:66" ht="11.25" customHeight="1">
      <c r="A65" s="1003" t="s">
        <v>1945</v>
      </c>
      <c r="D65" s="1003"/>
      <c r="BE65" s="1046">
        <v>2063</v>
      </c>
    </row>
    <row r="66" spans="1:66" ht="11.25" customHeight="1">
      <c r="A66" s="1003" t="s">
        <v>1946</v>
      </c>
      <c r="AZ66" s="996" t="s">
        <v>1947</v>
      </c>
      <c r="BE66" s="1046">
        <v>2064</v>
      </c>
    </row>
    <row r="67" spans="1:66" ht="11.25" customHeight="1">
      <c r="A67" s="1003" t="s">
        <v>1948</v>
      </c>
      <c r="AZ67" s="1046" t="s">
        <v>1468</v>
      </c>
      <c r="BE67" s="1046">
        <v>2065</v>
      </c>
    </row>
    <row r="68" spans="1:66" ht="11.25" customHeight="1">
      <c r="A68" s="1003" t="s">
        <v>1949</v>
      </c>
      <c r="AZ68" s="1046" t="s">
        <v>1495</v>
      </c>
      <c r="BE68" s="1046">
        <v>2066</v>
      </c>
      <c r="BH68" s="996" t="s">
        <v>1950</v>
      </c>
      <c r="BJ68" s="996" t="s">
        <v>1951</v>
      </c>
      <c r="BL68" s="996" t="s">
        <v>1952</v>
      </c>
      <c r="BN68" s="996" t="s">
        <v>1953</v>
      </c>
    </row>
    <row r="69" spans="1:66" ht="11.25" customHeight="1">
      <c r="A69" s="1003" t="s">
        <v>1954</v>
      </c>
      <c r="AZ69" s="1046" t="s">
        <v>1530</v>
      </c>
      <c r="BE69" s="1046">
        <v>2067</v>
      </c>
      <c r="BH69" s="997" t="s">
        <v>1955</v>
      </c>
      <c r="BI69" s="1044" t="s">
        <v>218</v>
      </c>
      <c r="BJ69" s="997" t="s">
        <v>1956</v>
      </c>
      <c r="BK69" s="1044" t="s">
        <v>218</v>
      </c>
      <c r="BL69" s="997" t="s">
        <v>1957</v>
      </c>
      <c r="BM69" s="999" t="s">
        <v>218</v>
      </c>
      <c r="BN69" s="997" t="s">
        <v>1958</v>
      </c>
    </row>
    <row r="70" spans="1:66" ht="11.25" customHeight="1">
      <c r="A70" s="1003" t="s">
        <v>1959</v>
      </c>
      <c r="AZ70" s="1046" t="s">
        <v>1561</v>
      </c>
      <c r="BE70" s="1046">
        <v>2068</v>
      </c>
      <c r="BH70" s="997" t="s">
        <v>1960</v>
      </c>
      <c r="BJ70" s="997" t="s">
        <v>1961</v>
      </c>
      <c r="BL70" s="997" t="s">
        <v>1962</v>
      </c>
      <c r="BN70" s="997" t="s">
        <v>1963</v>
      </c>
    </row>
    <row r="71" spans="1:66" ht="11.25" customHeight="1">
      <c r="A71" s="1003" t="s">
        <v>1964</v>
      </c>
      <c r="AZ71" s="1046" t="s">
        <v>1563</v>
      </c>
      <c r="BE71" s="1046">
        <v>2069</v>
      </c>
      <c r="BH71" s="997" t="s">
        <v>1965</v>
      </c>
      <c r="BI71" s="1044" t="s">
        <v>81</v>
      </c>
      <c r="BJ71" s="997" t="s">
        <v>1966</v>
      </c>
      <c r="BK71" s="1044" t="s">
        <v>81</v>
      </c>
      <c r="BL71" s="997" t="s">
        <v>1967</v>
      </c>
      <c r="BM71" s="999" t="s">
        <v>81</v>
      </c>
      <c r="BN71" s="997" t="s">
        <v>1968</v>
      </c>
    </row>
    <row r="72" spans="1:66" ht="11.25" customHeight="1">
      <c r="A72" s="1003" t="s">
        <v>1969</v>
      </c>
      <c r="AZ72" s="1046" t="s">
        <v>6</v>
      </c>
      <c r="BE72" s="1046">
        <v>2070</v>
      </c>
      <c r="BH72" s="997" t="s">
        <v>1970</v>
      </c>
      <c r="BJ72" s="997" t="s">
        <v>1970</v>
      </c>
      <c r="BL72" s="997" t="s">
        <v>1970</v>
      </c>
      <c r="BN72" s="997" t="s">
        <v>1971</v>
      </c>
    </row>
    <row r="73" spans="1:66" ht="11.25" customHeight="1">
      <c r="A73" s="1003" t="s">
        <v>1972</v>
      </c>
      <c r="BH73" s="997" t="s">
        <v>1973</v>
      </c>
      <c r="BI73" s="1044" t="s">
        <v>109</v>
      </c>
      <c r="BJ73" s="997" t="s">
        <v>1974</v>
      </c>
      <c r="BK73" s="1044" t="s">
        <v>109</v>
      </c>
      <c r="BL73" s="997" t="s">
        <v>1975</v>
      </c>
      <c r="BM73" s="999" t="s">
        <v>109</v>
      </c>
      <c r="BN73" s="997" t="s">
        <v>1976</v>
      </c>
    </row>
    <row r="74" spans="1:66" ht="11.25" customHeight="1">
      <c r="A74" s="1003" t="s">
        <v>3</v>
      </c>
      <c r="BH74" s="997" t="s">
        <v>1977</v>
      </c>
      <c r="BJ74" s="997" t="s">
        <v>1978</v>
      </c>
      <c r="BL74" s="997" t="s">
        <v>1979</v>
      </c>
      <c r="BN74" s="997" t="s">
        <v>1980</v>
      </c>
    </row>
    <row r="75" spans="1:66" ht="11.25" customHeight="1">
      <c r="A75" s="1003" t="s">
        <v>1981</v>
      </c>
      <c r="AZ75" s="996" t="s">
        <v>1982</v>
      </c>
      <c r="BH75" s="997" t="s">
        <v>1983</v>
      </c>
      <c r="BJ75" s="997" t="s">
        <v>1983</v>
      </c>
      <c r="BL75" s="997" t="s">
        <v>1983</v>
      </c>
    </row>
    <row r="76" spans="1:66" ht="11.25" customHeight="1">
      <c r="A76" s="1003" t="s">
        <v>1984</v>
      </c>
      <c r="AZ76" s="1046" t="s">
        <v>1477</v>
      </c>
      <c r="BH76" s="997" t="s">
        <v>1985</v>
      </c>
      <c r="BJ76" s="997" t="s">
        <v>1986</v>
      </c>
      <c r="BL76" s="997" t="s">
        <v>1987</v>
      </c>
    </row>
    <row r="77" spans="1:66" ht="11.25" customHeight="1">
      <c r="A77" s="1003" t="s">
        <v>1988</v>
      </c>
      <c r="AZ77" s="1046" t="s">
        <v>1505</v>
      </c>
    </row>
    <row r="78" spans="1:66" ht="11.25" customHeight="1">
      <c r="A78" s="1003" t="s">
        <v>1989</v>
      </c>
      <c r="AZ78" s="1046" t="s">
        <v>1537</v>
      </c>
    </row>
    <row r="79" spans="1:66" ht="11.25" customHeight="1">
      <c r="A79" s="1003" t="s">
        <v>1990</v>
      </c>
      <c r="AZ79" s="1046" t="s">
        <v>1567</v>
      </c>
      <c r="BH79" s="996" t="s">
        <v>1991</v>
      </c>
      <c r="BJ79" s="996" t="s">
        <v>1992</v>
      </c>
      <c r="BL79" s="996" t="s">
        <v>1993</v>
      </c>
    </row>
    <row r="80" spans="1:66" ht="11.25" customHeight="1">
      <c r="A80" s="1003" t="s">
        <v>1994</v>
      </c>
      <c r="AZ80" s="1046" t="s">
        <v>1588</v>
      </c>
      <c r="BH80" s="997" t="s">
        <v>1995</v>
      </c>
      <c r="BJ80" s="997" t="s">
        <v>1996</v>
      </c>
      <c r="BL80" s="997" t="s">
        <v>1997</v>
      </c>
    </row>
    <row r="81" spans="1:66" ht="11.25" customHeight="1">
      <c r="A81" s="1003" t="s">
        <v>1998</v>
      </c>
      <c r="AZ81" s="1046" t="s">
        <v>1605</v>
      </c>
      <c r="BH81" s="997" t="s">
        <v>1999</v>
      </c>
      <c r="BJ81" s="997" t="s">
        <v>2000</v>
      </c>
      <c r="BL81" s="997" t="s">
        <v>2001</v>
      </c>
    </row>
    <row r="82" spans="1:66" ht="11.25" customHeight="1">
      <c r="A82" s="1003" t="s">
        <v>2002</v>
      </c>
      <c r="AZ82" s="1046" t="s">
        <v>1620</v>
      </c>
      <c r="BH82" s="997" t="s">
        <v>2003</v>
      </c>
      <c r="BJ82" s="997" t="s">
        <v>2004</v>
      </c>
      <c r="BL82" s="997" t="s">
        <v>2005</v>
      </c>
    </row>
    <row r="83" spans="1:66" ht="11.25" customHeight="1">
      <c r="A83" s="1003" t="s">
        <v>2006</v>
      </c>
      <c r="BH83" s="997" t="s">
        <v>2007</v>
      </c>
      <c r="BJ83" s="997" t="s">
        <v>2008</v>
      </c>
      <c r="BL83" s="997" t="s">
        <v>2009</v>
      </c>
    </row>
    <row r="84" spans="1:66" ht="11.25" customHeight="1">
      <c r="A84" s="1003" t="s">
        <v>2010</v>
      </c>
      <c r="AZ84" s="996" t="s">
        <v>2011</v>
      </c>
    </row>
    <row r="85" spans="1:66" ht="11.25" customHeight="1">
      <c r="A85" s="1767" t="s">
        <v>2012</v>
      </c>
      <c r="AZ85" s="1046" t="s">
        <v>2013</v>
      </c>
    </row>
    <row r="86" spans="1:66" ht="11.25" customHeight="1">
      <c r="A86" s="1003" t="s">
        <v>2014</v>
      </c>
      <c r="AZ86" s="1046" t="s">
        <v>2015</v>
      </c>
      <c r="BH86" s="996" t="s">
        <v>2016</v>
      </c>
      <c r="BJ86" s="996" t="s">
        <v>2017</v>
      </c>
      <c r="BL86" s="996" t="s">
        <v>2018</v>
      </c>
    </row>
    <row r="87" spans="1:66" ht="11.25" customHeight="1">
      <c r="A87" s="1003" t="s">
        <v>2019</v>
      </c>
      <c r="AZ87" s="1046" t="s">
        <v>2020</v>
      </c>
      <c r="BH87" s="997" t="s">
        <v>2021</v>
      </c>
      <c r="BJ87" s="997" t="s">
        <v>2022</v>
      </c>
      <c r="BL87" s="997" t="s">
        <v>2023</v>
      </c>
    </row>
    <row r="88" spans="1:66" ht="11.25" customHeight="1">
      <c r="A88" s="1003" t="s">
        <v>2024</v>
      </c>
      <c r="AZ88" s="1532"/>
      <c r="BH88" s="997" t="s">
        <v>2025</v>
      </c>
      <c r="BJ88" s="997" t="s">
        <v>2026</v>
      </c>
      <c r="BL88" s="997" t="s">
        <v>2027</v>
      </c>
    </row>
    <row r="89" spans="1:66" ht="11.25" customHeight="1">
      <c r="A89" s="1003" t="s">
        <v>2028</v>
      </c>
      <c r="AZ89" s="996" t="s">
        <v>2029</v>
      </c>
    </row>
    <row r="90" spans="1:66" ht="11.25" customHeight="1">
      <c r="A90" s="1003" t="s">
        <v>2030</v>
      </c>
      <c r="AZ90" s="1046" t="s">
        <v>1268</v>
      </c>
    </row>
    <row r="91" spans="1:66" ht="11.25" customHeight="1">
      <c r="A91" s="1003" t="s">
        <v>2031</v>
      </c>
      <c r="AZ91" s="1046" t="s">
        <v>1304</v>
      </c>
      <c r="BH91" s="996" t="s">
        <v>2032</v>
      </c>
      <c r="BJ91" s="996" t="s">
        <v>2033</v>
      </c>
      <c r="BL91" s="996" t="s">
        <v>2034</v>
      </c>
    </row>
    <row r="92" spans="1:66" ht="11.25" customHeight="1">
      <c r="AZ92" s="1046" t="s">
        <v>2035</v>
      </c>
      <c r="BH92" s="997" t="s">
        <v>2036</v>
      </c>
      <c r="BJ92" s="997" t="s">
        <v>2037</v>
      </c>
      <c r="BL92" s="997" t="s">
        <v>2038</v>
      </c>
    </row>
    <row r="93" spans="1:66" ht="11.25" customHeight="1">
      <c r="AZ93" s="1046" t="s">
        <v>2039</v>
      </c>
      <c r="BH93" s="997" t="s">
        <v>2040</v>
      </c>
      <c r="BJ93" s="997" t="s">
        <v>2041</v>
      </c>
      <c r="BL93" s="997" t="s">
        <v>2042</v>
      </c>
    </row>
    <row r="94" spans="1:66" ht="11.25" customHeight="1">
      <c r="AZ94" s="1046" t="s">
        <v>2043</v>
      </c>
    </row>
    <row r="96" spans="1:66" ht="11.25" customHeight="1">
      <c r="AZ96" s="996" t="s">
        <v>2044</v>
      </c>
      <c r="BH96" s="996" t="s">
        <v>2045</v>
      </c>
      <c r="BJ96" s="996" t="s">
        <v>2046</v>
      </c>
      <c r="BL96" s="996" t="s">
        <v>2047</v>
      </c>
      <c r="BN96" s="996" t="s">
        <v>2048</v>
      </c>
    </row>
    <row r="97" spans="52:66" ht="11.25" customHeight="1">
      <c r="AZ97" s="1798" t="s">
        <v>2049</v>
      </c>
      <c r="BA97" s="1799" t="s">
        <v>2050</v>
      </c>
      <c r="BH97" s="997" t="s">
        <v>2051</v>
      </c>
      <c r="BJ97" s="997" t="s">
        <v>2052</v>
      </c>
      <c r="BL97" s="997" t="s">
        <v>2053</v>
      </c>
      <c r="BN97" s="997" t="s">
        <v>2054</v>
      </c>
    </row>
    <row r="98" spans="52:66" ht="11.25" customHeight="1">
      <c r="AZ98" s="1798" t="s">
        <v>2055</v>
      </c>
      <c r="BA98" s="1799" t="s">
        <v>2056</v>
      </c>
      <c r="BH98" s="997" t="s">
        <v>2057</v>
      </c>
      <c r="BJ98" s="997" t="s">
        <v>2058</v>
      </c>
      <c r="BL98" s="997" t="s">
        <v>2059</v>
      </c>
      <c r="BN98" s="997" t="s">
        <v>2060</v>
      </c>
    </row>
    <row r="99" spans="52:66" ht="22.5" customHeight="1">
      <c r="AZ99" s="1798" t="s">
        <v>2061</v>
      </c>
      <c r="BA99" s="179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2062</v>
      </c>
      <c r="BJ99" s="997" t="s">
        <v>2063</v>
      </c>
      <c r="BL99" s="997" t="s">
        <v>2064</v>
      </c>
      <c r="BN99" s="997" t="s">
        <v>2065</v>
      </c>
    </row>
    <row r="100" spans="52:66" ht="22.5" customHeight="1">
      <c r="AZ100" s="1798" t="s">
        <v>2066</v>
      </c>
      <c r="BA100"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7" t="s">
        <v>1666</v>
      </c>
      <c r="BL100" s="997" t="s">
        <v>1666</v>
      </c>
      <c r="BN100" s="997" t="s">
        <v>2067</v>
      </c>
    </row>
    <row r="101" spans="52:66" ht="22.5" customHeight="1">
      <c r="AZ101" s="1798" t="s">
        <v>2068</v>
      </c>
      <c r="BA101" s="1799" t="s">
        <v>2069</v>
      </c>
      <c r="BN101" s="997" t="s">
        <v>2070</v>
      </c>
    </row>
    <row r="102" spans="52:66" ht="22.5" customHeight="1">
      <c r="AZ102" s="1798" t="s">
        <v>2071</v>
      </c>
      <c r="BA102"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7" t="s">
        <v>2072</v>
      </c>
    </row>
    <row r="103" spans="52:66" ht="11.25" customHeight="1">
      <c r="AZ103" s="1798" t="s">
        <v>2073</v>
      </c>
      <c r="BA103" s="1799" t="s">
        <v>2074</v>
      </c>
      <c r="BN103" s="997" t="s">
        <v>2075</v>
      </c>
    </row>
    <row r="104" spans="52:66" ht="11.25" customHeight="1">
      <c r="BN104" s="997" t="s">
        <v>2076</v>
      </c>
    </row>
    <row r="105" spans="52:66" ht="11.25" customHeight="1">
      <c r="AZ105" s="1618" t="s">
        <v>2077</v>
      </c>
    </row>
    <row r="106" spans="52:66" ht="11.25" customHeight="1">
      <c r="AZ106" s="1046" t="s">
        <v>2078</v>
      </c>
    </row>
    <row r="107" spans="52:66" ht="11.25" customHeight="1">
      <c r="AZ107" s="1046" t="s">
        <v>2079</v>
      </c>
      <c r="BH107" s="996" t="s">
        <v>2080</v>
      </c>
      <c r="BJ107" s="996" t="s">
        <v>2081</v>
      </c>
      <c r="BL107" s="996" t="s">
        <v>2082</v>
      </c>
      <c r="BN107" s="996" t="s">
        <v>2083</v>
      </c>
    </row>
    <row r="108" spans="52:66" ht="11.25" customHeight="1">
      <c r="AZ108" s="1046" t="s">
        <v>821</v>
      </c>
      <c r="BH108" s="997" t="s">
        <v>2084</v>
      </c>
      <c r="BJ108" s="997" t="s">
        <v>2085</v>
      </c>
      <c r="BL108" s="997" t="s">
        <v>1748</v>
      </c>
      <c r="BN108" s="997" t="s">
        <v>2086</v>
      </c>
    </row>
    <row r="109" spans="52:66" ht="11.25" customHeight="1">
      <c r="BH109" s="997" t="s">
        <v>2087</v>
      </c>
    </row>
    <row r="110" spans="52:66" ht="11.25" customHeight="1">
      <c r="AZ110" s="1618" t="s">
        <v>2088</v>
      </c>
      <c r="BH110" s="997" t="s">
        <v>2087</v>
      </c>
    </row>
    <row r="111" spans="52:66" ht="11.25" customHeight="1">
      <c r="AZ111" s="1798" t="s">
        <v>2049</v>
      </c>
      <c r="BA111" s="1799" t="s">
        <v>2050</v>
      </c>
    </row>
    <row r="112" spans="52:66" ht="11.25" customHeight="1">
      <c r="AZ112" s="1798" t="s">
        <v>2055</v>
      </c>
      <c r="BA112" s="1799" t="s">
        <v>2056</v>
      </c>
    </row>
    <row r="113" spans="52:60" ht="22.5" customHeight="1">
      <c r="AZ113" s="1798" t="s">
        <v>2061</v>
      </c>
      <c r="BA113" s="179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98" t="s">
        <v>2066</v>
      </c>
      <c r="BA114"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6" t="s">
        <v>2089</v>
      </c>
    </row>
    <row r="115" spans="52:60" ht="22.5" customHeight="1">
      <c r="AZ115" s="1798" t="s">
        <v>2071</v>
      </c>
      <c r="BA115" s="179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7" t="s">
        <v>1464</v>
      </c>
    </row>
    <row r="116" spans="52:60" ht="11.25" customHeight="1">
      <c r="AZ116" s="1798" t="s">
        <v>2073</v>
      </c>
      <c r="BA116" s="1799" t="s">
        <v>2074</v>
      </c>
      <c r="BH116" s="997" t="s">
        <v>1491</v>
      </c>
    </row>
    <row r="117" spans="52:60" ht="11.25" customHeight="1">
      <c r="BH117" s="997" t="s">
        <v>1526</v>
      </c>
    </row>
    <row r="118" spans="52:60" ht="11.25" customHeight="1">
      <c r="BH118" s="997" t="s">
        <v>1559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528</v>
      </c>
      <c r="J1" s="391" t="s">
        <v>1</v>
      </c>
    </row>
    <row r="2" spans="1:10" ht="22.5" hidden="1" customHeight="1">
      <c r="A2" s="438"/>
      <c r="B2" s="438"/>
      <c r="C2" s="1628" t="s">
        <v>96</v>
      </c>
      <c r="D2" s="1446"/>
      <c r="E2" s="1452"/>
      <c r="F2" s="1475"/>
      <c r="H2" s="411"/>
      <c r="J2" s="391">
        <v>0</v>
      </c>
    </row>
    <row r="3" spans="1:10" ht="11.25" hidden="1" customHeight="1">
      <c r="J3" s="391">
        <v>0</v>
      </c>
    </row>
    <row r="4" spans="1:10" ht="11.45" customHeight="1">
      <c r="A4" s="1476"/>
      <c r="B4" s="1476"/>
      <c r="J4" s="391">
        <v>11</v>
      </c>
    </row>
    <row r="5" spans="1:10" ht="27.4" customHeight="1">
      <c r="D5" s="2394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941"/>
      <c r="F5" s="23942"/>
      <c r="I5" s="651"/>
      <c r="J5" s="391">
        <v>26</v>
      </c>
    </row>
    <row r="6" spans="1:10" ht="18" customHeight="1">
      <c r="D6" s="24042" t="str">
        <f>IF(region_name=0,"Не определено",region_name)</f>
        <v>Смоленская область</v>
      </c>
      <c r="E6" s="24042"/>
      <c r="F6" s="24042"/>
      <c r="I6" s="651"/>
      <c r="J6" s="391">
        <v>17</v>
      </c>
    </row>
    <row r="7" spans="1:10" s="413" customFormat="1" ht="11.45" customHeight="1">
      <c r="A7" s="437"/>
      <c r="B7" s="437"/>
      <c r="D7" s="650"/>
      <c r="E7" s="650"/>
      <c r="F7" s="688"/>
      <c r="G7" s="650"/>
      <c r="J7" s="413">
        <v>11</v>
      </c>
    </row>
    <row r="8" spans="1:10" ht="11.25" hidden="1" customHeight="1">
      <c r="A8" s="438"/>
      <c r="B8" s="438"/>
      <c r="C8" s="393"/>
      <c r="D8" s="399"/>
      <c r="E8" s="24048"/>
      <c r="F8" s="24048"/>
      <c r="J8" s="391">
        <v>0</v>
      </c>
    </row>
    <row r="9" spans="1:10" ht="11.45" customHeight="1">
      <c r="A9" s="438"/>
      <c r="B9" s="438"/>
      <c r="C9" s="393"/>
      <c r="D9" s="24045" t="s">
        <v>529</v>
      </c>
      <c r="E9" s="24046"/>
      <c r="F9" s="24046"/>
      <c r="G9" s="24049" t="s">
        <v>530</v>
      </c>
      <c r="J9" s="391">
        <v>11</v>
      </c>
    </row>
    <row r="10" spans="1:10" ht="11.45" customHeight="1">
      <c r="A10" s="438"/>
      <c r="B10" s="438"/>
      <c r="C10" s="393"/>
      <c r="D10" s="1400" t="s">
        <v>79</v>
      </c>
      <c r="E10" s="1402" t="s">
        <v>531</v>
      </c>
      <c r="F10" s="1402" t="s">
        <v>532</v>
      </c>
      <c r="G10" s="24050"/>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05" t="str">
        <f>IF(org="","",org)</f>
        <v>ООО "Смоленскрегионтеплоэнерго"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9"/>
      <c r="J12" s="391">
        <v>23</v>
      </c>
    </row>
    <row r="13" spans="1:10" ht="19.899999999999999" customHeight="1">
      <c r="A13" s="438"/>
      <c r="B13" s="438"/>
      <c r="C13" s="393"/>
      <c r="D13" s="1446">
        <v>2</v>
      </c>
      <c r="E13" s="1453" t="s">
        <v>2090</v>
      </c>
      <c r="F13" s="1447" t="s">
        <v>535</v>
      </c>
      <c r="G13" s="410"/>
      <c r="H13" s="1459"/>
      <c r="J13" s="391">
        <v>19</v>
      </c>
    </row>
    <row r="14" spans="1:10" ht="19.899999999999999" customHeight="1">
      <c r="A14" s="438"/>
      <c r="B14" s="438"/>
      <c r="C14" s="393"/>
      <c r="D14" s="1449" t="s">
        <v>958</v>
      </c>
      <c r="E14" s="1450" t="s">
        <v>2091</v>
      </c>
      <c r="F14" s="1452"/>
      <c r="G14" s="1451" t="s">
        <v>2092</v>
      </c>
      <c r="H14" s="1459"/>
      <c r="J14" s="391">
        <v>19</v>
      </c>
    </row>
    <row r="15" spans="1:10" ht="19.899999999999999" customHeight="1">
      <c r="A15" s="438"/>
      <c r="B15" s="438"/>
      <c r="C15" s="393"/>
      <c r="D15" s="1449" t="s">
        <v>536</v>
      </c>
      <c r="E15" s="1450" t="s">
        <v>2093</v>
      </c>
      <c r="F15" s="1452"/>
      <c r="G15" s="1451" t="s">
        <v>2094</v>
      </c>
      <c r="H15" s="1459"/>
      <c r="J15" s="391">
        <v>19</v>
      </c>
    </row>
    <row r="16" spans="1:10" ht="24" customHeight="1">
      <c r="A16" s="438"/>
      <c r="B16" s="438"/>
      <c r="C16" s="393"/>
      <c r="D16" s="1449" t="s">
        <v>539</v>
      </c>
      <c r="E16" s="1448" t="s">
        <v>2095</v>
      </c>
      <c r="F16" s="1457"/>
      <c r="G16" s="410" t="s">
        <v>2096</v>
      </c>
      <c r="H16" s="1459"/>
      <c r="J16" s="391">
        <v>23</v>
      </c>
    </row>
    <row r="17" spans="1:10" ht="48.2" customHeight="1">
      <c r="A17" s="438"/>
      <c r="B17" s="438"/>
      <c r="C17" s="393"/>
      <c r="D17" s="1446">
        <v>3</v>
      </c>
      <c r="E17" s="1453" t="s">
        <v>2097</v>
      </c>
      <c r="F17" s="1452"/>
      <c r="G17" s="410" t="s">
        <v>2098</v>
      </c>
      <c r="H17" s="1459"/>
      <c r="J17" s="391">
        <v>46</v>
      </c>
    </row>
    <row r="18" spans="1:10" ht="48.2" customHeight="1">
      <c r="A18" s="1401">
        <v>1</v>
      </c>
      <c r="B18" s="438"/>
      <c r="C18" s="1403"/>
      <c r="D18" s="1446" t="s">
        <v>82</v>
      </c>
      <c r="E18" s="1453" t="s">
        <v>2099</v>
      </c>
      <c r="F18" s="1452"/>
      <c r="G18" s="410" t="s">
        <v>2098</v>
      </c>
      <c r="H18" s="1459"/>
      <c r="I18" s="782"/>
      <c r="J18" s="391">
        <v>46</v>
      </c>
    </row>
    <row r="19" spans="1:10" ht="23.25" customHeight="1">
      <c r="A19" s="438"/>
      <c r="B19" s="438"/>
      <c r="C19" s="393"/>
      <c r="D19" s="1446" t="s">
        <v>109</v>
      </c>
      <c r="E19" s="1453" t="s">
        <v>2100</v>
      </c>
      <c r="F19" s="1447" t="s">
        <v>535</v>
      </c>
      <c r="G19" s="24289" t="s">
        <v>2101</v>
      </c>
      <c r="H19" s="411"/>
      <c r="J19" s="391">
        <v>22</v>
      </c>
    </row>
    <row r="20" spans="1:10" s="1456" customFormat="1" ht="5.25" hidden="1" customHeight="1">
      <c r="A20" s="438"/>
      <c r="B20" s="438"/>
      <c r="C20" s="1455"/>
      <c r="D20" s="1454" t="s">
        <v>1365</v>
      </c>
      <c r="E20" s="943"/>
      <c r="F20" s="942"/>
      <c r="G20" s="24290"/>
      <c r="J20" s="1456">
        <v>0</v>
      </c>
    </row>
    <row r="21" spans="1:10" ht="15.75" customHeight="1">
      <c r="A21" s="438"/>
      <c r="B21" s="438"/>
      <c r="C21" s="393"/>
      <c r="D21" s="403"/>
      <c r="E21" s="351" t="s">
        <v>568</v>
      </c>
      <c r="F21" s="405"/>
      <c r="G21" s="24291"/>
      <c r="H21" s="1459"/>
      <c r="J21" s="391">
        <v>15</v>
      </c>
    </row>
    <row r="22" spans="1:10" s="437" customFormat="1" ht="26.25" customHeight="1">
      <c r="A22" s="438"/>
      <c r="B22" s="438"/>
      <c r="C22" s="438"/>
      <c r="D22" s="1446" t="s">
        <v>83</v>
      </c>
      <c r="E22" s="410" t="s">
        <v>2102</v>
      </c>
      <c r="F22" s="1452"/>
      <c r="G22" s="410" t="s">
        <v>2103</v>
      </c>
      <c r="H22" s="1458"/>
      <c r="J22" s="437">
        <v>25</v>
      </c>
    </row>
    <row r="23" spans="1:10" s="437" customFormat="1" ht="19.899999999999999" customHeight="1">
      <c r="A23" s="438"/>
      <c r="B23" s="438"/>
      <c r="C23" s="438"/>
      <c r="D23" s="1446" t="s">
        <v>84</v>
      </c>
      <c r="E23" s="1453" t="s">
        <v>2104</v>
      </c>
      <c r="F23" s="1457"/>
      <c r="G23" s="410" t="s">
        <v>2105</v>
      </c>
      <c r="H23" s="1458"/>
      <c r="J23" s="437">
        <v>19</v>
      </c>
    </row>
    <row r="24" spans="1:10" s="437" customFormat="1" ht="144" hidden="1" customHeight="1">
      <c r="A24" s="438"/>
      <c r="B24" s="438"/>
      <c r="C24" s="438"/>
      <c r="D24" s="1446" t="s">
        <v>90</v>
      </c>
      <c r="E24" s="179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95"/>
      <c r="G24" s="179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8"/>
      <c r="J24" s="437">
        <v>0</v>
      </c>
    </row>
    <row r="25" spans="1:10" ht="11.25" hidden="1" customHeight="1">
      <c r="A25" s="437" t="s">
        <v>73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1" customWidth="1"/>
    <col min="21" max="254" width="8" style="1561" customWidth="1"/>
    <col min="255" max="255" width="9.140625" style="1561" hidden="1"/>
  </cols>
  <sheetData>
    <row r="1" spans="1:255" ht="22.5" hidden="1" customHeight="1">
      <c r="F1" s="1557" t="s">
        <v>2106</v>
      </c>
      <c r="G1" s="1557" t="s">
        <v>42</v>
      </c>
      <c r="H1" s="1557" t="s">
        <v>44</v>
      </c>
      <c r="IU1" s="1081" t="s">
        <v>1</v>
      </c>
    </row>
    <row r="2" spans="1:255" s="1747" customFormat="1" ht="22.5" hidden="1" customHeight="1">
      <c r="A2" s="761"/>
      <c r="B2" s="1086">
        <v>1</v>
      </c>
      <c r="C2" s="1086"/>
      <c r="D2" s="1822" t="s">
        <v>96</v>
      </c>
      <c r="E2" s="1410"/>
      <c r="F2" s="1417"/>
      <c r="G2" s="1417"/>
      <c r="H2" s="1417"/>
      <c r="I2" s="1878"/>
      <c r="J2" s="1879"/>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3" t="s">
        <v>74</v>
      </c>
      <c r="G3" s="430" t="s">
        <v>75</v>
      </c>
      <c r="H3" s="430"/>
      <c r="I3" s="430"/>
      <c r="J3" s="163" t="s">
        <v>76</v>
      </c>
      <c r="K3" s="183" t="s">
        <v>74</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717" customFormat="1" ht="14.65" customHeight="1">
      <c r="A4" s="1081"/>
      <c r="B4" s="1086"/>
      <c r="C4" s="1081"/>
      <c r="D4" s="1421"/>
      <c r="E4" s="445"/>
      <c r="F4" s="1568"/>
      <c r="G4" s="445"/>
      <c r="H4" s="445"/>
      <c r="I4" s="445"/>
      <c r="J4" s="103"/>
      <c r="K4" s="183"/>
      <c r="L4" s="436"/>
      <c r="M4" s="436"/>
      <c r="N4" s="436"/>
      <c r="O4" s="162"/>
      <c r="P4" s="436"/>
      <c r="Q4" s="161"/>
      <c r="R4" s="161"/>
      <c r="S4" s="161"/>
      <c r="T4" s="161"/>
      <c r="IU4" s="443">
        <v>14</v>
      </c>
    </row>
    <row r="5" spans="1:255" s="1717" customFormat="1" ht="27.4" customHeight="1">
      <c r="A5" s="1081"/>
      <c r="B5" s="1086"/>
      <c r="C5" s="1081"/>
      <c r="D5" s="1421"/>
      <c r="E5" s="2393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3932"/>
      <c r="G5" s="23932"/>
      <c r="H5" s="23932"/>
      <c r="I5" s="23932"/>
      <c r="J5" s="23932"/>
      <c r="K5" s="183"/>
      <c r="L5" s="436"/>
      <c r="M5" s="436"/>
      <c r="N5" s="436"/>
      <c r="O5" s="162"/>
      <c r="P5" s="436"/>
      <c r="Q5" s="161"/>
      <c r="R5" s="161"/>
      <c r="S5" s="161"/>
      <c r="T5" s="161"/>
      <c r="IU5" s="443">
        <v>26</v>
      </c>
    </row>
    <row r="6" spans="1:255" s="1717" customFormat="1" ht="14.65" customHeight="1">
      <c r="A6" s="1081"/>
      <c r="B6" s="1086"/>
      <c r="C6" s="1081"/>
      <c r="D6" s="1421"/>
      <c r="E6" s="445"/>
      <c r="F6" s="104"/>
      <c r="G6" s="104"/>
      <c r="H6" s="104"/>
      <c r="I6" s="104"/>
      <c r="J6" s="105"/>
      <c r="K6" s="436"/>
      <c r="L6" s="436"/>
      <c r="M6" s="436"/>
      <c r="N6" s="436"/>
      <c r="O6" s="162"/>
      <c r="P6" s="436"/>
      <c r="Q6" s="161"/>
      <c r="R6" s="161"/>
      <c r="S6" s="161"/>
      <c r="T6" s="161"/>
      <c r="IU6" s="443">
        <v>14</v>
      </c>
    </row>
    <row r="7" spans="1:255" s="1717" customFormat="1" ht="14.65" customHeight="1">
      <c r="A7" s="1081"/>
      <c r="B7" s="1086"/>
      <c r="C7" s="1081"/>
      <c r="D7" s="1421"/>
      <c r="E7" s="23928" t="s">
        <v>529</v>
      </c>
      <c r="F7" s="23933"/>
      <c r="G7" s="23933"/>
      <c r="H7" s="23933"/>
      <c r="I7" s="23933"/>
      <c r="J7" s="24292" t="s">
        <v>530</v>
      </c>
      <c r="K7" s="436"/>
      <c r="L7" s="436"/>
      <c r="M7" s="436"/>
      <c r="N7" s="436"/>
      <c r="O7" s="162"/>
      <c r="P7" s="436"/>
      <c r="Q7" s="161"/>
      <c r="R7" s="161"/>
      <c r="S7" s="161"/>
      <c r="T7" s="161"/>
      <c r="IU7" s="443">
        <v>14</v>
      </c>
    </row>
    <row r="8" spans="1:255" s="1717" customFormat="1" ht="21" customHeight="1">
      <c r="A8" s="1081"/>
      <c r="B8" s="1086"/>
      <c r="C8" s="1081"/>
      <c r="D8" s="1421"/>
      <c r="E8" s="1474" t="s">
        <v>79</v>
      </c>
      <c r="F8" s="1466" t="s">
        <v>2106</v>
      </c>
      <c r="G8" s="1466" t="s">
        <v>42</v>
      </c>
      <c r="H8" s="1466" t="s">
        <v>44</v>
      </c>
      <c r="I8" s="1466" t="s">
        <v>2107</v>
      </c>
      <c r="J8" s="24293"/>
      <c r="K8" s="436"/>
      <c r="L8" s="436"/>
      <c r="M8" s="436"/>
      <c r="N8" s="436"/>
      <c r="O8" s="162"/>
      <c r="P8" s="436"/>
      <c r="Q8" s="161"/>
      <c r="R8" s="161"/>
      <c r="S8" s="161"/>
      <c r="T8" s="161"/>
      <c r="IU8" s="443">
        <v>20</v>
      </c>
    </row>
    <row r="9" spans="1:255" s="1747" customFormat="1" ht="23.25" customHeight="1">
      <c r="A9" s="1557"/>
      <c r="B9" s="1086">
        <v>1</v>
      </c>
      <c r="C9" s="1086"/>
      <c r="D9" s="731"/>
      <c r="E9" s="1410">
        <v>1</v>
      </c>
      <c r="F9" s="1473"/>
      <c r="G9" s="1417"/>
      <c r="H9" s="1417"/>
      <c r="I9" s="1464"/>
      <c r="J9" s="2399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47" customFormat="1" ht="15.75" customHeight="1">
      <c r="A10" s="1557"/>
      <c r="B10" s="1086"/>
      <c r="C10" s="348"/>
      <c r="D10" s="731"/>
      <c r="E10" s="1467"/>
      <c r="F10" s="1426" t="s">
        <v>2108</v>
      </c>
      <c r="G10" s="1468"/>
      <c r="H10" s="1468"/>
      <c r="I10" s="1796"/>
      <c r="J10" s="23998"/>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17" customFormat="1" ht="21.95" customHeight="1">
      <c r="A11" s="1081"/>
      <c r="B11" s="1086"/>
      <c r="C11" s="1081"/>
      <c r="D11" s="387"/>
      <c r="E11" s="117"/>
      <c r="F11" s="117"/>
      <c r="G11" s="117"/>
      <c r="H11" s="117"/>
      <c r="I11" s="117"/>
      <c r="J11" s="117"/>
      <c r="K11" s="436"/>
      <c r="L11" s="436"/>
      <c r="M11" s="436"/>
      <c r="N11" s="436"/>
      <c r="O11" s="162"/>
      <c r="P11" s="436"/>
      <c r="Q11" s="161"/>
      <c r="R11" s="161"/>
      <c r="S11" s="161"/>
      <c r="T11" s="161"/>
      <c r="IU11" s="443">
        <v>21</v>
      </c>
    </row>
    <row r="12" spans="1:255" s="1717" customFormat="1" ht="14.65" customHeight="1">
      <c r="A12" s="1081"/>
      <c r="B12" s="1086"/>
      <c r="C12" s="1081"/>
      <c r="D12" s="387"/>
      <c r="E12" s="1081"/>
      <c r="F12" s="1081"/>
      <c r="G12" s="1081"/>
      <c r="H12" s="1081"/>
      <c r="I12" s="1081"/>
      <c r="J12" s="1081"/>
      <c r="K12" s="436"/>
      <c r="L12" s="436"/>
      <c r="M12" s="436"/>
      <c r="N12" s="436"/>
      <c r="O12" s="162"/>
      <c r="P12" s="436"/>
      <c r="Q12" s="161"/>
      <c r="R12" s="161"/>
      <c r="S12" s="161"/>
      <c r="T12" s="161"/>
      <c r="IU12" s="443">
        <v>14</v>
      </c>
    </row>
    <row r="13" spans="1:255" s="1717" customFormat="1" ht="1.1499999999999999" customHeight="1">
      <c r="A13" s="1081"/>
      <c r="B13" s="1086"/>
      <c r="C13" s="1081"/>
      <c r="D13" s="387"/>
      <c r="E13" s="1081"/>
      <c r="F13" s="1081"/>
      <c r="G13" s="1081"/>
      <c r="H13" s="1081"/>
      <c r="I13" s="1081"/>
      <c r="J13" s="1081"/>
      <c r="K13" s="436"/>
      <c r="L13" s="436"/>
      <c r="M13" s="436"/>
      <c r="N13" s="436"/>
      <c r="O13" s="162"/>
      <c r="P13" s="436"/>
      <c r="Q13" s="161"/>
      <c r="R13" s="161"/>
      <c r="S13" s="161"/>
      <c r="T13" s="161"/>
      <c r="IU13" s="443">
        <v>1</v>
      </c>
    </row>
    <row r="14" spans="1:255" s="993" customFormat="1" ht="10.5" customHeight="1">
      <c r="B14" s="764"/>
      <c r="D14" s="119"/>
      <c r="K14" s="436"/>
      <c r="L14" s="436"/>
      <c r="M14" s="436"/>
      <c r="N14" s="436"/>
      <c r="O14" s="162"/>
      <c r="P14" s="436"/>
      <c r="Q14" s="161"/>
      <c r="R14" s="161"/>
      <c r="S14" s="161"/>
      <c r="T14" s="161"/>
      <c r="IU14" s="118">
        <v>10</v>
      </c>
    </row>
    <row r="15" spans="1:255" s="993" customFormat="1" ht="10.5" customHeight="1">
      <c r="B15" s="764"/>
      <c r="D15" s="119"/>
      <c r="K15" s="436"/>
      <c r="L15" s="436"/>
      <c r="M15" s="436"/>
      <c r="N15" s="436"/>
      <c r="O15" s="162"/>
      <c r="P15" s="436"/>
      <c r="Q15" s="161"/>
      <c r="R15" s="161"/>
      <c r="S15" s="161"/>
      <c r="T15" s="161"/>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73</v>
      </c>
      <c r="B24" s="1086">
        <v>0</v>
      </c>
      <c r="C24" s="1081">
        <v>0</v>
      </c>
      <c r="D24" s="387">
        <v>3</v>
      </c>
      <c r="E24" s="1081">
        <v>6</v>
      </c>
      <c r="F24" s="1081">
        <v>46</v>
      </c>
      <c r="G24" s="1081">
        <v>16</v>
      </c>
      <c r="H24" s="1081">
        <v>16</v>
      </c>
      <c r="I24" s="1081">
        <v>35</v>
      </c>
      <c r="J24" s="1081">
        <v>89</v>
      </c>
      <c r="K24" s="436">
        <v>3</v>
      </c>
      <c r="L24" s="436">
        <v>8</v>
      </c>
      <c r="M24" s="436">
        <v>8</v>
      </c>
      <c r="N24" s="436">
        <v>8</v>
      </c>
      <c r="O24" s="162">
        <v>25</v>
      </c>
      <c r="P24" s="436">
        <v>14</v>
      </c>
      <c r="Q24" s="161">
        <v>8</v>
      </c>
      <c r="R24" s="161">
        <v>8</v>
      </c>
      <c r="S24" s="161">
        <v>8</v>
      </c>
      <c r="T24" s="161">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081" t="s">
        <v>1</v>
      </c>
    </row>
    <row r="2" spans="1:257" s="1747" customFormat="1" ht="22.5" hidden="1" customHeight="1">
      <c r="A2" s="761"/>
      <c r="B2" s="1086">
        <v>1</v>
      </c>
      <c r="C2" s="1086"/>
      <c r="D2" s="1822" t="s">
        <v>96</v>
      </c>
      <c r="E2" s="1786"/>
      <c r="F2" s="1789" t="str">
        <f>IF(ROIV_INFO_NAME="","",ROIV_INFO_NAME)</f>
        <v>ООО "Смоленскрегионтеплоэнерго"</v>
      </c>
      <c r="G2" s="1814" t="s">
        <v>17</v>
      </c>
      <c r="H2" s="1813"/>
      <c r="I2" s="1464"/>
      <c r="J2" s="748"/>
      <c r="K2" s="748"/>
      <c r="L2" s="164"/>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3" t="s">
        <v>74</v>
      </c>
      <c r="G3" s="1633" t="s">
        <v>75</v>
      </c>
      <c r="H3" s="430"/>
      <c r="I3" s="430"/>
      <c r="J3" s="430"/>
      <c r="K3" s="430"/>
      <c r="L3" s="163" t="s">
        <v>76</v>
      </c>
      <c r="M3" s="183" t="s">
        <v>74</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717" customFormat="1" ht="14.65" customHeight="1">
      <c r="A4" s="1081"/>
      <c r="B4" s="1086"/>
      <c r="C4" s="1081"/>
      <c r="D4" s="1421"/>
      <c r="E4" s="445"/>
      <c r="F4" s="445"/>
      <c r="G4" s="445"/>
      <c r="H4" s="445"/>
      <c r="I4" s="445"/>
      <c r="J4" s="445"/>
      <c r="K4" s="445"/>
      <c r="L4" s="103"/>
      <c r="M4" s="183"/>
      <c r="N4" s="436"/>
      <c r="O4" s="436"/>
      <c r="P4" s="436"/>
      <c r="Q4" s="162"/>
      <c r="R4" s="436"/>
      <c r="S4" s="161"/>
      <c r="T4" s="161"/>
      <c r="U4" s="161"/>
      <c r="V4" s="161"/>
      <c r="IW4" s="443">
        <v>14</v>
      </c>
    </row>
    <row r="5" spans="1:257" s="1717" customFormat="1" ht="27.4" customHeight="1">
      <c r="A5" s="1081"/>
      <c r="B5" s="1086"/>
      <c r="C5" s="1081"/>
      <c r="D5" s="1421"/>
      <c r="E5" s="239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932"/>
      <c r="G5" s="23932"/>
      <c r="H5" s="23932"/>
      <c r="I5" s="23932"/>
      <c r="J5" s="23932"/>
      <c r="K5" s="23932"/>
      <c r="L5" s="524"/>
      <c r="M5" s="183"/>
      <c r="N5" s="436"/>
      <c r="O5" s="436"/>
      <c r="P5" s="436"/>
      <c r="Q5" s="162"/>
      <c r="R5" s="436"/>
      <c r="S5" s="161"/>
      <c r="T5" s="161"/>
      <c r="U5" s="161"/>
      <c r="V5" s="161"/>
      <c r="IW5" s="443">
        <v>26</v>
      </c>
    </row>
    <row r="6" spans="1:257" s="1717" customFormat="1" ht="14.65" customHeight="1">
      <c r="A6" s="1081"/>
      <c r="B6" s="1086"/>
      <c r="C6" s="1081"/>
      <c r="D6" s="1421"/>
      <c r="E6" s="445"/>
      <c r="F6" s="104"/>
      <c r="G6" s="104"/>
      <c r="H6" s="104"/>
      <c r="I6" s="104"/>
      <c r="J6" s="104"/>
      <c r="K6" s="104"/>
      <c r="L6" s="105"/>
      <c r="M6" s="436"/>
      <c r="N6" s="436"/>
      <c r="O6" s="436"/>
      <c r="P6" s="436"/>
      <c r="Q6" s="162"/>
      <c r="R6" s="436"/>
      <c r="S6" s="161"/>
      <c r="T6" s="161"/>
      <c r="U6" s="161"/>
      <c r="V6" s="161"/>
      <c r="IW6" s="443">
        <v>14</v>
      </c>
    </row>
    <row r="7" spans="1:257" s="1717" customFormat="1" ht="14.65" customHeight="1">
      <c r="A7" s="1081"/>
      <c r="B7" s="1086"/>
      <c r="C7" s="1081"/>
      <c r="D7" s="1421"/>
      <c r="E7" s="23928" t="s">
        <v>529</v>
      </c>
      <c r="F7" s="23933"/>
      <c r="G7" s="23933"/>
      <c r="H7" s="23933"/>
      <c r="I7" s="23933"/>
      <c r="J7" s="23933"/>
      <c r="K7" s="23933"/>
      <c r="L7" s="24292" t="s">
        <v>530</v>
      </c>
      <c r="M7" s="436"/>
      <c r="N7" s="436"/>
      <c r="O7" s="436"/>
      <c r="P7" s="436"/>
      <c r="Q7" s="162"/>
      <c r="R7" s="436"/>
      <c r="S7" s="161"/>
      <c r="T7" s="161"/>
      <c r="U7" s="161"/>
      <c r="V7" s="161"/>
      <c r="IW7" s="443">
        <v>14</v>
      </c>
    </row>
    <row r="8" spans="1:257" s="1717" customFormat="1" ht="67.150000000000006" customHeight="1">
      <c r="A8" s="1081"/>
      <c r="B8" s="1086"/>
      <c r="C8" s="1081"/>
      <c r="D8" s="1421"/>
      <c r="E8" s="24296" t="s">
        <v>79</v>
      </c>
      <c r="F8" s="2429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29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299"/>
      <c r="I8" s="24300"/>
      <c r="J8" s="2429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29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294"/>
      <c r="M8" s="436"/>
      <c r="N8" s="436"/>
      <c r="O8" s="436"/>
      <c r="P8" s="436"/>
      <c r="Q8" s="162"/>
      <c r="R8" s="436"/>
      <c r="S8" s="161"/>
      <c r="T8" s="161"/>
      <c r="U8" s="161"/>
      <c r="V8" s="161"/>
      <c r="IW8" s="443">
        <v>64</v>
      </c>
    </row>
    <row r="9" spans="1:257" s="1717" customFormat="1" ht="29.25" customHeight="1">
      <c r="A9" s="1081"/>
      <c r="B9" s="1086"/>
      <c r="C9" s="1081"/>
      <c r="D9" s="1421"/>
      <c r="E9" s="24297"/>
      <c r="F9" s="24297"/>
      <c r="G9" s="1463" t="s">
        <v>2109</v>
      </c>
      <c r="H9" s="1463" t="s">
        <v>2110</v>
      </c>
      <c r="I9" s="1463" t="s">
        <v>2111</v>
      </c>
      <c r="J9" s="24297"/>
      <c r="K9" s="24297"/>
      <c r="L9" s="24293"/>
      <c r="M9" s="436"/>
      <c r="N9" s="436"/>
      <c r="O9" s="436"/>
      <c r="P9" s="436"/>
      <c r="Q9" s="162"/>
      <c r="R9" s="436"/>
      <c r="S9" s="161"/>
      <c r="T9" s="161"/>
      <c r="U9" s="161"/>
      <c r="V9" s="161"/>
      <c r="IW9" s="443">
        <v>28</v>
      </c>
    </row>
    <row r="10" spans="1:257" s="1747" customFormat="1" ht="23.25" customHeight="1">
      <c r="A10" s="23931"/>
      <c r="B10" s="1086">
        <v>1</v>
      </c>
      <c r="C10" s="1086"/>
      <c r="D10" s="730"/>
      <c r="E10" s="728">
        <v>1</v>
      </c>
      <c r="F10" s="1465" t="str">
        <f>IF(ROIV_INFO_NAME="","",ROIV_INFO_NAME)</f>
        <v>ООО "Смоленскрегионтеплоэнерго"</v>
      </c>
      <c r="G10" s="1630" t="s">
        <v>17</v>
      </c>
      <c r="H10" s="1813"/>
      <c r="I10" s="1460"/>
      <c r="J10" s="748"/>
      <c r="K10" s="748"/>
      <c r="L10" s="2427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47" customFormat="1" ht="15.75" customHeight="1">
      <c r="A11" s="23931"/>
      <c r="B11" s="1086"/>
      <c r="C11" s="348"/>
      <c r="D11" s="731"/>
      <c r="E11" s="357"/>
      <c r="F11" s="352" t="s">
        <v>2112</v>
      </c>
      <c r="G11" s="124"/>
      <c r="H11" s="124"/>
      <c r="I11" s="124"/>
      <c r="J11" s="124"/>
      <c r="K11" s="360"/>
      <c r="L11" s="24295"/>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17" customFormat="1" ht="21.95" customHeight="1">
      <c r="A12" s="1081"/>
      <c r="B12" s="1086"/>
      <c r="C12" s="1081"/>
      <c r="D12" s="387"/>
      <c r="E12" s="117"/>
      <c r="F12" s="117"/>
      <c r="G12" s="117"/>
      <c r="H12" s="117"/>
      <c r="I12" s="117"/>
      <c r="J12" s="117"/>
      <c r="K12" s="117"/>
      <c r="L12" s="117"/>
      <c r="M12" s="436"/>
      <c r="N12" s="436"/>
      <c r="O12" s="436"/>
      <c r="P12" s="436"/>
      <c r="Q12" s="162"/>
      <c r="R12" s="436"/>
      <c r="S12" s="161"/>
      <c r="T12" s="161"/>
      <c r="U12" s="161"/>
      <c r="V12" s="161"/>
      <c r="IW12" s="443">
        <v>21</v>
      </c>
    </row>
    <row r="13" spans="1:257" s="1717" customFormat="1" ht="14.65" customHeight="1">
      <c r="A13" s="1081"/>
      <c r="B13" s="1086"/>
      <c r="C13" s="1081"/>
      <c r="D13" s="387"/>
      <c r="E13" s="1081"/>
      <c r="F13" s="1081"/>
      <c r="G13" s="1081"/>
      <c r="H13" s="1081"/>
      <c r="I13" s="1081"/>
      <c r="J13" s="1081"/>
      <c r="K13" s="1081"/>
      <c r="L13" s="1081"/>
      <c r="M13" s="436"/>
      <c r="N13" s="436"/>
      <c r="O13" s="436"/>
      <c r="P13" s="436"/>
      <c r="Q13" s="162"/>
      <c r="R13" s="436"/>
      <c r="S13" s="161"/>
      <c r="T13" s="161"/>
      <c r="U13" s="161"/>
      <c r="V13" s="161"/>
      <c r="IW13" s="443">
        <v>14</v>
      </c>
    </row>
    <row r="14" spans="1:257" s="1717" customFormat="1" ht="1.1499999999999999" customHeight="1">
      <c r="A14" s="1081"/>
      <c r="B14" s="1086"/>
      <c r="C14" s="1081"/>
      <c r="D14" s="387"/>
      <c r="E14" s="1081"/>
      <c r="F14" s="1081"/>
      <c r="G14" s="1081"/>
      <c r="H14" s="1081"/>
      <c r="I14" s="1081"/>
      <c r="J14" s="1081"/>
      <c r="K14" s="1081"/>
      <c r="L14" s="1081"/>
      <c r="M14" s="436"/>
      <c r="N14" s="436"/>
      <c r="O14" s="436"/>
      <c r="P14" s="436"/>
      <c r="Q14" s="162"/>
      <c r="R14" s="436"/>
      <c r="S14" s="161"/>
      <c r="T14" s="161"/>
      <c r="U14" s="161"/>
      <c r="V14" s="161"/>
      <c r="IW14" s="443">
        <v>1</v>
      </c>
    </row>
    <row r="15" spans="1:257" ht="22.5" hidden="1" customHeight="1">
      <c r="A15" s="1081" t="s">
        <v>73</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2">
        <v>25</v>
      </c>
      <c r="R15" s="436">
        <v>14</v>
      </c>
      <c r="S15" s="161">
        <v>8</v>
      </c>
      <c r="T15" s="161">
        <v>8</v>
      </c>
      <c r="U15" s="161">
        <v>8</v>
      </c>
      <c r="V15" s="161">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1" customWidth="1"/>
    <col min="23" max="256" width="8" style="1561" customWidth="1"/>
    <col min="257" max="257" width="9.140625" style="1561" hidden="1"/>
  </cols>
  <sheetData>
    <row r="1" spans="1:257" ht="22.5" hidden="1" customHeight="1">
      <c r="IW1" s="1557" t="s">
        <v>1</v>
      </c>
    </row>
    <row r="2" spans="1:257" s="1747" customFormat="1" ht="22.5" hidden="1" customHeight="1">
      <c r="A2" s="761"/>
      <c r="B2" s="1292">
        <v>1</v>
      </c>
      <c r="C2" s="1292"/>
      <c r="D2" s="1822" t="s">
        <v>96</v>
      </c>
      <c r="E2" s="1801"/>
      <c r="F2" s="1803" t="str">
        <f>IF(ROIV_INFO_NAME="","",ROIV_INFO_NAME)</f>
        <v>ООО "Смоленскрегионтеплоэнерго"</v>
      </c>
      <c r="G2" s="1630" t="s">
        <v>17</v>
      </c>
      <c r="H2" s="1813"/>
      <c r="I2" s="1464"/>
      <c r="J2" s="748"/>
      <c r="K2" s="748"/>
      <c r="L2" s="164"/>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790"/>
      <c r="F3" s="184" t="s">
        <v>74</v>
      </c>
      <c r="G3" s="1633" t="s">
        <v>75</v>
      </c>
      <c r="H3" s="1790"/>
      <c r="I3" s="1790"/>
      <c r="J3" s="1790"/>
      <c r="K3" s="1790"/>
      <c r="L3" s="163" t="s">
        <v>76</v>
      </c>
      <c r="M3" s="184" t="s">
        <v>74</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62">
        <v>0</v>
      </c>
    </row>
    <row r="4" spans="1:257" s="1717" customFormat="1" ht="14.65" customHeight="1">
      <c r="A4" s="1557"/>
      <c r="B4" s="1292"/>
      <c r="C4" s="1557"/>
      <c r="D4" s="1441"/>
      <c r="E4" s="1561"/>
      <c r="F4" s="1561"/>
      <c r="G4" s="1561"/>
      <c r="H4" s="1561"/>
      <c r="I4" s="1561"/>
      <c r="J4" s="1561"/>
      <c r="K4" s="1561"/>
      <c r="L4" s="1792"/>
      <c r="M4" s="184"/>
      <c r="N4" s="1550"/>
      <c r="O4" s="1550"/>
      <c r="P4" s="1550"/>
      <c r="Q4" s="1550"/>
      <c r="R4" s="1550"/>
      <c r="S4" s="161"/>
      <c r="T4" s="161"/>
      <c r="U4" s="161"/>
      <c r="V4" s="161"/>
      <c r="IW4" s="1535">
        <v>14</v>
      </c>
    </row>
    <row r="5" spans="1:257" s="1717" customFormat="1" ht="27.4" customHeight="1">
      <c r="A5" s="1557"/>
      <c r="B5" s="1292"/>
      <c r="C5" s="1557"/>
      <c r="D5" s="1441"/>
      <c r="E5" s="23932"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3932"/>
      <c r="G5" s="23932"/>
      <c r="H5" s="23932"/>
      <c r="I5" s="23932"/>
      <c r="J5" s="23932"/>
      <c r="K5" s="23932"/>
      <c r="L5" s="1561"/>
      <c r="M5" s="184"/>
      <c r="N5" s="1550"/>
      <c r="O5" s="1550"/>
      <c r="P5" s="1550"/>
      <c r="Q5" s="1550"/>
      <c r="R5" s="1550"/>
      <c r="S5" s="161"/>
      <c r="T5" s="161"/>
      <c r="U5" s="161"/>
      <c r="V5" s="161"/>
      <c r="IW5" s="1535">
        <v>26</v>
      </c>
    </row>
    <row r="6" spans="1:257" s="1717" customFormat="1" ht="14.65" customHeight="1">
      <c r="A6" s="1557"/>
      <c r="B6" s="1292"/>
      <c r="C6" s="1557"/>
      <c r="D6" s="1441"/>
      <c r="E6" s="1561"/>
      <c r="F6" s="552"/>
      <c r="G6" s="552"/>
      <c r="H6" s="552"/>
      <c r="I6" s="552"/>
      <c r="J6" s="552"/>
      <c r="K6" s="552"/>
      <c r="L6" s="1178"/>
      <c r="M6" s="1550"/>
      <c r="N6" s="1550"/>
      <c r="O6" s="1550"/>
      <c r="P6" s="1550"/>
      <c r="Q6" s="1550"/>
      <c r="R6" s="1550"/>
      <c r="S6" s="161"/>
      <c r="T6" s="161"/>
      <c r="U6" s="161"/>
      <c r="V6" s="161"/>
      <c r="IW6" s="1535">
        <v>14</v>
      </c>
    </row>
    <row r="7" spans="1:257" s="1717" customFormat="1" ht="14.65" customHeight="1">
      <c r="A7" s="1557"/>
      <c r="B7" s="1292"/>
      <c r="C7" s="1557"/>
      <c r="D7" s="1441"/>
      <c r="E7" s="23928" t="s">
        <v>529</v>
      </c>
      <c r="F7" s="23933"/>
      <c r="G7" s="23933"/>
      <c r="H7" s="23933"/>
      <c r="I7" s="23933"/>
      <c r="J7" s="23933"/>
      <c r="K7" s="23933"/>
      <c r="L7" s="24292" t="s">
        <v>530</v>
      </c>
      <c r="M7" s="1550"/>
      <c r="N7" s="1550"/>
      <c r="O7" s="1550"/>
      <c r="P7" s="1550"/>
      <c r="Q7" s="1550"/>
      <c r="R7" s="1550"/>
      <c r="S7" s="161"/>
      <c r="T7" s="161"/>
      <c r="U7" s="161"/>
      <c r="V7" s="161"/>
      <c r="IW7" s="1535">
        <v>14</v>
      </c>
    </row>
    <row r="8" spans="1:257" s="1717" customFormat="1" ht="67.150000000000006" customHeight="1">
      <c r="A8" s="1557"/>
      <c r="B8" s="1292"/>
      <c r="C8" s="1557"/>
      <c r="D8" s="1441"/>
      <c r="E8" s="24296" t="s">
        <v>79</v>
      </c>
      <c r="F8" s="24296" t="s">
        <v>2113</v>
      </c>
      <c r="G8" s="24298" t="s">
        <v>2114</v>
      </c>
      <c r="H8" s="24299"/>
      <c r="I8" s="24300"/>
      <c r="J8" s="24296" t="s">
        <v>2115</v>
      </c>
      <c r="K8" s="2429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294"/>
      <c r="M8" s="1550"/>
      <c r="N8" s="1550"/>
      <c r="O8" s="1550"/>
      <c r="P8" s="1550"/>
      <c r="Q8" s="1550"/>
      <c r="R8" s="1550"/>
      <c r="S8" s="161"/>
      <c r="T8" s="161"/>
      <c r="U8" s="161"/>
      <c r="V8" s="161"/>
      <c r="IW8" s="1535">
        <v>64</v>
      </c>
    </row>
    <row r="9" spans="1:257" s="1717" customFormat="1" ht="29.25" customHeight="1">
      <c r="A9" s="1557"/>
      <c r="B9" s="1292"/>
      <c r="C9" s="1557"/>
      <c r="D9" s="1441"/>
      <c r="E9" s="24297"/>
      <c r="F9" s="24297"/>
      <c r="G9" s="1791" t="s">
        <v>2109</v>
      </c>
      <c r="H9" s="1791" t="s">
        <v>2110</v>
      </c>
      <c r="I9" s="1791" t="s">
        <v>2111</v>
      </c>
      <c r="J9" s="24297"/>
      <c r="K9" s="24297"/>
      <c r="L9" s="24293"/>
      <c r="M9" s="1550"/>
      <c r="N9" s="1550"/>
      <c r="O9" s="1550"/>
      <c r="P9" s="1550"/>
      <c r="Q9" s="1550"/>
      <c r="R9" s="1550"/>
      <c r="S9" s="161"/>
      <c r="T9" s="161"/>
      <c r="U9" s="161"/>
      <c r="V9" s="161"/>
      <c r="IW9" s="1535">
        <v>28</v>
      </c>
    </row>
    <row r="10" spans="1:257" s="1747" customFormat="1" ht="1.1499999999999999" customHeight="1">
      <c r="A10" s="23931"/>
      <c r="B10" s="1292">
        <v>1</v>
      </c>
      <c r="C10" s="1292"/>
      <c r="D10" s="730"/>
      <c r="E10" s="725">
        <v>0</v>
      </c>
      <c r="F10" s="1788" t="str">
        <f>IF(ROIV_INFO_NAME="","",ROIV_INFO_NAME)</f>
        <v>ООО "Смоленскрегионтеплоэнерго"</v>
      </c>
      <c r="G10" s="1631" t="s">
        <v>17</v>
      </c>
      <c r="H10" s="1800"/>
      <c r="I10" s="1800"/>
      <c r="J10" s="455"/>
      <c r="K10" s="455"/>
      <c r="L10" s="24279"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47" customFormat="1" ht="15.75" customHeight="1">
      <c r="A11" s="23931"/>
      <c r="B11" s="1292"/>
      <c r="C11" s="348"/>
      <c r="D11" s="731"/>
      <c r="E11" s="357"/>
      <c r="F11" s="587" t="s">
        <v>2112</v>
      </c>
      <c r="G11" s="124"/>
      <c r="H11" s="124"/>
      <c r="I11" s="124"/>
      <c r="J11" s="124"/>
      <c r="K11" s="360"/>
      <c r="L11" s="24295"/>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17" customFormat="1" ht="21.95" customHeight="1">
      <c r="A12" s="1557"/>
      <c r="B12" s="1292"/>
      <c r="C12" s="1557"/>
      <c r="D12" s="1559"/>
      <c r="E12" s="117"/>
      <c r="F12" s="117"/>
      <c r="G12" s="117"/>
      <c r="H12" s="117"/>
      <c r="I12" s="117"/>
      <c r="J12" s="117"/>
      <c r="K12" s="117"/>
      <c r="L12" s="117"/>
      <c r="M12" s="1550"/>
      <c r="N12" s="1550"/>
      <c r="O12" s="1550"/>
      <c r="P12" s="1550"/>
      <c r="Q12" s="1550"/>
      <c r="R12" s="1550"/>
      <c r="S12" s="161"/>
      <c r="T12" s="161"/>
      <c r="U12" s="161"/>
      <c r="V12" s="161"/>
      <c r="IW12" s="1535">
        <v>21</v>
      </c>
    </row>
    <row r="13" spans="1:257" s="1717"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1"/>
      <c r="T13" s="161"/>
      <c r="U13" s="161"/>
      <c r="V13" s="161"/>
      <c r="IW13" s="1535">
        <v>14</v>
      </c>
    </row>
    <row r="14" spans="1:257" s="1717"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1"/>
      <c r="T14" s="161"/>
      <c r="U14" s="161"/>
      <c r="V14" s="161"/>
      <c r="IW14" s="1535">
        <v>1</v>
      </c>
    </row>
    <row r="15" spans="1:257" ht="22.5" hidden="1" customHeight="1">
      <c r="A15" s="1557" t="s">
        <v>73</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1">
        <v>8</v>
      </c>
      <c r="T15" s="161">
        <v>8</v>
      </c>
      <c r="U15" s="161">
        <v>8</v>
      </c>
      <c r="V15" s="161">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1" hidden="1"/>
    <col min="2" max="2" width="9.140625" style="1292" hidden="1"/>
    <col min="3" max="3" width="3.7109375" style="1561" hidden="1" customWidth="1"/>
    <col min="4" max="4" width="3" style="1739"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v>
      </c>
    </row>
    <row r="2" spans="1:17" s="1747" customFormat="1" ht="22.5" hidden="1" customHeight="1">
      <c r="A2" s="432"/>
      <c r="B2" s="1086">
        <v>1</v>
      </c>
      <c r="C2" s="1086"/>
      <c r="D2" s="1822" t="s">
        <v>96</v>
      </c>
      <c r="E2" s="23947">
        <v>1</v>
      </c>
      <c r="F2" s="24127" t="str">
        <f>IF(region_name="","",region_name)</f>
        <v>Смоленская область</v>
      </c>
      <c r="G2" s="24309"/>
      <c r="H2" s="24310"/>
      <c r="I2" s="410"/>
      <c r="J2" s="1807">
        <v>1</v>
      </c>
      <c r="K2" s="1809"/>
      <c r="L2" s="1809"/>
      <c r="M2" s="1809"/>
      <c r="N2" s="428"/>
      <c r="O2" s="1461"/>
      <c r="P2" s="447"/>
      <c r="Q2" s="359">
        <v>0</v>
      </c>
    </row>
    <row r="3" spans="1:17" s="1747" customFormat="1" ht="22.5" hidden="1" customHeight="1">
      <c r="A3" s="761"/>
      <c r="B3" s="1086"/>
      <c r="C3" s="1086"/>
      <c r="D3" s="731"/>
      <c r="E3" s="23947"/>
      <c r="F3" s="24127"/>
      <c r="G3" s="24309"/>
      <c r="H3" s="24311"/>
      <c r="I3" s="357"/>
      <c r="J3" s="1426"/>
      <c r="K3" s="1426" t="s">
        <v>2116</v>
      </c>
      <c r="L3" s="1469"/>
      <c r="M3" s="1817"/>
      <c r="N3" s="1810"/>
      <c r="O3" s="1461"/>
      <c r="P3" s="447"/>
      <c r="Q3" s="359">
        <v>0</v>
      </c>
    </row>
    <row r="4" spans="1:17" s="1568" customFormat="1" ht="5.25" hidden="1" customHeight="1">
      <c r="A4" s="432"/>
      <c r="D4" s="430"/>
      <c r="F4" s="183" t="s">
        <v>74</v>
      </c>
      <c r="G4" s="430" t="s">
        <v>75</v>
      </c>
      <c r="H4" s="430"/>
      <c r="I4" s="1820"/>
      <c r="J4" s="1470"/>
      <c r="K4" s="1808"/>
      <c r="L4" s="1808"/>
      <c r="M4" s="1808"/>
      <c r="N4" s="1804"/>
      <c r="O4" s="183" t="s">
        <v>74</v>
      </c>
      <c r="P4" s="183"/>
      <c r="Q4" s="447">
        <v>0</v>
      </c>
    </row>
    <row r="5" spans="1:17" s="1747" customFormat="1" ht="22.5" hidden="1" customHeight="1">
      <c r="A5" s="1567"/>
      <c r="B5" s="1292">
        <v>1</v>
      </c>
      <c r="C5" s="1292"/>
      <c r="D5" s="731"/>
      <c r="E5" s="1810"/>
      <c r="F5" s="1810"/>
      <c r="G5" s="1810"/>
      <c r="H5" s="1821"/>
      <c r="I5" s="1823" t="s">
        <v>96</v>
      </c>
      <c r="J5" s="1819">
        <v>1</v>
      </c>
      <c r="K5" s="1809"/>
      <c r="L5" s="1809"/>
      <c r="M5" s="1809"/>
      <c r="N5" s="428"/>
      <c r="O5" s="1461"/>
      <c r="P5" s="1562"/>
      <c r="Q5" s="560">
        <v>0</v>
      </c>
    </row>
    <row r="6" spans="1:17" s="1717" customFormat="1" ht="14.65" customHeight="1">
      <c r="A6" s="1081"/>
      <c r="B6" s="1086"/>
      <c r="C6" s="1081"/>
      <c r="D6" s="1421"/>
      <c r="E6" s="445"/>
      <c r="F6" s="445"/>
      <c r="G6" s="445"/>
      <c r="H6" s="445"/>
      <c r="I6" s="445"/>
      <c r="J6" s="445"/>
      <c r="K6" s="445"/>
      <c r="L6" s="445"/>
      <c r="M6" s="445"/>
      <c r="N6" s="1561"/>
      <c r="O6" s="183"/>
      <c r="P6" s="436"/>
      <c r="Q6" s="443">
        <v>14</v>
      </c>
    </row>
    <row r="7" spans="1:17" s="1717" customFormat="1" ht="27.4" customHeight="1">
      <c r="A7" s="1081"/>
      <c r="B7" s="1086"/>
      <c r="C7" s="1081"/>
      <c r="D7" s="1421"/>
      <c r="E7" s="2430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303"/>
      <c r="G7" s="24303"/>
      <c r="H7" s="24303"/>
      <c r="I7" s="24303"/>
      <c r="J7" s="24303"/>
      <c r="K7" s="24303"/>
      <c r="L7" s="24303"/>
      <c r="M7" s="24303"/>
      <c r="N7" s="1178"/>
      <c r="O7" s="183"/>
      <c r="P7" s="436"/>
      <c r="Q7" s="443">
        <v>26</v>
      </c>
    </row>
    <row r="8" spans="1:17" s="1717"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11"/>
      <c r="F9" s="1811"/>
      <c r="G9" s="1811"/>
      <c r="H9" s="1811"/>
      <c r="I9" s="24306"/>
      <c r="J9" s="24306"/>
      <c r="K9" s="24306"/>
      <c r="L9" s="1811"/>
      <c r="M9" s="1812"/>
      <c r="O9" s="1471"/>
      <c r="P9" s="1471"/>
      <c r="Q9" s="1472">
        <v>0</v>
      </c>
    </row>
    <row r="10" spans="1:17" s="1717" customFormat="1" ht="14.65" customHeight="1">
      <c r="A10" s="1081"/>
      <c r="B10" s="1086"/>
      <c r="C10" s="1081"/>
      <c r="D10" s="1421"/>
      <c r="E10" s="23947" t="s">
        <v>529</v>
      </c>
      <c r="F10" s="23947"/>
      <c r="G10" s="23947"/>
      <c r="H10" s="23947"/>
      <c r="I10" s="23947"/>
      <c r="J10" s="23947"/>
      <c r="K10" s="23947"/>
      <c r="L10" s="23947"/>
      <c r="M10" s="23928"/>
      <c r="N10" s="24296" t="s">
        <v>530</v>
      </c>
      <c r="O10" s="436"/>
      <c r="P10" s="436"/>
      <c r="Q10" s="443">
        <v>14</v>
      </c>
    </row>
    <row r="11" spans="1:17" s="1717" customFormat="1" ht="44.25" customHeight="1">
      <c r="A11" s="1557"/>
      <c r="B11" s="1292"/>
      <c r="C11" s="1557"/>
      <c r="D11" s="1441"/>
      <c r="E11" s="24305" t="s">
        <v>79</v>
      </c>
      <c r="F11" s="24305" t="s">
        <v>533</v>
      </c>
      <c r="G11" s="24305" t="s">
        <v>2117</v>
      </c>
      <c r="H11" s="24305"/>
      <c r="I11" s="24305" t="s">
        <v>2118</v>
      </c>
      <c r="J11" s="24305"/>
      <c r="K11" s="24305"/>
      <c r="L11" s="24305" t="s">
        <v>2119</v>
      </c>
      <c r="M11" s="24298" t="s">
        <v>2120</v>
      </c>
      <c r="N11" s="24304"/>
      <c r="O11" s="1550"/>
      <c r="P11" s="1550"/>
      <c r="Q11" s="1535">
        <v>42</v>
      </c>
    </row>
    <row r="12" spans="1:17" s="1717" customFormat="1" ht="29.25" customHeight="1">
      <c r="A12" s="1081"/>
      <c r="B12" s="1086"/>
      <c r="C12" s="1081"/>
      <c r="D12" s="1421"/>
      <c r="E12" s="24296"/>
      <c r="F12" s="24305"/>
      <c r="G12" s="1806" t="s">
        <v>2121</v>
      </c>
      <c r="H12" s="1806" t="s">
        <v>537</v>
      </c>
      <c r="I12" s="24305"/>
      <c r="J12" s="24305"/>
      <c r="K12" s="24305"/>
      <c r="L12" s="24305"/>
      <c r="M12" s="24298"/>
      <c r="N12" s="24297"/>
      <c r="O12" s="436"/>
      <c r="P12" s="436"/>
      <c r="Q12" s="443">
        <v>28</v>
      </c>
    </row>
    <row r="13" spans="1:17" s="1747" customFormat="1" ht="23.25" customHeight="1">
      <c r="A13" s="23931">
        <v>26379339</v>
      </c>
      <c r="B13" s="1086">
        <v>1</v>
      </c>
      <c r="C13" s="1086"/>
      <c r="D13" s="731"/>
      <c r="E13" s="23947">
        <v>1</v>
      </c>
      <c r="F13" s="24312" t="str">
        <f>IF(region_name="","",region_name)</f>
        <v>Смоленская область</v>
      </c>
      <c r="G13" s="24313"/>
      <c r="H13" s="24307"/>
      <c r="I13" s="410"/>
      <c r="J13" s="1802">
        <v>1</v>
      </c>
      <c r="K13" s="1815"/>
      <c r="L13" s="1816"/>
      <c r="M13" s="1816"/>
      <c r="N13" s="24301" t="s">
        <v>2122</v>
      </c>
      <c r="O13" s="1461"/>
      <c r="P13" s="447"/>
      <c r="Q13" s="359">
        <v>22</v>
      </c>
    </row>
    <row r="14" spans="1:17" s="1747" customFormat="1" ht="23.25" customHeight="1">
      <c r="A14" s="23931"/>
      <c r="B14" s="1086"/>
      <c r="C14" s="1086"/>
      <c r="D14" s="731"/>
      <c r="E14" s="23947"/>
      <c r="F14" s="24312"/>
      <c r="G14" s="24313"/>
      <c r="H14" s="24308"/>
      <c r="I14" s="357"/>
      <c r="J14" s="1426"/>
      <c r="K14" s="1426" t="s">
        <v>2116</v>
      </c>
      <c r="L14" s="1469"/>
      <c r="M14" s="1469"/>
      <c r="N14" s="24302"/>
      <c r="O14" s="1461"/>
      <c r="P14" s="447"/>
      <c r="Q14" s="359">
        <v>22</v>
      </c>
    </row>
    <row r="15" spans="1:17" s="1747" customFormat="1" ht="23.25" customHeight="1">
      <c r="A15" s="23931"/>
      <c r="B15" s="1086"/>
      <c r="C15" s="348"/>
      <c r="D15" s="731"/>
      <c r="E15" s="357"/>
      <c r="F15" s="1426" t="s">
        <v>2108</v>
      </c>
      <c r="G15" s="1468"/>
      <c r="H15" s="1468"/>
      <c r="I15" s="124"/>
      <c r="J15" s="124"/>
      <c r="K15" s="124"/>
      <c r="L15" s="124"/>
      <c r="M15" s="124"/>
      <c r="N15" s="24302"/>
      <c r="O15" s="1462"/>
      <c r="P15" s="447"/>
      <c r="Q15" s="359">
        <v>22</v>
      </c>
    </row>
    <row r="16" spans="1:17" s="1717" customFormat="1" ht="21.95" customHeight="1">
      <c r="A16" s="1081"/>
      <c r="B16" s="1086"/>
      <c r="C16" s="1081"/>
      <c r="D16" s="387"/>
      <c r="E16" s="117"/>
      <c r="F16" s="117"/>
      <c r="G16" s="117"/>
      <c r="H16" s="117"/>
      <c r="I16" s="117"/>
      <c r="J16" s="117"/>
      <c r="K16" s="117"/>
      <c r="L16" s="117"/>
      <c r="M16" s="445"/>
      <c r="N16" s="1561"/>
      <c r="O16" s="436"/>
      <c r="P16" s="436"/>
      <c r="Q16" s="443">
        <v>21</v>
      </c>
    </row>
    <row r="17" spans="1:17" s="1717"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17"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73</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4" hidden="1"/>
    <col min="2" max="2" width="9.140625" style="1720" hidden="1"/>
    <col min="3" max="3" width="3" style="59" customWidth="1"/>
    <col min="4" max="4" width="6" style="1720" customWidth="1"/>
    <col min="5" max="5" width="22" style="1720" customWidth="1"/>
    <col min="6" max="6" width="15" style="1720" customWidth="1"/>
    <col min="7" max="7" width="14" style="1720" customWidth="1"/>
    <col min="8" max="8" width="47" style="1720" customWidth="1"/>
    <col min="9" max="9" width="115" style="1720" customWidth="1"/>
    <col min="10" max="10" width="3" style="1720" customWidth="1"/>
    <col min="11" max="12" width="8" style="1720" customWidth="1"/>
    <col min="13" max="13" width="9.140625" style="1720" hidden="1"/>
  </cols>
  <sheetData>
    <row r="1" spans="1:13" ht="14.25" hidden="1" customHeight="1">
      <c r="M1" s="60" t="s">
        <v>1</v>
      </c>
    </row>
    <row r="2" spans="1:13" ht="14.25" hidden="1" customHeight="1">
      <c r="M2" s="60">
        <v>0</v>
      </c>
    </row>
    <row r="3" spans="1:13" ht="14.25" hidden="1" customHeight="1">
      <c r="M3" s="60">
        <v>0</v>
      </c>
    </row>
    <row r="4" spans="1:13" ht="3" customHeight="1">
      <c r="M4" s="60">
        <v>3</v>
      </c>
    </row>
    <row r="5" spans="1:13" s="1561" customFormat="1" ht="31.5" customHeight="1">
      <c r="A5" s="54"/>
      <c r="C5" s="29"/>
      <c r="D5" s="23932" t="s">
        <v>2123</v>
      </c>
      <c r="E5" s="23932"/>
      <c r="F5" s="23932"/>
      <c r="G5" s="23932"/>
      <c r="H5" s="23932"/>
      <c r="I5" s="201"/>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4050" t="s">
        <v>529</v>
      </c>
      <c r="E8" s="24050"/>
      <c r="F8" s="24050"/>
      <c r="G8" s="24050"/>
      <c r="H8" s="24050"/>
      <c r="I8" s="24050" t="s">
        <v>530</v>
      </c>
      <c r="M8" s="60">
        <v>14</v>
      </c>
    </row>
    <row r="9" spans="1:13" ht="29.25" customHeight="1">
      <c r="D9" s="24050" t="s">
        <v>79</v>
      </c>
      <c r="E9" s="24050" t="s">
        <v>2124</v>
      </c>
      <c r="F9" s="24050"/>
      <c r="G9" s="24050"/>
      <c r="H9" s="24050"/>
      <c r="I9" s="24050"/>
      <c r="M9" s="60">
        <v>28</v>
      </c>
    </row>
    <row r="10" spans="1:13" ht="24" customHeight="1">
      <c r="D10" s="24050"/>
      <c r="E10" s="66" t="s">
        <v>2125</v>
      </c>
      <c r="F10" s="66" t="s">
        <v>2126</v>
      </c>
      <c r="G10" s="66" t="s">
        <v>2127</v>
      </c>
      <c r="H10" s="66" t="s">
        <v>619</v>
      </c>
      <c r="I10" s="24050"/>
      <c r="M10" s="60">
        <v>23</v>
      </c>
    </row>
    <row r="11" spans="1:13" ht="12" hidden="1" customHeight="1">
      <c r="D11" s="26" t="s">
        <v>218</v>
      </c>
      <c r="E11" s="26" t="s">
        <v>82</v>
      </c>
      <c r="F11" s="26" t="s">
        <v>109</v>
      </c>
      <c r="G11" s="26" t="s">
        <v>83</v>
      </c>
      <c r="H11" s="26" t="s">
        <v>84</v>
      </c>
      <c r="I11" s="26" t="s">
        <v>90</v>
      </c>
      <c r="M11" s="60">
        <v>0</v>
      </c>
    </row>
    <row r="12" spans="1:13" s="1720" customFormat="1" ht="26.25" customHeight="1">
      <c r="A12" s="82" t="s">
        <v>81</v>
      </c>
      <c r="B12" s="64" t="s">
        <v>17</v>
      </c>
      <c r="C12" s="65"/>
      <c r="D12" s="67" t="s">
        <v>218</v>
      </c>
      <c r="E12" s="317"/>
      <c r="F12" s="317"/>
      <c r="G12" s="1632" t="s">
        <v>17</v>
      </c>
      <c r="H12" s="318"/>
      <c r="I12" s="23996" t="s">
        <v>2128</v>
      </c>
      <c r="K12" s="208"/>
      <c r="L12" s="209"/>
      <c r="M12" s="56">
        <v>25</v>
      </c>
    </row>
    <row r="13" spans="1:13" ht="15.75" customHeight="1">
      <c r="A13" s="60"/>
      <c r="B13" s="60"/>
      <c r="C13" s="60"/>
      <c r="D13" s="48"/>
      <c r="E13" s="69" t="s">
        <v>694</v>
      </c>
      <c r="F13" s="68"/>
      <c r="G13" s="68"/>
      <c r="H13" s="151"/>
      <c r="I13" s="23998"/>
      <c r="M13" s="60">
        <v>15</v>
      </c>
    </row>
    <row r="14" spans="1:13" ht="3" customHeight="1">
      <c r="A14" s="60"/>
      <c r="B14" s="60"/>
      <c r="C14" s="60"/>
      <c r="M14" s="60">
        <v>3</v>
      </c>
    </row>
    <row r="15" spans="1:13" ht="29.25" customHeight="1">
      <c r="E15" s="24314" t="s">
        <v>2129</v>
      </c>
      <c r="F15" s="24314"/>
      <c r="G15" s="24314"/>
      <c r="H15" s="24314"/>
      <c r="M15" s="60">
        <v>28</v>
      </c>
    </row>
    <row r="16" spans="1:13" ht="14.25" hidden="1" customHeight="1">
      <c r="A16" s="57" t="s">
        <v>73</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24"/>
  <sheetViews>
    <sheetView showGridLines="0" zoomScale="90" workbookViewId="0">
      <pane xSplit="4" ySplit="11" topLeftCell="E12" activePane="bottomRight" state="frozen"/>
      <selection pane="topRight" activeCell="E1" sqref="E1"/>
      <selection pane="bottomLeft" activeCell="A12" sqref="A12"/>
      <selection pane="bottomRight" activeCell="C21" sqref="C21"/>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9" width="8" style="200" customWidth="1"/>
    <col min="10" max="10" width="9.140625" style="200" hidden="1"/>
  </cols>
  <sheetData>
    <row r="1" spans="3:10" ht="14.25" hidden="1" customHeight="1">
      <c r="J1" s="8" t="s">
        <v>1</v>
      </c>
    </row>
    <row r="2" spans="3:10" ht="14.25" hidden="1" customHeight="1">
      <c r="J2" s="8">
        <v>0</v>
      </c>
    </row>
    <row r="3" spans="3:10" ht="14.25" hidden="1" customHeight="1">
      <c r="J3" s="8">
        <v>0</v>
      </c>
    </row>
    <row r="4" spans="3:10" ht="14.25" hidden="1" customHeight="1">
      <c r="J4" s="8">
        <v>0</v>
      </c>
    </row>
    <row r="5" spans="3:10" ht="14.25" hidden="1" customHeight="1">
      <c r="J5" s="8">
        <v>0</v>
      </c>
    </row>
    <row r="6" spans="3:10" ht="3" customHeight="1">
      <c r="C6" s="31"/>
      <c r="D6" s="9"/>
      <c r="E6" s="9"/>
      <c r="J6" s="8">
        <v>3</v>
      </c>
    </row>
    <row r="7" spans="3:10" ht="23.25" customHeight="1">
      <c r="C7" s="31"/>
      <c r="D7" s="24315" t="s">
        <v>2130</v>
      </c>
      <c r="E7" s="24316"/>
      <c r="F7" s="203"/>
      <c r="J7" s="8">
        <v>22</v>
      </c>
    </row>
    <row r="8" spans="3:10" ht="3" customHeight="1">
      <c r="C8" s="31"/>
      <c r="D8" s="9"/>
      <c r="E8" s="9"/>
      <c r="J8" s="8">
        <v>3</v>
      </c>
    </row>
    <row r="9" spans="3:10" ht="16.899999999999999" customHeight="1">
      <c r="C9" s="31"/>
      <c r="D9" s="44" t="s">
        <v>79</v>
      </c>
      <c r="E9" s="196" t="s">
        <v>2131</v>
      </c>
      <c r="J9" s="8">
        <v>16</v>
      </c>
    </row>
    <row r="10" spans="3:10" ht="1.1499999999999999" customHeight="1">
      <c r="C10" s="31"/>
      <c r="D10" s="26"/>
      <c r="E10" s="26"/>
      <c r="J10" s="8">
        <v>1</v>
      </c>
    </row>
    <row r="11" spans="3:10" ht="11.25" hidden="1" customHeight="1">
      <c r="C11" s="31"/>
      <c r="D11" s="87">
        <v>0</v>
      </c>
      <c r="E11" s="197"/>
      <c r="J11" s="8">
        <v>0</v>
      </c>
    </row>
    <row r="12" spans="3:10" ht="15.75" customHeight="1">
      <c r="C12" s="74"/>
      <c r="D12" s="52">
        <v>1</v>
      </c>
      <c r="E12" s="1983" t="s">
        <v>2132</v>
      </c>
      <c r="J12" s="8">
        <v>15</v>
      </c>
    </row>
    <row r="13" spans="3:10" ht="24" customHeight="1">
      <c r="C13" s="619" t="s">
        <v>96</v>
      </c>
      <c r="D13" s="52" t="s">
        <v>95</v>
      </c>
      <c r="E13" s="313" t="s">
        <v>2133</v>
      </c>
    </row>
    <row r="14" spans="3:10" ht="39.75" customHeight="1">
      <c r="C14" s="619" t="s">
        <v>96</v>
      </c>
      <c r="D14" s="52" t="s">
        <v>81</v>
      </c>
      <c r="E14" s="313" t="s">
        <v>2134</v>
      </c>
    </row>
    <row r="15" spans="3:10" ht="31.5" customHeight="1">
      <c r="C15" s="619" t="s">
        <v>96</v>
      </c>
      <c r="D15" s="52" t="s">
        <v>82</v>
      </c>
      <c r="E15" s="313" t="s">
        <v>2135</v>
      </c>
    </row>
    <row r="16" spans="3:10" ht="36" customHeight="1">
      <c r="C16" s="619" t="s">
        <v>96</v>
      </c>
      <c r="D16" s="52" t="s">
        <v>109</v>
      </c>
      <c r="E16" s="313" t="s">
        <v>2136</v>
      </c>
    </row>
    <row r="17" spans="1:10" ht="42" customHeight="1">
      <c r="C17" s="619" t="s">
        <v>96</v>
      </c>
      <c r="D17" s="52" t="s">
        <v>83</v>
      </c>
      <c r="E17" s="313" t="s">
        <v>2137</v>
      </c>
    </row>
    <row r="18" spans="1:10" ht="41.25" customHeight="1">
      <c r="C18" s="619" t="s">
        <v>96</v>
      </c>
      <c r="D18" s="52" t="s">
        <v>84</v>
      </c>
      <c r="E18" s="313" t="s">
        <v>2138</v>
      </c>
    </row>
    <row r="19" spans="1:10" ht="52.5" customHeight="1">
      <c r="C19" s="619" t="s">
        <v>96</v>
      </c>
      <c r="D19" s="52" t="s">
        <v>90</v>
      </c>
      <c r="E19" s="313" t="s">
        <v>2139</v>
      </c>
    </row>
    <row r="20" spans="1:10" ht="46.5" customHeight="1">
      <c r="C20" s="619" t="s">
        <v>96</v>
      </c>
      <c r="D20" s="52" t="s">
        <v>128</v>
      </c>
      <c r="E20" s="313" t="s">
        <v>2140</v>
      </c>
    </row>
    <row r="21" spans="1:10" ht="12.75" customHeight="1">
      <c r="C21" s="31"/>
      <c r="D21" s="198"/>
      <c r="E21" s="199" t="s">
        <v>2141</v>
      </c>
      <c r="J21" s="8">
        <v>12</v>
      </c>
    </row>
    <row r="22" spans="1:10" ht="3" customHeight="1">
      <c r="J22" s="8">
        <v>3</v>
      </c>
    </row>
    <row r="23" spans="1:10" ht="23.25" customHeight="1">
      <c r="C23" s="75"/>
      <c r="D23" s="24314" t="s">
        <v>2142</v>
      </c>
      <c r="E23" s="24314"/>
      <c r="F23" s="76"/>
      <c r="G23" s="76"/>
      <c r="H23" s="76"/>
      <c r="I23" s="76"/>
      <c r="J23" s="8">
        <v>22</v>
      </c>
    </row>
    <row r="24" spans="1:10" ht="14.25" hidden="1" customHeight="1">
      <c r="A24" s="8" t="s">
        <v>73</v>
      </c>
      <c r="B24" s="8">
        <v>0</v>
      </c>
      <c r="C24" s="30">
        <v>3</v>
      </c>
      <c r="D24" s="8">
        <v>6</v>
      </c>
      <c r="E24" s="8">
        <v>94</v>
      </c>
      <c r="F24" s="8">
        <v>8</v>
      </c>
      <c r="G24" s="8">
        <v>8</v>
      </c>
      <c r="H24" s="8">
        <v>8</v>
      </c>
      <c r="I24" s="8">
        <v>8</v>
      </c>
      <c r="J24" s="8">
        <v>14</v>
      </c>
    </row>
  </sheetData>
  <sheetProtection formatColumns="0" formatRows="0" insertRows="0" deleteColumns="0" deleteRows="0" sort="0" autoFilter="0"/>
  <mergeCells count="2">
    <mergeCell ref="D7:E7"/>
    <mergeCell ref="D23:E23"/>
  </mergeCells>
  <dataValidations count="9">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9">
      <formula1>900</formula1>
    </dataValidation>
    <dataValidation type="textLength" operator="lessThanOrEqual" allowBlank="1" showInputMessage="1" showErrorMessage="1" errorTitle="Ошибка" error="Допускается ввод не более 900 символов!" sqref="E2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25"/>
  <sheetViews>
    <sheetView showGridLines="0" topLeftCell="C6" zoomScale="90" workbookViewId="0">
      <selection activeCell="E23" sqref="E23"/>
    </sheetView>
  </sheetViews>
  <sheetFormatPr defaultColWidth="9.140625" defaultRowHeight="14.25" customHeight="1"/>
  <cols>
    <col min="1" max="2" width="9.140625" style="200" hidden="1"/>
    <col min="3" max="3" width="3" style="30" customWidth="1"/>
    <col min="4" max="4" width="6" style="200" customWidth="1"/>
    <col min="5" max="5" width="94" style="200" customWidth="1"/>
    <col min="6" max="12" width="8" style="200" customWidth="1"/>
    <col min="13" max="13" width="9.140625" style="200" hidden="1"/>
  </cols>
  <sheetData>
    <row r="1" spans="3:13" ht="14.25" hidden="1" customHeight="1">
      <c r="M1" s="8" t="s">
        <v>1</v>
      </c>
    </row>
    <row r="2" spans="3:13" ht="14.25" hidden="1" customHeight="1">
      <c r="M2" s="8">
        <v>0</v>
      </c>
    </row>
    <row r="3" spans="3:13" ht="14.25" hidden="1" customHeight="1">
      <c r="M3" s="8">
        <v>0</v>
      </c>
    </row>
    <row r="4" spans="3:13" ht="14.25" hidden="1" customHeight="1">
      <c r="M4" s="8">
        <v>0</v>
      </c>
    </row>
    <row r="5" spans="3:13" ht="14.25" hidden="1" customHeight="1">
      <c r="M5" s="8">
        <v>0</v>
      </c>
    </row>
    <row r="6" spans="3:13" ht="3" customHeight="1">
      <c r="C6" s="31"/>
      <c r="D6" s="9"/>
      <c r="E6" s="9"/>
      <c r="M6" s="8">
        <v>3</v>
      </c>
    </row>
    <row r="7" spans="3:13" ht="23.25" customHeight="1">
      <c r="C7" s="31"/>
      <c r="D7" s="23932" t="s">
        <v>2143</v>
      </c>
      <c r="E7" s="23932"/>
      <c r="F7" s="203"/>
      <c r="M7" s="8">
        <v>22</v>
      </c>
    </row>
    <row r="8" spans="3:13" ht="3" customHeight="1">
      <c r="C8" s="31"/>
      <c r="D8" s="9"/>
      <c r="E8" s="9"/>
      <c r="M8" s="8">
        <v>3</v>
      </c>
    </row>
    <row r="9" spans="3:13" ht="16.899999999999999" customHeight="1">
      <c r="C9" s="31"/>
      <c r="D9" s="44" t="s">
        <v>79</v>
      </c>
      <c r="E9" s="47" t="s">
        <v>516</v>
      </c>
      <c r="M9" s="8">
        <v>16</v>
      </c>
    </row>
    <row r="10" spans="3:13" ht="12.75" customHeight="1">
      <c r="C10" s="31"/>
      <c r="D10" s="26" t="s">
        <v>218</v>
      </c>
      <c r="E10" s="26" t="s">
        <v>95</v>
      </c>
      <c r="M10" s="8">
        <v>12</v>
      </c>
    </row>
    <row r="11" spans="3:13" ht="15" hidden="1" customHeight="1">
      <c r="C11" s="31"/>
      <c r="D11" s="52">
        <v>0</v>
      </c>
      <c r="E11" s="86"/>
      <c r="M11" s="8">
        <v>0</v>
      </c>
    </row>
    <row r="12" spans="3:13" ht="51" customHeight="1">
      <c r="C12" s="1715" t="s">
        <v>96</v>
      </c>
      <c r="D12" s="52" t="s">
        <v>218</v>
      </c>
      <c r="E12" s="53" t="s">
        <v>2144</v>
      </c>
    </row>
    <row r="13" spans="3:13" ht="72" customHeight="1">
      <c r="C13" s="1715" t="s">
        <v>96</v>
      </c>
      <c r="D13" s="52" t="s">
        <v>95</v>
      </c>
      <c r="E13" s="53" t="s">
        <v>2145</v>
      </c>
    </row>
    <row r="14" spans="3:13" ht="46.5" customHeight="1">
      <c r="C14" s="1715" t="s">
        <v>96</v>
      </c>
      <c r="D14" s="52" t="s">
        <v>81</v>
      </c>
      <c r="E14" s="53" t="s">
        <v>2146</v>
      </c>
    </row>
    <row r="15" spans="3:13" ht="71.25" customHeight="1">
      <c r="C15" s="1715" t="s">
        <v>96</v>
      </c>
      <c r="D15" s="52" t="s">
        <v>82</v>
      </c>
      <c r="E15" s="53" t="s">
        <v>2147</v>
      </c>
    </row>
    <row r="16" spans="3:13" ht="36" customHeight="1">
      <c r="C16" s="1715" t="s">
        <v>96</v>
      </c>
      <c r="D16" s="52" t="s">
        <v>109</v>
      </c>
      <c r="E16" s="53" t="s">
        <v>2148</v>
      </c>
    </row>
    <row r="17" spans="1:13" ht="36" customHeight="1">
      <c r="C17" s="1715" t="s">
        <v>96</v>
      </c>
      <c r="D17" s="52" t="s">
        <v>83</v>
      </c>
      <c r="E17" s="53" t="s">
        <v>2149</v>
      </c>
    </row>
    <row r="18" spans="1:13" ht="52.5" customHeight="1">
      <c r="C18" s="1715" t="s">
        <v>96</v>
      </c>
      <c r="D18" s="52" t="s">
        <v>84</v>
      </c>
      <c r="E18" s="53" t="s">
        <v>2150</v>
      </c>
    </row>
    <row r="19" spans="1:13" ht="48.75" customHeight="1">
      <c r="C19" s="1715" t="s">
        <v>96</v>
      </c>
      <c r="D19" s="52" t="s">
        <v>90</v>
      </c>
      <c r="E19" s="53" t="s">
        <v>2151</v>
      </c>
    </row>
    <row r="20" spans="1:13" ht="31.5" customHeight="1">
      <c r="C20" s="1715" t="s">
        <v>96</v>
      </c>
      <c r="D20" s="52" t="s">
        <v>128</v>
      </c>
      <c r="E20" s="53" t="s">
        <v>2152</v>
      </c>
    </row>
    <row r="21" spans="1:13" ht="43.5" customHeight="1">
      <c r="C21" s="1715" t="s">
        <v>96</v>
      </c>
      <c r="D21" s="52" t="s">
        <v>133</v>
      </c>
      <c r="E21" s="53" t="s">
        <v>2153</v>
      </c>
    </row>
    <row r="22" spans="1:13" ht="39.75" customHeight="1">
      <c r="C22" s="1715" t="s">
        <v>96</v>
      </c>
      <c r="D22" s="52" t="s">
        <v>138</v>
      </c>
      <c r="E22" s="53" t="s">
        <v>2154</v>
      </c>
    </row>
    <row r="23" spans="1:13" ht="41.25" customHeight="1">
      <c r="C23" s="1715" t="s">
        <v>96</v>
      </c>
      <c r="D23" s="52" t="s">
        <v>147</v>
      </c>
      <c r="E23" s="53" t="s">
        <v>2155</v>
      </c>
    </row>
    <row r="24" spans="1:13" ht="14.65" customHeight="1">
      <c r="C24" s="31"/>
      <c r="D24" s="48"/>
      <c r="E24" s="46" t="s">
        <v>2141</v>
      </c>
      <c r="M24" s="8">
        <v>14</v>
      </c>
    </row>
    <row r="25" spans="1:13" ht="14.25" hidden="1" customHeight="1">
      <c r="A25" s="8" t="s">
        <v>73</v>
      </c>
      <c r="B25" s="8">
        <v>0</v>
      </c>
      <c r="C25" s="30">
        <v>3</v>
      </c>
      <c r="D25" s="8">
        <v>6</v>
      </c>
      <c r="E25" s="8">
        <v>94</v>
      </c>
      <c r="F25" s="8">
        <v>8</v>
      </c>
      <c r="G25" s="8">
        <v>8</v>
      </c>
      <c r="H25" s="8">
        <v>8</v>
      </c>
      <c r="I25" s="8">
        <v>8</v>
      </c>
      <c r="J25" s="8">
        <v>8</v>
      </c>
      <c r="K25" s="8">
        <v>8</v>
      </c>
      <c r="L25" s="8">
        <v>8</v>
      </c>
      <c r="M25" s="8">
        <v>14</v>
      </c>
    </row>
  </sheetData>
  <sheetProtection formatColumns="0" formatRows="0" insertRows="0" deleteColumns="0" deleteRows="0" sort="0" autoFilter="0"/>
  <mergeCells count="1">
    <mergeCell ref="D7:E7"/>
  </mergeCells>
  <dataValidations count="13">
    <dataValidation type="textLength" operator="lessThanOrEqual" allowBlank="1" showInputMessage="1" showErrorMessage="1" errorTitle="Ошибка" error="Допускается ввод не более 900 символов!" sqref="E23">
      <formula1>900</formula1>
    </dataValidation>
    <dataValidation type="textLength" operator="lessThanOrEqual" allowBlank="1" showInputMessage="1" showErrorMessage="1" errorTitle="Ошибка" error="Допускается ввод не более 900 символов!" sqref="E22">
      <formula1>900</formula1>
    </dataValidation>
    <dataValidation type="textLength" operator="lessThanOrEqual" allowBlank="1" showInputMessage="1" showErrorMessage="1" errorTitle="Ошибка" error="Допускается ввод не более 900 символов!" sqref="E21">
      <formula1>900</formula1>
    </dataValidation>
    <dataValidation type="textLength" operator="lessThanOrEqual" allowBlank="1" showInputMessage="1" showErrorMessage="1" errorTitle="Ошибка" error="Допускается ввод не более 900 символов!" sqref="E20">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9">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47" customWidth="1"/>
    <col min="2" max="2" width="34.5703125" style="1747" customWidth="1"/>
    <col min="3" max="3" width="85" style="1747" customWidth="1"/>
    <col min="4" max="4" width="17" style="1747" customWidth="1"/>
    <col min="5" max="5" width="8" style="1747" customWidth="1"/>
    <col min="6" max="6" width="9.140625" style="1747" hidden="1"/>
  </cols>
  <sheetData>
    <row r="1" spans="1:6" ht="3" customHeight="1">
      <c r="F1" s="28" t="s">
        <v>1</v>
      </c>
    </row>
    <row r="2" spans="1:6" ht="22.5" customHeight="1">
      <c r="B2" s="24317" t="s">
        <v>2156</v>
      </c>
      <c r="C2" s="24317"/>
      <c r="D2" s="24317"/>
      <c r="E2" s="204"/>
      <c r="F2" s="28">
        <v>22</v>
      </c>
    </row>
    <row r="3" spans="1:6" ht="3" customHeight="1">
      <c r="F3" s="28">
        <v>3</v>
      </c>
    </row>
    <row r="4" spans="1:6" ht="23.25" customHeight="1">
      <c r="B4" s="1987" t="s">
        <v>2157</v>
      </c>
      <c r="C4" s="319" t="s">
        <v>2158</v>
      </c>
      <c r="D4" s="319" t="s">
        <v>2159</v>
      </c>
      <c r="F4" s="28">
        <v>22</v>
      </c>
    </row>
    <row r="5" spans="1:6" ht="11.25" hidden="1" customHeight="1">
      <c r="A5" s="28" t="s">
        <v>73</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528</v>
      </c>
      <c r="J1" s="391" t="s">
        <v>1</v>
      </c>
    </row>
    <row r="2" spans="1:10" ht="11.25" hidden="1" customHeight="1">
      <c r="J2" s="391">
        <v>0</v>
      </c>
    </row>
    <row r="3" spans="1:10" s="413" customFormat="1" ht="11.45" customHeight="1">
      <c r="A3" s="1612"/>
      <c r="B3" s="437"/>
      <c r="D3" s="414"/>
      <c r="J3" s="413">
        <v>11</v>
      </c>
    </row>
    <row r="4" spans="1:10" ht="27.4" customHeight="1">
      <c r="D4" s="24002" t="str">
        <f>ORG_INFO_NAME_FORM</f>
        <v>Форма 1. Информация об организации, осуществляющей горячее водоснабжение (общая информация)</v>
      </c>
      <c r="E4" s="24003"/>
      <c r="F4" s="24004"/>
      <c r="I4" s="651"/>
      <c r="J4" s="391">
        <v>26</v>
      </c>
    </row>
    <row r="5" spans="1:10" ht="18" customHeight="1">
      <c r="D5" s="24042" t="str">
        <f>IF(org=0,"Не определено",org)</f>
        <v>ООО "Смоленскрегионтеплоэнерго"</v>
      </c>
      <c r="E5" s="24042"/>
      <c r="F5" s="24042"/>
      <c r="I5" s="651"/>
      <c r="J5" s="391">
        <v>17</v>
      </c>
    </row>
    <row r="6" spans="1:10" s="413" customFormat="1" ht="11.45" customHeight="1">
      <c r="A6" s="1612"/>
      <c r="B6" s="437"/>
      <c r="D6" s="650"/>
      <c r="E6" s="650"/>
      <c r="F6" s="688"/>
      <c r="G6" s="650"/>
      <c r="J6" s="413">
        <v>11</v>
      </c>
    </row>
    <row r="7" spans="1:10" ht="11.25" hidden="1" customHeight="1">
      <c r="A7" s="393"/>
      <c r="B7" s="438"/>
      <c r="C7" s="393"/>
      <c r="D7" s="399"/>
      <c r="E7" s="24048"/>
      <c r="F7" s="24048"/>
      <c r="J7" s="391">
        <v>0</v>
      </c>
    </row>
    <row r="8" spans="1:10" ht="11.45" customHeight="1">
      <c r="A8" s="393"/>
      <c r="B8" s="438"/>
      <c r="C8" s="393"/>
      <c r="D8" s="24045" t="s">
        <v>529</v>
      </c>
      <c r="E8" s="24046"/>
      <c r="F8" s="24046"/>
      <c r="G8" s="24049" t="s">
        <v>530</v>
      </c>
      <c r="J8" s="391">
        <v>11</v>
      </c>
    </row>
    <row r="9" spans="1:10" ht="11.45" customHeight="1">
      <c r="A9" s="393"/>
      <c r="B9" s="438"/>
      <c r="C9" s="393"/>
      <c r="D9" s="408" t="s">
        <v>79</v>
      </c>
      <c r="E9" s="382" t="s">
        <v>531</v>
      </c>
      <c r="F9" s="382" t="s">
        <v>532</v>
      </c>
      <c r="G9" s="24050"/>
      <c r="J9" s="391">
        <v>11</v>
      </c>
    </row>
    <row r="10" spans="1:10" ht="12" hidden="1" customHeight="1">
      <c r="A10" s="393"/>
      <c r="B10" s="438"/>
      <c r="C10" s="393"/>
      <c r="D10" s="400"/>
      <c r="E10" s="400"/>
      <c r="F10" s="400"/>
      <c r="G10" s="400"/>
      <c r="J10" s="391">
        <v>0</v>
      </c>
    </row>
    <row r="11" spans="1:10" ht="22.5" hidden="1" customHeight="1">
      <c r="A11" s="393"/>
      <c r="B11" s="438"/>
      <c r="C11" s="393"/>
      <c r="D11" s="938" t="s">
        <v>218</v>
      </c>
      <c r="E11" s="941" t="s">
        <v>533</v>
      </c>
      <c r="F11" s="940" t="str">
        <f>IF(region_name="","",region_name)</f>
        <v>Смоленская область</v>
      </c>
      <c r="G11" s="941" t="s">
        <v>534</v>
      </c>
      <c r="H11" s="411"/>
      <c r="J11" s="391">
        <v>0</v>
      </c>
    </row>
    <row r="12" spans="1:10" ht="22.5" hidden="1" customHeight="1">
      <c r="A12" s="393"/>
      <c r="B12" s="438"/>
      <c r="C12" s="393"/>
      <c r="D12" s="381" t="s">
        <v>218</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535</v>
      </c>
      <c r="G12" s="410"/>
      <c r="H12" s="411"/>
      <c r="J12" s="391">
        <v>0</v>
      </c>
    </row>
    <row r="13" spans="1:10" ht="23.25" customHeight="1">
      <c r="A13" s="393"/>
      <c r="B13" s="438"/>
      <c r="C13" s="393"/>
      <c r="D13" s="381" t="s">
        <v>218</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938" t="s">
        <v>536</v>
      </c>
      <c r="E14" s="939" t="s">
        <v>537</v>
      </c>
      <c r="F14" s="940" t="str">
        <f>IF(inn="","",inn)</f>
        <v>6730048214</v>
      </c>
      <c r="G14" s="941" t="s">
        <v>538</v>
      </c>
      <c r="H14" s="411"/>
      <c r="J14" s="391">
        <v>0</v>
      </c>
    </row>
    <row r="15" spans="1:10" ht="22.5" hidden="1" customHeight="1">
      <c r="A15" s="393"/>
      <c r="B15" s="438"/>
      <c r="C15" s="393"/>
      <c r="D15" s="938" t="s">
        <v>539</v>
      </c>
      <c r="E15" s="939" t="s">
        <v>540</v>
      </c>
      <c r="F15" s="940" t="str">
        <f>IF(kpp="","",kpp)</f>
        <v>673101001</v>
      </c>
      <c r="G15" s="941" t="s">
        <v>541</v>
      </c>
      <c r="H15" s="411"/>
      <c r="J15" s="391">
        <v>0</v>
      </c>
    </row>
    <row r="16" spans="1:10" ht="39" customHeight="1">
      <c r="A16" s="393"/>
      <c r="B16" s="438"/>
      <c r="C16" s="393"/>
      <c r="D16" s="381" t="s">
        <v>95</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81</v>
      </c>
      <c r="E17" s="378" t="str">
        <f>"Дата присвоения ОГРН"&amp;IF(TEMPLATE_SPHERE="TKO",""," (ОГРНИП)")</f>
        <v>Дата присвоения ОГРН (ОГРНИП)</v>
      </c>
      <c r="F17" s="1630" t="s">
        <v>17</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82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4043" t="s">
        <v>542</v>
      </c>
      <c r="B19" s="438"/>
      <c r="C19" s="24054"/>
      <c r="D19" s="381" t="str">
        <f>A19</f>
        <v>5.1</v>
      </c>
      <c r="E19" s="378" t="s">
        <v>543</v>
      </c>
      <c r="F19" s="379" t="s">
        <v>535</v>
      </c>
      <c r="G19" s="380" t="s">
        <v>544</v>
      </c>
      <c r="H19" s="411"/>
      <c r="I19" s="782"/>
      <c r="J19" s="391">
        <v>0</v>
      </c>
    </row>
    <row r="20" spans="1:10" ht="24" hidden="1" customHeight="1">
      <c r="A20" s="24043"/>
      <c r="B20" s="438"/>
      <c r="C20" s="24054"/>
      <c r="D20" s="376" t="str">
        <f>D19&amp;".1"</f>
        <v>5.1.1</v>
      </c>
      <c r="E20" s="375" t="s">
        <v>545</v>
      </c>
      <c r="F20" s="810" t="s">
        <v>17</v>
      </c>
      <c r="G20" s="410"/>
      <c r="H20" s="411"/>
      <c r="I20" s="782"/>
      <c r="J20" s="391">
        <v>0</v>
      </c>
    </row>
    <row r="21" spans="1:10" ht="22.5" hidden="1" customHeight="1">
      <c r="A21" s="24043"/>
      <c r="B21" s="438"/>
      <c r="C21" s="24054"/>
      <c r="D21" s="376" t="str">
        <f>D19&amp;".2"</f>
        <v>5.1.2</v>
      </c>
      <c r="E21" s="375" t="s">
        <v>546</v>
      </c>
      <c r="F21" s="1631" t="s">
        <v>17</v>
      </c>
      <c r="G21" s="380" t="s">
        <v>547</v>
      </c>
      <c r="H21" s="411"/>
      <c r="I21" s="782"/>
      <c r="J21" s="391">
        <v>0</v>
      </c>
    </row>
    <row r="22" spans="1:10" ht="22.5" hidden="1" customHeight="1">
      <c r="A22" s="24043"/>
      <c r="B22" s="438"/>
      <c r="C22" s="24054"/>
      <c r="D22" s="376" t="str">
        <f>D19&amp;".3"</f>
        <v>5.1.3</v>
      </c>
      <c r="E22" s="375" t="s">
        <v>548</v>
      </c>
      <c r="F22" s="810" t="s">
        <v>17</v>
      </c>
      <c r="G22" s="410"/>
      <c r="H22" s="411"/>
      <c r="I22" s="782"/>
      <c r="J22" s="391">
        <v>0</v>
      </c>
    </row>
    <row r="23" spans="1:10" ht="22.5" hidden="1" customHeight="1">
      <c r="A23" s="24043"/>
      <c r="B23" s="438"/>
      <c r="C23" s="24054"/>
      <c r="D23" s="376" t="str">
        <f>D19&amp;".4"</f>
        <v>5.1.4</v>
      </c>
      <c r="E23" s="375" t="s">
        <v>549</v>
      </c>
      <c r="F23" s="810" t="s">
        <v>17</v>
      </c>
      <c r="G23" s="380" t="s">
        <v>550</v>
      </c>
      <c r="H23" s="411"/>
      <c r="I23" s="782"/>
      <c r="J23" s="391">
        <v>0</v>
      </c>
    </row>
    <row r="24" spans="1:10" ht="22.5" hidden="1" customHeight="1">
      <c r="A24" s="1872"/>
      <c r="B24" s="438"/>
      <c r="C24" s="428"/>
      <c r="D24" s="403"/>
      <c r="E24" s="1094" t="s">
        <v>551</v>
      </c>
      <c r="F24" s="404"/>
      <c r="G24" s="405"/>
      <c r="H24" s="411"/>
      <c r="I24" s="782"/>
      <c r="J24" s="391">
        <v>0</v>
      </c>
    </row>
    <row r="25" spans="1:10" s="437" customFormat="1" ht="24.75" hidden="1" customHeight="1">
      <c r="A25" s="393"/>
      <c r="B25" s="438"/>
      <c r="C25" s="438"/>
      <c r="D25" s="935" t="s">
        <v>81</v>
      </c>
      <c r="E25" s="937" t="s">
        <v>552</v>
      </c>
      <c r="F25" s="942" t="s">
        <v>535</v>
      </c>
      <c r="G25" s="937"/>
      <c r="J25" s="437">
        <v>0</v>
      </c>
    </row>
    <row r="26" spans="1:10" s="437" customFormat="1" ht="11.25" hidden="1" customHeight="1">
      <c r="A26" s="393"/>
      <c r="B26" s="438"/>
      <c r="C26" s="438"/>
      <c r="D26" s="935" t="s">
        <v>553</v>
      </c>
      <c r="E26" s="936" t="s">
        <v>554</v>
      </c>
      <c r="F26" s="942" t="s">
        <v>535</v>
      </c>
      <c r="G26" s="937"/>
      <c r="J26" s="437">
        <v>0</v>
      </c>
    </row>
    <row r="27" spans="1:10" s="437" customFormat="1" ht="11.25" hidden="1" customHeight="1">
      <c r="A27" s="393"/>
      <c r="B27" s="438"/>
      <c r="C27" s="438"/>
      <c r="D27" s="935" t="s">
        <v>555</v>
      </c>
      <c r="E27" s="943" t="s">
        <v>556</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557</v>
      </c>
      <c r="E28" s="943" t="s">
        <v>558</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559</v>
      </c>
      <c r="E29" s="943" t="s">
        <v>560</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561</v>
      </c>
      <c r="E30" s="936" t="s">
        <v>562</v>
      </c>
      <c r="F30" s="944"/>
      <c r="G30" s="937"/>
      <c r="J30" s="437">
        <v>0</v>
      </c>
    </row>
    <row r="31" spans="1:10" s="437" customFormat="1" ht="11.25" hidden="1" customHeight="1">
      <c r="A31" s="393"/>
      <c r="B31" s="438"/>
      <c r="C31" s="438"/>
      <c r="D31" s="935" t="s">
        <v>563</v>
      </c>
      <c r="E31" s="936" t="s">
        <v>564</v>
      </c>
      <c r="F31" s="944"/>
      <c r="G31" s="937"/>
      <c r="J31" s="437">
        <v>0</v>
      </c>
    </row>
    <row r="32" spans="1:10" s="437" customFormat="1" ht="11.25" hidden="1" customHeight="1">
      <c r="A32" s="393"/>
      <c r="B32" s="438"/>
      <c r="C32" s="438"/>
      <c r="D32" s="935" t="s">
        <v>565</v>
      </c>
      <c r="E32" s="936" t="s">
        <v>566</v>
      </c>
      <c r="F32" s="945"/>
      <c r="G32" s="937"/>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535</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567</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567</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535</v>
      </c>
      <c r="G39" s="2405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531"/>
      <c r="F40" s="810"/>
      <c r="G40" s="24052"/>
      <c r="H40" s="411"/>
      <c r="J40" s="391">
        <v>0</v>
      </c>
    </row>
    <row r="41" spans="1:10" ht="23.25" customHeight="1">
      <c r="A41" s="393"/>
      <c r="B41" s="393"/>
      <c r="C41" s="1614"/>
      <c r="D41" s="376" t="str">
        <f>D39&amp;".1"</f>
        <v>8.1</v>
      </c>
      <c r="E41" s="790"/>
      <c r="F41" s="791"/>
      <c r="G41" s="24052"/>
      <c r="H41" s="411"/>
      <c r="J41" s="391">
        <v>22</v>
      </c>
    </row>
    <row r="42" spans="1:10" ht="15.75" customHeight="1">
      <c r="A42" s="393"/>
      <c r="B42" s="438"/>
      <c r="C42" s="393"/>
      <c r="D42" s="403"/>
      <c r="E42" s="351" t="s">
        <v>568</v>
      </c>
      <c r="F42" s="405"/>
      <c r="G42" s="24053"/>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569</v>
      </c>
      <c r="H44" s="411"/>
      <c r="J44" s="391">
        <v>22</v>
      </c>
    </row>
    <row r="45" spans="1:10" ht="23.25" customHeight="1">
      <c r="A45" s="393"/>
      <c r="B45" s="438"/>
      <c r="C45" s="393"/>
      <c r="D45" s="376">
        <f>D44+1</f>
        <v>11</v>
      </c>
      <c r="E45" s="374" t="s">
        <v>570</v>
      </c>
      <c r="F45" s="379" t="s">
        <v>535</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610"/>
      <c r="G46" s="373" t="s">
        <v>571</v>
      </c>
      <c r="H46" s="411"/>
      <c r="J46" s="391">
        <v>23</v>
      </c>
    </row>
    <row r="47" spans="1:10" ht="24" customHeight="1">
      <c r="A47" s="24043"/>
      <c r="B47" s="438"/>
      <c r="C47" s="428"/>
      <c r="D47" s="376" t="str">
        <f>D45&amp;".2"</f>
        <v>11.2</v>
      </c>
      <c r="E47" s="378" t="s">
        <v>572</v>
      </c>
      <c r="F47" s="426"/>
      <c r="G47" s="373" t="s">
        <v>573</v>
      </c>
      <c r="H47" s="411"/>
      <c r="J47" s="391">
        <v>23</v>
      </c>
    </row>
    <row r="48" spans="1:10" ht="24" customHeight="1">
      <c r="A48" s="24043"/>
      <c r="B48" s="438"/>
      <c r="C48" s="428"/>
      <c r="D48" s="376" t="str">
        <f>D45&amp;".3"</f>
        <v>11.3</v>
      </c>
      <c r="E48" s="378" t="s">
        <v>574</v>
      </c>
      <c r="F48" s="426"/>
      <c r="G48" s="373" t="s">
        <v>575</v>
      </c>
      <c r="H48" s="411"/>
      <c r="J48" s="391">
        <v>23</v>
      </c>
    </row>
    <row r="49" spans="1:10" ht="24" customHeight="1">
      <c r="A49" s="24043"/>
      <c r="B49" s="438"/>
      <c r="C49" s="428"/>
      <c r="D49" s="376" t="str">
        <f>IF(TEMPLATE_SPHERE="TKO",D45&amp;".0",D45&amp;".4")</f>
        <v>11.4</v>
      </c>
      <c r="E49" s="372" t="s">
        <v>576</v>
      </c>
      <c r="F49" s="1611"/>
      <c r="G49" s="1660" t="s">
        <v>577</v>
      </c>
      <c r="H49" s="411"/>
      <c r="J49" s="391">
        <v>23</v>
      </c>
    </row>
    <row r="50" spans="1:10" ht="24" customHeight="1">
      <c r="A50" s="393"/>
      <c r="B50" s="438"/>
      <c r="C50" s="393"/>
      <c r="D50" s="403"/>
      <c r="E50" s="351" t="s">
        <v>578</v>
      </c>
      <c r="F50" s="404"/>
      <c r="G50" s="1660" t="s">
        <v>579</v>
      </c>
      <c r="H50" s="412"/>
      <c r="J50" s="391">
        <v>23</v>
      </c>
    </row>
    <row r="51" spans="1:10" ht="24" customHeight="1">
      <c r="A51" s="788"/>
      <c r="B51" s="438"/>
      <c r="C51" s="428"/>
      <c r="D51" s="376">
        <f>D45+1</f>
        <v>12</v>
      </c>
      <c r="E51" s="464" t="s">
        <v>580</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613"/>
      <c r="B53" s="439"/>
      <c r="C53" s="24044"/>
      <c r="D53" s="2404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4047"/>
      <c r="F53" s="24047"/>
      <c r="G53" s="24047"/>
      <c r="H53" s="390"/>
      <c r="I53" s="390"/>
      <c r="J53" s="396">
        <v>30</v>
      </c>
    </row>
    <row r="54" spans="1:10" s="396" customFormat="1" ht="42" customHeight="1">
      <c r="A54" s="393"/>
      <c r="B54" s="438"/>
      <c r="C54" s="24044"/>
      <c r="D54" s="24047"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4047"/>
      <c r="F54" s="24047"/>
      <c r="G54" s="24047"/>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73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47" customWidth="1"/>
    <col min="2" max="2" width="10" style="1747" customWidth="1"/>
    <col min="3" max="3" width="9.140625" style="1747"/>
    <col min="4" max="4" width="11.140625" style="1747" customWidth="1"/>
    <col min="5" max="5" width="16.5703125" style="1747" customWidth="1"/>
    <col min="6" max="6" width="16.28515625" style="1747" customWidth="1"/>
    <col min="7" max="7" width="19.140625" style="1747" customWidth="1"/>
    <col min="8" max="11" width="10" style="1747" customWidth="1"/>
    <col min="12" max="12" width="12.7109375" style="1747" customWidth="1"/>
    <col min="13" max="13" width="61.28515625" style="1747" customWidth="1"/>
    <col min="14" max="14" width="10" style="1747" customWidth="1"/>
    <col min="15" max="17" width="23.7109375" style="1747" customWidth="1"/>
    <col min="18" max="18" width="11.7109375" style="1747" customWidth="1"/>
    <col min="19" max="19" width="8.5703125" style="1747" customWidth="1"/>
    <col min="20" max="20" width="11.7109375" style="1747" customWidth="1"/>
    <col min="21" max="21" width="8.5703125" style="1747" customWidth="1"/>
    <col min="22" max="22" width="4.7109375" style="1747" customWidth="1"/>
    <col min="23" max="23" width="115.7109375" style="1747" customWidth="1"/>
    <col min="24" max="24" width="115.28515625" style="1747" customWidth="1"/>
    <col min="25" max="27" width="9.140625" style="1747"/>
    <col min="28" max="28" width="115.7109375" style="1747" customWidth="1"/>
    <col min="29" max="29" width="9.140625" style="1747"/>
    <col min="30" max="90" width="115.7109375" style="1747" customWidth="1"/>
    <col min="91" max="184" width="9.140625" style="1747"/>
  </cols>
  <sheetData>
    <row r="2" spans="1:80" s="1713" customFormat="1" ht="17.25" customHeight="1">
      <c r="A2" s="1713" t="s">
        <v>2160</v>
      </c>
    </row>
    <row r="4" spans="1:80" s="200" customFormat="1" ht="15" customHeight="1">
      <c r="C4" s="1714"/>
      <c r="D4" s="52"/>
      <c r="E4" s="313"/>
    </row>
    <row r="6" spans="1:80" s="1713" customFormat="1" ht="17.25" customHeight="1">
      <c r="A6" s="1713" t="s">
        <v>2161</v>
      </c>
    </row>
    <row r="8" spans="1:80" s="200" customFormat="1" ht="17.25" customHeight="1">
      <c r="C8" s="1715"/>
      <c r="D8" s="52"/>
      <c r="E8" s="53"/>
    </row>
    <row r="11" spans="1:80" s="1713" customFormat="1" ht="17.25" customHeight="1">
      <c r="A11" s="1713" t="s">
        <v>2162</v>
      </c>
    </row>
    <row r="13" spans="1:80" s="1717" customFormat="1" ht="15" customHeight="1">
      <c r="A13" s="23935">
        <v>1</v>
      </c>
      <c r="B13" s="1086"/>
      <c r="C13" s="731" t="s">
        <v>96</v>
      </c>
      <c r="D13" s="1716"/>
      <c r="E13" s="1703">
        <f>A13</f>
        <v>1</v>
      </c>
      <c r="F13" s="734"/>
      <c r="G13" s="476" t="str">
        <f>"Территория "&amp;E13</f>
        <v>Территория 1</v>
      </c>
      <c r="H13" s="722"/>
      <c r="I13" s="722"/>
      <c r="J13" s="719"/>
      <c r="K13" s="1550"/>
      <c r="L13" s="1550"/>
      <c r="M13" s="1550"/>
      <c r="N13" s="162"/>
      <c r="O13" s="1550"/>
      <c r="P13" s="161"/>
      <c r="Q13" s="161"/>
      <c r="R13" s="161"/>
      <c r="S13" s="161"/>
    </row>
    <row r="14" spans="1:80" s="1747" customFormat="1" ht="15" customHeight="1">
      <c r="A14" s="23935"/>
      <c r="B14" s="1086">
        <v>1</v>
      </c>
      <c r="C14" s="1086"/>
      <c r="D14" s="730"/>
      <c r="E14" s="1711"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47" customFormat="1" ht="15" customHeight="1">
      <c r="A15" s="23935"/>
      <c r="B15" s="1086"/>
      <c r="C15" s="348"/>
      <c r="D15" s="731"/>
      <c r="E15" s="357"/>
      <c r="F15" s="114"/>
      <c r="G15" s="351" t="s">
        <v>94</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13" customFormat="1" ht="17.25" customHeight="1">
      <c r="A17" s="1713" t="s">
        <v>2163</v>
      </c>
    </row>
    <row r="19" spans="1:80" s="1747" customFormat="1" ht="15" customHeight="1">
      <c r="A19" s="1779"/>
      <c r="B19" s="1292">
        <v>1</v>
      </c>
      <c r="C19" s="1292"/>
      <c r="D19" s="730" t="s">
        <v>96</v>
      </c>
      <c r="E19" s="1775"/>
      <c r="F19" s="1780">
        <f>$F$20</f>
        <v>0</v>
      </c>
      <c r="G19" s="1784"/>
      <c r="H19" s="1784"/>
      <c r="I19" s="1782"/>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47" customFormat="1" ht="15" customHeight="1">
      <c r="A21" s="1713" t="s">
        <v>2164</v>
      </c>
      <c r="B21" s="1713"/>
      <c r="C21" s="1713"/>
      <c r="D21" s="1713"/>
      <c r="E21" s="1713"/>
      <c r="F21" s="1713"/>
      <c r="G21" s="1713"/>
      <c r="H21" s="1713"/>
      <c r="I21" s="1713"/>
      <c r="J21" s="1713"/>
      <c r="K21" s="1713"/>
      <c r="L21" s="1713"/>
      <c r="M21" s="1713"/>
      <c r="N21" s="1713"/>
      <c r="O21" s="1713"/>
      <c r="P21" s="1713"/>
      <c r="Q21" s="1713"/>
      <c r="R21" s="1713"/>
      <c r="S21" s="1713"/>
      <c r="T21" s="1713"/>
      <c r="U21" s="121"/>
      <c r="V21" s="1713"/>
      <c r="W21" s="1713"/>
    </row>
    <row r="22" spans="1:80" s="1747" customFormat="1" ht="15" customHeight="1">
      <c r="U22" s="122"/>
    </row>
    <row r="23" spans="1:80" s="1750" customFormat="1" ht="15" customHeight="1">
      <c r="A23" s="359"/>
      <c r="B23" s="359"/>
      <c r="C23" s="1626" t="s">
        <v>96</v>
      </c>
      <c r="D23" s="23958" t="s">
        <v>218</v>
      </c>
      <c r="E23" s="23959"/>
      <c r="F23" s="23957" t="s">
        <v>6</v>
      </c>
      <c r="G23" s="24349"/>
      <c r="H23" s="23947">
        <v>1</v>
      </c>
      <c r="I23" s="24351" t="str">
        <f>IF(U23="","",INDEX(TERRITORY_MR_LIST,MATCH(U23,TERRITORY_LIST_ID,0)))</f>
        <v/>
      </c>
      <c r="J23" s="23957" t="s">
        <v>6</v>
      </c>
      <c r="K23" s="762"/>
      <c r="L23" s="1680" t="s">
        <v>218</v>
      </c>
      <c r="M23" s="539"/>
      <c r="N23" s="540"/>
      <c r="O23" s="540"/>
      <c r="P23" s="540"/>
      <c r="Q23" s="540"/>
      <c r="R23" s="540"/>
      <c r="S23" s="540"/>
      <c r="T23" s="540"/>
      <c r="U23" s="541"/>
      <c r="V23" s="540"/>
      <c r="W23" s="540"/>
      <c r="X23" s="531"/>
      <c r="Y23" s="531" t="s">
        <v>224</v>
      </c>
      <c r="Z23" s="531">
        <v>1705000</v>
      </c>
      <c r="AA23" s="531"/>
      <c r="AB23" s="531"/>
      <c r="AC23" s="531"/>
      <c r="AD23" s="531"/>
      <c r="AE23" s="531"/>
      <c r="AF23" s="531"/>
      <c r="AG23" s="531"/>
      <c r="AH23" s="531"/>
      <c r="AI23" s="531"/>
      <c r="AJ23" s="531"/>
      <c r="AK23" s="531"/>
      <c r="AL23" s="531"/>
    </row>
    <row r="24" spans="1:80" s="1750" customFormat="1" ht="15" customHeight="1">
      <c r="A24" s="359"/>
      <c r="B24" s="359"/>
      <c r="C24" s="113"/>
      <c r="D24" s="23958"/>
      <c r="E24" s="23960"/>
      <c r="F24" s="23957"/>
      <c r="G24" s="24350"/>
      <c r="H24" s="23947"/>
      <c r="I24" s="24352"/>
      <c r="J24" s="23957"/>
      <c r="K24" s="357"/>
      <c r="L24" s="114"/>
      <c r="M24" s="543" t="s">
        <v>225</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50" customFormat="1" ht="15" customHeight="1">
      <c r="A25" s="359"/>
      <c r="B25" s="359"/>
      <c r="C25" s="113"/>
      <c r="D25" s="23958"/>
      <c r="E25" s="23961"/>
      <c r="F25" s="23957"/>
      <c r="G25" s="357"/>
      <c r="H25" s="114"/>
      <c r="I25" s="516" t="s">
        <v>226</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47" customFormat="1" ht="15" customHeight="1">
      <c r="U26" s="122"/>
    </row>
    <row r="27" spans="1:80" s="1747" customFormat="1" ht="15" customHeight="1">
      <c r="A27" s="1713" t="s">
        <v>2165</v>
      </c>
      <c r="B27" s="1713"/>
      <c r="C27" s="1713"/>
      <c r="D27" s="1713"/>
      <c r="E27" s="1713"/>
      <c r="F27" s="1713"/>
      <c r="G27" s="1713"/>
      <c r="H27" s="1713"/>
      <c r="I27" s="1713"/>
      <c r="J27" s="1713"/>
      <c r="K27" s="1713"/>
      <c r="L27" s="1713"/>
      <c r="M27" s="1713"/>
      <c r="N27" s="1713"/>
      <c r="O27" s="1713"/>
      <c r="P27" s="1713"/>
      <c r="Q27" s="1713"/>
      <c r="R27" s="1713"/>
      <c r="S27" s="1713"/>
      <c r="T27" s="1713"/>
      <c r="U27" s="121"/>
      <c r="V27" s="1713"/>
      <c r="W27" s="1713"/>
    </row>
    <row r="28" spans="1:80" s="1747" customFormat="1" ht="15" customHeight="1">
      <c r="U28" s="122"/>
    </row>
    <row r="29" spans="1:80" s="1750" customFormat="1" ht="15" customHeight="1">
      <c r="A29" s="359"/>
      <c r="B29" s="359"/>
      <c r="C29" s="113"/>
      <c r="D29" s="1718"/>
      <c r="E29" s="1718"/>
      <c r="F29" s="1718"/>
      <c r="G29" s="24353" t="s">
        <v>96</v>
      </c>
      <c r="H29" s="23927">
        <v>1</v>
      </c>
      <c r="I29" s="24354" t="str">
        <f>IF(U29="","",INDEX(TERRITORY_MR_LIST,MATCH(U29,TERRITORY_LIST_ID,0)))</f>
        <v/>
      </c>
      <c r="J29" s="23957" t="s">
        <v>6</v>
      </c>
      <c r="K29" s="762"/>
      <c r="L29" s="1680" t="s">
        <v>218</v>
      </c>
      <c r="M29" s="539"/>
      <c r="N29" s="540"/>
      <c r="O29" s="540"/>
      <c r="P29" s="540"/>
      <c r="Q29" s="540"/>
      <c r="R29" s="540"/>
      <c r="S29" s="540"/>
      <c r="T29" s="540"/>
      <c r="U29" s="541"/>
      <c r="V29" s="540"/>
      <c r="W29" s="540"/>
      <c r="X29" s="531"/>
      <c r="Y29" s="531" t="s">
        <v>224</v>
      </c>
      <c r="Z29" s="531">
        <v>1705000</v>
      </c>
      <c r="AA29" s="531"/>
      <c r="AB29" s="531"/>
      <c r="AC29" s="531"/>
      <c r="AD29" s="531"/>
      <c r="AE29" s="531"/>
      <c r="AF29" s="531"/>
      <c r="AG29" s="531"/>
      <c r="AH29" s="531"/>
      <c r="AI29" s="531"/>
      <c r="AJ29" s="531"/>
      <c r="AK29" s="531"/>
      <c r="AL29" s="531"/>
    </row>
    <row r="30" spans="1:80" s="1750" customFormat="1" ht="15" customHeight="1">
      <c r="A30" s="359"/>
      <c r="B30" s="359"/>
      <c r="C30" s="113"/>
      <c r="D30" s="1718"/>
      <c r="E30" s="1718"/>
      <c r="F30" s="1718"/>
      <c r="G30" s="24353"/>
      <c r="H30" s="23927"/>
      <c r="I30" s="24354"/>
      <c r="J30" s="23957"/>
      <c r="K30" s="357"/>
      <c r="L30" s="114"/>
      <c r="M30" s="543" t="s">
        <v>225</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47" customFormat="1" ht="15" customHeight="1">
      <c r="U31" s="122"/>
    </row>
    <row r="32" spans="1:80" s="1747" customFormat="1" ht="15" customHeight="1">
      <c r="A32" s="1713" t="s">
        <v>2166</v>
      </c>
      <c r="B32" s="1713"/>
      <c r="C32" s="1713"/>
      <c r="D32" s="1713"/>
      <c r="E32" s="1713"/>
      <c r="F32" s="1713"/>
      <c r="G32" s="1713"/>
      <c r="H32" s="1713"/>
      <c r="I32" s="1713"/>
      <c r="J32" s="1713"/>
      <c r="K32" s="1713"/>
      <c r="L32" s="1713"/>
      <c r="M32" s="1713"/>
      <c r="N32" s="1713"/>
      <c r="O32" s="1713"/>
      <c r="P32" s="1713"/>
      <c r="Q32" s="1713"/>
      <c r="R32" s="1713"/>
      <c r="S32" s="1713"/>
      <c r="T32" s="1713"/>
      <c r="U32" s="121"/>
      <c r="V32" s="1713"/>
      <c r="W32" s="1713"/>
    </row>
    <row r="33" spans="1:38" s="1747" customFormat="1" ht="15" customHeight="1">
      <c r="U33" s="122"/>
    </row>
    <row r="34" spans="1:38" s="1750" customFormat="1" ht="15" customHeight="1">
      <c r="A34" s="359"/>
      <c r="B34" s="359"/>
      <c r="C34" s="113"/>
      <c r="D34" s="1718"/>
      <c r="E34" s="1718"/>
      <c r="F34" s="1718"/>
      <c r="G34" s="1718"/>
      <c r="H34" s="1718"/>
      <c r="I34" s="1718"/>
      <c r="J34" s="1718"/>
      <c r="K34" s="1697" t="s">
        <v>96</v>
      </c>
      <c r="L34" s="1627" t="s">
        <v>218</v>
      </c>
      <c r="M34" s="741"/>
      <c r="N34" s="742"/>
      <c r="O34" s="540"/>
      <c r="P34" s="540"/>
      <c r="Q34" s="540"/>
      <c r="R34" s="540"/>
      <c r="S34" s="540"/>
      <c r="T34" s="540"/>
      <c r="U34" s="541"/>
      <c r="V34" s="540"/>
      <c r="W34" s="540"/>
      <c r="X34" s="531"/>
      <c r="Y34" s="531" t="s">
        <v>224</v>
      </c>
      <c r="Z34" s="531">
        <v>1705000</v>
      </c>
      <c r="AA34" s="531"/>
      <c r="AB34" s="531"/>
      <c r="AC34" s="531"/>
      <c r="AD34" s="531"/>
      <c r="AE34" s="531"/>
      <c r="AF34" s="531"/>
      <c r="AG34" s="531"/>
      <c r="AH34" s="531"/>
      <c r="AI34" s="531"/>
      <c r="AJ34" s="531"/>
      <c r="AK34" s="531"/>
      <c r="AL34" s="531"/>
    </row>
    <row r="35" spans="1:38" s="1747" customFormat="1" ht="15" customHeight="1">
      <c r="U35" s="122"/>
    </row>
    <row r="36" spans="1:38" s="1747" customFormat="1" ht="15" customHeight="1">
      <c r="U36" s="122"/>
    </row>
    <row r="37" spans="1:38" s="1713" customFormat="1" ht="11.25" customHeight="1">
      <c r="A37" s="1713" t="s">
        <v>2167</v>
      </c>
    </row>
    <row r="38" spans="1:38" ht="11.25" customHeight="1"/>
    <row r="39" spans="1:38" s="391" customFormat="1" ht="22.5" customHeight="1">
      <c r="A39" s="1689"/>
      <c r="B39" s="393"/>
      <c r="C39" s="789"/>
      <c r="D39" s="376"/>
      <c r="E39" s="790"/>
      <c r="F39" s="1710"/>
      <c r="G39" s="1719"/>
      <c r="H39" s="411"/>
    </row>
    <row r="40" spans="1:38" ht="11.25" customHeight="1"/>
    <row r="41" spans="1:38" s="1713" customFormat="1" ht="11.25" customHeight="1">
      <c r="A41" s="1713" t="s">
        <v>2168</v>
      </c>
    </row>
    <row r="42" spans="1:38" ht="11.25" customHeight="1"/>
    <row r="43" spans="1:38" s="391" customFormat="1" ht="22.5" customHeight="1">
      <c r="A43" s="393"/>
      <c r="B43" s="393"/>
      <c r="C43" s="393"/>
      <c r="D43" s="376"/>
      <c r="E43" s="790"/>
      <c r="F43" s="791"/>
      <c r="G43" s="1719"/>
      <c r="H43" s="411"/>
    </row>
    <row r="44" spans="1:38" ht="11.25" customHeight="1"/>
    <row r="45" spans="1:38" s="1713" customFormat="1" ht="11.25" customHeight="1">
      <c r="A45" s="1713" t="s">
        <v>2169</v>
      </c>
    </row>
    <row r="46" spans="1:38" ht="11.25" customHeight="1"/>
    <row r="47" spans="1:38" s="391" customFormat="1" ht="24" customHeight="1">
      <c r="A47" s="24043" t="s">
        <v>542</v>
      </c>
      <c r="B47" s="438"/>
      <c r="C47" s="24054"/>
      <c r="D47" s="381" t="str">
        <f>A47</f>
        <v>5.1</v>
      </c>
      <c r="E47" s="378" t="s">
        <v>543</v>
      </c>
      <c r="F47" s="1870" t="s">
        <v>535</v>
      </c>
      <c r="G47" s="380" t="s">
        <v>544</v>
      </c>
      <c r="H47" s="411"/>
      <c r="I47" s="782"/>
    </row>
    <row r="48" spans="1:38" s="391" customFormat="1" ht="22.5" customHeight="1">
      <c r="A48" s="24043"/>
      <c r="B48" s="438"/>
      <c r="C48" s="24054"/>
      <c r="D48" s="376" t="str">
        <f>D47&amp;".1"</f>
        <v>5.1.1</v>
      </c>
      <c r="E48" s="375" t="s">
        <v>545</v>
      </c>
      <c r="F48" s="1871" t="s">
        <v>17</v>
      </c>
      <c r="G48" s="410"/>
      <c r="H48" s="411"/>
      <c r="I48" s="782"/>
    </row>
    <row r="49" spans="1:45" s="391" customFormat="1" ht="22.5" customHeight="1">
      <c r="A49" s="24043"/>
      <c r="B49" s="438"/>
      <c r="C49" s="24054"/>
      <c r="D49" s="376" t="str">
        <f>D47&amp;".2"</f>
        <v>5.1.2</v>
      </c>
      <c r="E49" s="375" t="s">
        <v>546</v>
      </c>
      <c r="F49" s="1630" t="s">
        <v>17</v>
      </c>
      <c r="G49" s="380" t="s">
        <v>547</v>
      </c>
      <c r="H49" s="411"/>
      <c r="I49" s="782"/>
    </row>
    <row r="50" spans="1:45" s="391" customFormat="1" ht="22.5" customHeight="1">
      <c r="A50" s="24043"/>
      <c r="B50" s="438"/>
      <c r="C50" s="24054"/>
      <c r="D50" s="376" t="str">
        <f>D47&amp;".3"</f>
        <v>5.1.3</v>
      </c>
      <c r="E50" s="375" t="s">
        <v>548</v>
      </c>
      <c r="F50" s="1871" t="s">
        <v>17</v>
      </c>
      <c r="G50" s="410"/>
      <c r="H50" s="411"/>
      <c r="I50" s="782"/>
    </row>
    <row r="51" spans="1:45" s="391" customFormat="1" ht="22.5" customHeight="1">
      <c r="A51" s="24043"/>
      <c r="B51" s="438"/>
      <c r="C51" s="24054"/>
      <c r="D51" s="376" t="str">
        <f>D47&amp;".4"</f>
        <v>5.1.4</v>
      </c>
      <c r="E51" s="375" t="s">
        <v>549</v>
      </c>
      <c r="F51" s="1871" t="s">
        <v>17</v>
      </c>
      <c r="G51" s="380" t="s">
        <v>550</v>
      </c>
      <c r="H51" s="411"/>
      <c r="I51" s="782"/>
    </row>
    <row r="54" spans="1:45" s="1713" customFormat="1" ht="17.25" customHeight="1">
      <c r="A54" s="1713" t="s">
        <v>2170</v>
      </c>
    </row>
    <row r="56" spans="1:45" s="1538" customFormat="1" ht="18.75" customHeight="1">
      <c r="A56" s="28"/>
      <c r="B56" s="1720"/>
      <c r="C56" s="1720"/>
      <c r="D56" s="1721"/>
      <c r="E56" s="1707"/>
      <c r="F56" s="798">
        <v>13</v>
      </c>
      <c r="G56" s="797"/>
      <c r="H56" s="723"/>
      <c r="I56" s="721"/>
      <c r="J56" s="456" t="s">
        <v>59</v>
      </c>
      <c r="K56" s="1722" t="s">
        <v>17</v>
      </c>
      <c r="L56" s="28"/>
      <c r="M56" s="1562"/>
      <c r="N56" s="1562"/>
      <c r="O56" s="1562"/>
      <c r="P56" s="452" t="s">
        <v>621</v>
      </c>
      <c r="Q56" s="452" t="s">
        <v>622</v>
      </c>
      <c r="R56" s="453" t="s">
        <v>623</v>
      </c>
      <c r="S56" s="1562" t="s">
        <v>624</v>
      </c>
      <c r="T56" s="1562"/>
      <c r="U56" s="1562"/>
      <c r="V56" s="1562"/>
    </row>
    <row r="58" spans="1:45" s="1713" customFormat="1" ht="11.25" customHeight="1">
      <c r="A58" s="1713" t="s">
        <v>2171</v>
      </c>
    </row>
    <row r="60" spans="1:45" s="1561" customFormat="1" ht="14.25" customHeight="1">
      <c r="C60" s="1614"/>
      <c r="D60" s="1766"/>
      <c r="E60" s="1675" t="s">
        <v>17</v>
      </c>
      <c r="F60" s="1765"/>
      <c r="G60" s="786"/>
      <c r="H60" s="1676"/>
      <c r="I60" s="1676"/>
      <c r="J60" s="369"/>
      <c r="K60" s="1760"/>
      <c r="L60" s="368"/>
      <c r="M60" s="1760"/>
      <c r="N60" s="369"/>
      <c r="O60" s="1760"/>
      <c r="P60" s="369"/>
      <c r="Q60" s="1760"/>
      <c r="R60" s="369"/>
      <c r="S60" s="784"/>
      <c r="T60" s="1676"/>
      <c r="U60" s="369"/>
      <c r="V60" s="369"/>
      <c r="W60" s="1764"/>
      <c r="X60" s="1676"/>
      <c r="Y60" s="369"/>
      <c r="Z60" s="369"/>
      <c r="AA60" s="1764"/>
      <c r="AB60" s="1676"/>
      <c r="AC60" s="369"/>
      <c r="AD60" s="1764"/>
      <c r="AE60" s="28"/>
      <c r="AF60" s="28"/>
      <c r="AG60" s="28"/>
      <c r="AH60" s="28"/>
      <c r="AJ60" s="1562"/>
      <c r="AK60" s="1562"/>
      <c r="AL60" s="1562"/>
      <c r="AM60" s="1562"/>
      <c r="AN60" s="1562"/>
      <c r="AO60" s="1562"/>
      <c r="AP60" s="1550" t="s">
        <v>610</v>
      </c>
      <c r="AQ60" s="1550" t="s">
        <v>610</v>
      </c>
      <c r="AR60" s="1562"/>
      <c r="AS60" s="1562"/>
    </row>
    <row r="62" spans="1:45" s="1713" customFormat="1" ht="11.25" customHeight="1">
      <c r="A62" s="1713" t="s">
        <v>2172</v>
      </c>
    </row>
    <row r="64" spans="1:45" s="1720" customFormat="1" ht="15" customHeight="1">
      <c r="A64" s="82" t="s">
        <v>81</v>
      </c>
      <c r="B64" s="64" t="s">
        <v>17</v>
      </c>
      <c r="C64" s="1723"/>
      <c r="D64" s="67"/>
      <c r="E64" s="317"/>
      <c r="F64" s="317"/>
      <c r="G64" s="1701"/>
      <c r="H64" s="1722"/>
      <c r="I64" s="1702"/>
      <c r="K64" s="208"/>
      <c r="L64" s="209"/>
    </row>
    <row r="66" spans="1:30" s="1713" customFormat="1" ht="11.25" customHeight="1">
      <c r="A66" s="1713" t="s">
        <v>2173</v>
      </c>
    </row>
    <row r="68" spans="1:30" s="1561" customFormat="1" ht="14.25" customHeight="1">
      <c r="A68" s="279"/>
      <c r="B68" s="1086"/>
      <c r="C68" s="312"/>
      <c r="D68" s="1708"/>
      <c r="E68" s="815"/>
      <c r="F68" s="1722"/>
      <c r="G68" s="28"/>
      <c r="I68" s="1550"/>
      <c r="J68" s="1550"/>
    </row>
    <row r="70" spans="1:30" s="1713" customFormat="1" ht="11.25" customHeight="1">
      <c r="A70" s="1713" t="s">
        <v>2174</v>
      </c>
    </row>
    <row r="72" spans="1:30" s="1561" customFormat="1" ht="27" customHeight="1">
      <c r="A72" s="1092"/>
      <c r="B72" s="1092"/>
      <c r="C72" s="1092"/>
      <c r="D72" s="1086"/>
      <c r="E72" s="1724"/>
      <c r="F72" s="24318"/>
      <c r="G72" s="24319"/>
      <c r="H72" s="24320" t="s">
        <v>59</v>
      </c>
      <c r="I72" s="24322"/>
      <c r="J72" s="24324"/>
      <c r="K72" s="24326"/>
      <c r="L72" s="24337"/>
      <c r="M72" s="24337"/>
      <c r="N72" s="24357"/>
      <c r="O72" s="24357"/>
      <c r="P72" s="24358" t="e">
        <f>DATEDIF(DATEVALUE(N72),DATEVALUE(O72),"y")&amp;"г. "&amp;DATEDIF(DATEVALUE(N72),DATEVALUE(O72),"ym")&amp;"мес. "&amp;DATEVALUE(O72)-DATE(YEAR(DATEVALUE(O72)),MONTH(DATEVALUE(O72)),1)&amp;"дн. "</f>
        <v>#VALUE!</v>
      </c>
      <c r="Q72" s="24338"/>
      <c r="R72" s="24338"/>
      <c r="S72" s="24338"/>
      <c r="T72" s="24324"/>
      <c r="U72" s="24338"/>
      <c r="V72" s="24338"/>
      <c r="W72" s="24338"/>
      <c r="X72" s="24324"/>
      <c r="Y72" s="24355" t="s">
        <v>59</v>
      </c>
      <c r="Z72" s="1706"/>
      <c r="AA72" s="1690">
        <v>1</v>
      </c>
      <c r="AB72" s="1168"/>
      <c r="AD72" s="1562" t="s">
        <v>2175</v>
      </c>
    </row>
    <row r="73" spans="1:30" s="1561" customFormat="1" ht="10.5" customHeight="1">
      <c r="A73" s="1092"/>
      <c r="B73" s="1092"/>
      <c r="C73" s="1092"/>
      <c r="D73" s="1086"/>
      <c r="E73" s="876"/>
      <c r="F73" s="24318"/>
      <c r="G73" s="24319"/>
      <c r="H73" s="24321"/>
      <c r="I73" s="24323"/>
      <c r="J73" s="24325"/>
      <c r="K73" s="24326"/>
      <c r="L73" s="24337"/>
      <c r="M73" s="24337"/>
      <c r="N73" s="24357"/>
      <c r="O73" s="24357"/>
      <c r="P73" s="24358"/>
      <c r="Q73" s="24338"/>
      <c r="R73" s="24338"/>
      <c r="S73" s="24338"/>
      <c r="T73" s="24325"/>
      <c r="U73" s="24338"/>
      <c r="V73" s="24338"/>
      <c r="W73" s="24338"/>
      <c r="X73" s="24325"/>
      <c r="Y73" s="24356"/>
      <c r="Z73" s="283"/>
      <c r="AA73" s="508"/>
      <c r="AB73" s="588" t="s">
        <v>2176</v>
      </c>
    </row>
    <row r="75" spans="1:30" s="1713" customFormat="1" ht="11.25" customHeight="1">
      <c r="A75" s="1713" t="s">
        <v>2177</v>
      </c>
    </row>
    <row r="77" spans="1:30" s="1561" customFormat="1" ht="27" customHeight="1">
      <c r="A77" s="1092"/>
      <c r="B77" s="1092"/>
      <c r="C77" s="1092"/>
      <c r="D77" s="1086"/>
      <c r="E77" s="1724"/>
      <c r="F77" s="1695"/>
      <c r="G77" s="1645"/>
      <c r="H77" s="1646"/>
      <c r="I77" s="1647"/>
      <c r="J77" s="1648"/>
      <c r="K77" s="1649"/>
      <c r="L77" s="1650"/>
      <c r="M77" s="1650"/>
      <c r="N77" s="1651"/>
      <c r="O77" s="1651"/>
      <c r="P77" s="1652"/>
      <c r="Q77" s="1653"/>
      <c r="R77" s="1653"/>
      <c r="S77" s="1653"/>
      <c r="T77" s="1648"/>
      <c r="U77" s="1653"/>
      <c r="V77" s="1653"/>
      <c r="W77" s="1653"/>
      <c r="X77" s="1648"/>
      <c r="Y77" s="1646"/>
      <c r="Z77" s="1706"/>
      <c r="AA77" s="1690">
        <v>1</v>
      </c>
      <c r="AB77" s="1168"/>
      <c r="AD77" s="1562" t="s">
        <v>2175</v>
      </c>
    </row>
    <row r="79" spans="1:30" s="1713" customFormat="1" ht="11.25" customHeight="1">
      <c r="A79" s="1713" t="s">
        <v>2178</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882"/>
      <c r="AM81" s="1720"/>
      <c r="AN81" s="1720"/>
      <c r="AO81" s="1720"/>
      <c r="AP81" s="1720"/>
      <c r="AQ81" s="1720"/>
      <c r="AR81" s="1720"/>
      <c r="AS81" s="1720"/>
      <c r="AT81" s="1720"/>
      <c r="AU81" s="1720"/>
      <c r="AV81" s="1720"/>
      <c r="AW81" s="1720"/>
      <c r="AX81" s="1720"/>
      <c r="AY81" s="1720"/>
      <c r="AZ81" s="1720"/>
      <c r="BA81" s="1720"/>
      <c r="BB81" s="1720"/>
      <c r="BC81" s="1720"/>
      <c r="BD81" s="1720"/>
      <c r="BE81" s="1720"/>
      <c r="BF81" s="1720"/>
    </row>
    <row r="82" spans="1:58" s="1561" customFormat="1" ht="0.75" customHeight="1">
      <c r="A82" s="1092"/>
      <c r="B82" s="1092"/>
      <c r="C82" s="1092"/>
      <c r="D82" s="1086"/>
      <c r="E82" s="1096"/>
      <c r="F82" s="24361"/>
      <c r="G82" s="24278"/>
      <c r="H82" s="24364" t="s">
        <v>605</v>
      </c>
      <c r="I82" s="24365"/>
      <c r="J82" s="24330"/>
      <c r="K82" s="24330"/>
      <c r="L82" s="24359"/>
      <c r="M82" s="24085"/>
      <c r="N82" s="1930"/>
      <c r="O82" s="1929"/>
      <c r="P82" s="1930"/>
      <c r="Q82" s="1930"/>
      <c r="R82" s="1930"/>
      <c r="S82" s="1930"/>
      <c r="T82" s="1930"/>
      <c r="U82" s="1930"/>
      <c r="V82" s="1930"/>
      <c r="W82" s="1930"/>
      <c r="X82" s="1930"/>
      <c r="Y82" s="1930"/>
      <c r="Z82" s="1930"/>
      <c r="AA82" s="1930"/>
      <c r="AB82" s="1930"/>
      <c r="AC82" s="1930"/>
      <c r="AD82" s="1930"/>
      <c r="AE82" s="1930"/>
      <c r="AF82" s="24363"/>
      <c r="AG82" s="24359"/>
      <c r="AH82" s="24359"/>
      <c r="AI82" s="24363"/>
      <c r="AJ82" s="24359"/>
      <c r="AK82" s="24359"/>
      <c r="AL82" s="1882"/>
      <c r="AM82" s="1720"/>
      <c r="AN82" s="1720"/>
      <c r="AO82" s="1720"/>
      <c r="AP82" s="1720"/>
      <c r="AQ82" s="1720"/>
      <c r="AR82" s="1720"/>
      <c r="AS82" s="1720"/>
      <c r="AT82" s="1720"/>
      <c r="AU82" s="1720"/>
      <c r="AV82" s="1720"/>
      <c r="AW82" s="1720"/>
      <c r="AX82" s="1720"/>
      <c r="AY82" s="1720"/>
      <c r="AZ82" s="1720"/>
      <c r="BA82" s="1720"/>
      <c r="BB82" s="1720"/>
      <c r="BC82" s="1720"/>
      <c r="BD82" s="1720"/>
      <c r="BE82" s="1720"/>
      <c r="BF82" s="1720"/>
    </row>
    <row r="83" spans="1:58" s="1561" customFormat="1" ht="0.75" customHeight="1">
      <c r="A83" s="1092"/>
      <c r="B83" s="1092"/>
      <c r="C83" s="1092"/>
      <c r="D83" s="1086"/>
      <c r="E83" s="1096"/>
      <c r="F83" s="24361"/>
      <c r="G83" s="24278"/>
      <c r="H83" s="24364"/>
      <c r="I83" s="24365"/>
      <c r="J83" s="24330"/>
      <c r="K83" s="24330"/>
      <c r="L83" s="24359"/>
      <c r="M83" s="24085"/>
      <c r="N83" s="24366"/>
      <c r="O83" s="24367"/>
      <c r="P83" s="24327"/>
      <c r="Q83" s="24330"/>
      <c r="R83" s="24330"/>
      <c r="S83" s="24330"/>
      <c r="T83" s="24330"/>
      <c r="U83" s="24330"/>
      <c r="V83" s="24330"/>
      <c r="W83" s="24330"/>
      <c r="X83" s="24330"/>
      <c r="Y83" s="24330"/>
      <c r="Z83" s="1931"/>
      <c r="AA83" s="1932"/>
      <c r="AB83" s="1932"/>
      <c r="AC83" s="1933"/>
      <c r="AD83" s="1933"/>
      <c r="AE83" s="1934"/>
      <c r="AF83" s="24363"/>
      <c r="AG83" s="24359"/>
      <c r="AH83" s="24359"/>
      <c r="AI83" s="24363"/>
      <c r="AJ83" s="24359"/>
      <c r="AK83" s="24359"/>
      <c r="AL83" s="1882"/>
      <c r="AM83" s="1720"/>
      <c r="AN83" s="1720"/>
      <c r="AO83" s="1720"/>
      <c r="AP83" s="1720"/>
      <c r="AQ83" s="1720"/>
      <c r="AR83" s="1720"/>
      <c r="AS83" s="1720"/>
      <c r="AT83" s="1720"/>
      <c r="AU83" s="1720"/>
      <c r="AV83" s="1720"/>
      <c r="AW83" s="1720"/>
      <c r="AX83" s="1720"/>
      <c r="AY83" s="1720"/>
      <c r="AZ83" s="1720"/>
      <c r="BA83" s="1720"/>
      <c r="BB83" s="1720"/>
      <c r="BC83" s="1720"/>
      <c r="BD83" s="1720"/>
      <c r="BE83" s="1720"/>
      <c r="BF83" s="1720"/>
    </row>
    <row r="84" spans="1:58" s="1561" customFormat="1" ht="0.75" customHeight="1">
      <c r="A84" s="1092"/>
      <c r="B84" s="1092"/>
      <c r="C84" s="1092"/>
      <c r="D84" s="1086"/>
      <c r="E84" s="1096"/>
      <c r="F84" s="24361"/>
      <c r="G84" s="24278"/>
      <c r="H84" s="24364"/>
      <c r="I84" s="24365"/>
      <c r="J84" s="24330"/>
      <c r="K84" s="24330"/>
      <c r="L84" s="24359"/>
      <c r="M84" s="24085"/>
      <c r="N84" s="24366"/>
      <c r="O84" s="24367"/>
      <c r="P84" s="24328"/>
      <c r="Q84" s="24330"/>
      <c r="R84" s="24330"/>
      <c r="S84" s="24330"/>
      <c r="T84" s="24330"/>
      <c r="U84" s="24330"/>
      <c r="V84" s="24330"/>
      <c r="W84" s="24330"/>
      <c r="X84" s="24330"/>
      <c r="Y84" s="24330"/>
      <c r="Z84" s="1935"/>
      <c r="AA84" s="1936"/>
      <c r="AB84" s="1937"/>
      <c r="AC84" s="1938"/>
      <c r="AD84" s="1937"/>
      <c r="AE84" s="1938"/>
      <c r="AF84" s="24363"/>
      <c r="AG84" s="24359"/>
      <c r="AH84" s="24359"/>
      <c r="AI84" s="24363"/>
      <c r="AJ84" s="24359"/>
      <c r="AK84" s="24359"/>
      <c r="AL84" s="1882"/>
      <c r="AM84" s="1720"/>
      <c r="AN84" s="1720"/>
      <c r="AO84" s="1720"/>
      <c r="AP84" s="1720"/>
      <c r="AQ84" s="1720"/>
      <c r="AR84" s="1720"/>
      <c r="AS84" s="1720"/>
      <c r="AT84" s="1720"/>
      <c r="AU84" s="1720"/>
      <c r="AV84" s="1720"/>
      <c r="AW84" s="1720"/>
      <c r="AX84" s="1720"/>
      <c r="AY84" s="1720"/>
      <c r="AZ84" s="1720"/>
      <c r="BA84" s="1720"/>
      <c r="BB84" s="1720"/>
      <c r="BC84" s="1720"/>
      <c r="BD84" s="1720"/>
      <c r="BE84" s="1720"/>
      <c r="BF84" s="1720"/>
    </row>
    <row r="85" spans="1:58" s="1561" customFormat="1" ht="0.75" customHeight="1">
      <c r="A85" s="1092"/>
      <c r="B85" s="1092"/>
      <c r="C85" s="1092"/>
      <c r="D85" s="1086"/>
      <c r="E85" s="1096"/>
      <c r="F85" s="24361"/>
      <c r="G85" s="24278"/>
      <c r="H85" s="24364"/>
      <c r="I85" s="24365"/>
      <c r="J85" s="24330"/>
      <c r="K85" s="24330"/>
      <c r="L85" s="24359"/>
      <c r="M85" s="24085"/>
      <c r="N85" s="24366"/>
      <c r="O85" s="24367"/>
      <c r="P85" s="24329"/>
      <c r="Q85" s="24330"/>
      <c r="R85" s="24330"/>
      <c r="S85" s="24330"/>
      <c r="T85" s="24330"/>
      <c r="U85" s="24330"/>
      <c r="V85" s="24330"/>
      <c r="W85" s="24330"/>
      <c r="X85" s="24330"/>
      <c r="Y85" s="24330"/>
      <c r="Z85" s="1931"/>
      <c r="AA85" s="1932"/>
      <c r="AB85" s="1939"/>
      <c r="AC85" s="1933"/>
      <c r="AD85" s="1933"/>
      <c r="AE85" s="1940"/>
      <c r="AF85" s="24363"/>
      <c r="AG85" s="24359"/>
      <c r="AH85" s="24359"/>
      <c r="AI85" s="24363"/>
      <c r="AJ85" s="24359"/>
      <c r="AK85" s="24359"/>
      <c r="AL85" s="1882"/>
      <c r="AM85" s="1720"/>
      <c r="AN85" s="1720"/>
      <c r="AO85" s="1720"/>
      <c r="AP85" s="1720"/>
      <c r="AQ85" s="1720"/>
      <c r="AR85" s="1720"/>
      <c r="AS85" s="1720"/>
      <c r="AT85" s="1720"/>
      <c r="AU85" s="1720"/>
      <c r="AV85" s="1720"/>
      <c r="AW85" s="1720"/>
      <c r="AX85" s="1720"/>
      <c r="AY85" s="1720"/>
      <c r="AZ85" s="1720"/>
      <c r="BA85" s="1720"/>
      <c r="BB85" s="1720"/>
      <c r="BC85" s="1720"/>
      <c r="BD85" s="1720"/>
      <c r="BE85" s="1720"/>
      <c r="BF85" s="1720"/>
    </row>
    <row r="86" spans="1:58" s="1561" customFormat="1" ht="0.75" customHeight="1">
      <c r="A86" s="1092"/>
      <c r="B86" s="1092"/>
      <c r="C86" s="1092"/>
      <c r="D86" s="1086"/>
      <c r="E86" s="1096"/>
      <c r="F86" s="24361"/>
      <c r="G86" s="24278"/>
      <c r="H86" s="24364"/>
      <c r="I86" s="24365"/>
      <c r="J86" s="24330"/>
      <c r="K86" s="24330"/>
      <c r="L86" s="24359"/>
      <c r="M86" s="24085"/>
      <c r="N86" s="1932"/>
      <c r="O86" s="1932"/>
      <c r="P86" s="1939"/>
      <c r="Q86" s="1932"/>
      <c r="R86" s="1932"/>
      <c r="S86" s="1932"/>
      <c r="T86" s="1932"/>
      <c r="U86" s="1932"/>
      <c r="V86" s="1932"/>
      <c r="W86" s="1932"/>
      <c r="X86" s="1932"/>
      <c r="Y86" s="1932"/>
      <c r="Z86" s="1932"/>
      <c r="AA86" s="1932"/>
      <c r="AB86" s="1932"/>
      <c r="AC86" s="1932"/>
      <c r="AD86" s="1932"/>
      <c r="AE86" s="1941"/>
      <c r="AF86" s="24363"/>
      <c r="AG86" s="24359"/>
      <c r="AH86" s="24359"/>
      <c r="AI86" s="24363"/>
      <c r="AJ86" s="24359"/>
      <c r="AK86" s="24359"/>
      <c r="AL86" s="1882"/>
      <c r="AM86" s="1720"/>
      <c r="AN86" s="1720"/>
      <c r="AO86" s="1720"/>
      <c r="AP86" s="1720"/>
      <c r="AQ86" s="1720"/>
      <c r="AR86" s="1720"/>
      <c r="AS86" s="1720"/>
      <c r="AT86" s="1720"/>
      <c r="AU86" s="1720"/>
      <c r="AV86" s="1720"/>
      <c r="AW86" s="1720"/>
      <c r="AX86" s="1720"/>
      <c r="AY86" s="1720"/>
      <c r="AZ86" s="1720"/>
      <c r="BA86" s="1720"/>
      <c r="BB86" s="1720"/>
      <c r="BC86" s="1720"/>
      <c r="BD86" s="1720"/>
      <c r="BE86" s="1720"/>
      <c r="BF86" s="1720"/>
    </row>
    <row r="87" spans="1:58" s="1561" customFormat="1" ht="12" customHeight="1">
      <c r="A87" s="1092"/>
      <c r="B87" s="1092"/>
      <c r="C87" s="1092"/>
      <c r="D87" s="1086"/>
      <c r="E87" s="1096"/>
      <c r="F87" s="24362"/>
      <c r="G87" s="1116"/>
      <c r="H87" s="1116"/>
      <c r="I87" s="24360" t="s">
        <v>2179</v>
      </c>
      <c r="J87" s="24360"/>
      <c r="K87" s="24360"/>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882"/>
      <c r="AM87" s="1720"/>
      <c r="AN87" s="1720"/>
      <c r="AO87" s="1720"/>
      <c r="AP87" s="1720"/>
      <c r="AQ87" s="1720"/>
      <c r="AR87" s="1720"/>
      <c r="AS87" s="1720"/>
      <c r="AT87" s="1720"/>
      <c r="AU87" s="1720"/>
      <c r="AV87" s="1720"/>
      <c r="AW87" s="1720"/>
      <c r="AX87" s="1720"/>
      <c r="AY87" s="1720"/>
      <c r="AZ87" s="1720"/>
      <c r="BA87" s="1720"/>
      <c r="BB87" s="1720"/>
      <c r="BC87" s="1720"/>
      <c r="BD87" s="1720"/>
      <c r="BE87" s="1720"/>
      <c r="BF87" s="1720"/>
    </row>
    <row r="89" spans="1:58" s="1713" customFormat="1" ht="11.25" customHeight="1">
      <c r="A89" s="1713" t="s">
        <v>2180</v>
      </c>
    </row>
    <row r="91" spans="1:58" s="1561" customFormat="1" ht="11.25" customHeight="1">
      <c r="A91" s="1092"/>
      <c r="B91" s="1092"/>
      <c r="C91" s="1092"/>
      <c r="D91" s="1086"/>
      <c r="E91" s="1096"/>
      <c r="F91" s="1726"/>
      <c r="G91" s="1727"/>
      <c r="H91" s="1727"/>
      <c r="I91" s="1662"/>
      <c r="J91" s="1662"/>
      <c r="K91" s="1728"/>
      <c r="L91" s="1662"/>
      <c r="M91" s="1727"/>
      <c r="N91" s="24331"/>
      <c r="O91" s="24332">
        <v>1</v>
      </c>
      <c r="P91" s="24333" t="s">
        <v>6</v>
      </c>
      <c r="Q91" s="24242" t="s">
        <v>17</v>
      </c>
      <c r="R91" s="24242" t="s">
        <v>17</v>
      </c>
      <c r="S91" s="24242" t="s">
        <v>17</v>
      </c>
      <c r="T91" s="24242" t="s">
        <v>17</v>
      </c>
      <c r="U91" s="24242" t="s">
        <v>17</v>
      </c>
      <c r="V91" s="24242" t="s">
        <v>17</v>
      </c>
      <c r="W91" s="24242" t="s">
        <v>17</v>
      </c>
      <c r="X91" s="24242" t="s">
        <v>17</v>
      </c>
      <c r="Y91" s="24242"/>
      <c r="Z91" s="1101"/>
      <c r="AA91" s="1102"/>
      <c r="AB91" s="1102"/>
      <c r="AC91" s="1106"/>
      <c r="AD91" s="1106"/>
      <c r="AE91" s="1106"/>
      <c r="AF91" s="1729"/>
      <c r="AG91" s="1657"/>
      <c r="AH91" s="1657"/>
      <c r="AI91" s="1729"/>
      <c r="AJ91" s="1657"/>
      <c r="AK91" s="1881"/>
      <c r="AL91" s="1882"/>
      <c r="AM91" s="1720"/>
      <c r="AN91" s="1720"/>
      <c r="AO91" s="1720"/>
      <c r="AP91" s="1720"/>
      <c r="AQ91" s="1720"/>
      <c r="AR91" s="1720"/>
      <c r="AS91" s="1720"/>
      <c r="AT91" s="1720"/>
      <c r="AU91" s="1720"/>
      <c r="AV91" s="1720"/>
      <c r="AW91" s="1720"/>
      <c r="AX91" s="1720"/>
      <c r="AY91" s="1720"/>
      <c r="AZ91" s="1720"/>
      <c r="BA91" s="1720"/>
      <c r="BB91" s="1720"/>
      <c r="BC91" s="1720"/>
      <c r="BD91" s="1720"/>
      <c r="BE91" s="1720"/>
      <c r="BF91" s="1720"/>
    </row>
    <row r="92" spans="1:58" s="1561" customFormat="1" ht="11.25" customHeight="1">
      <c r="A92" s="1092"/>
      <c r="B92" s="1092"/>
      <c r="C92" s="1092"/>
      <c r="D92" s="1086"/>
      <c r="E92" s="1096"/>
      <c r="F92" s="1726"/>
      <c r="G92" s="1727"/>
      <c r="H92" s="1727"/>
      <c r="I92" s="1663"/>
      <c r="J92" s="1663"/>
      <c r="K92" s="1728"/>
      <c r="L92" s="1663"/>
      <c r="M92" s="1727"/>
      <c r="N92" s="24331"/>
      <c r="O92" s="24332"/>
      <c r="P92" s="24334"/>
      <c r="Q92" s="24242"/>
      <c r="R92" s="24242"/>
      <c r="S92" s="24336"/>
      <c r="T92" s="24242"/>
      <c r="U92" s="24242"/>
      <c r="V92" s="24242"/>
      <c r="W92" s="24242"/>
      <c r="X92" s="24242"/>
      <c r="Y92" s="24242"/>
      <c r="Z92" s="1725"/>
      <c r="AA92" s="1692">
        <v>1</v>
      </c>
      <c r="AB92" s="1105"/>
      <c r="AC92" s="1095"/>
      <c r="AD92" s="1105">
        <f>AB92</f>
        <v>0</v>
      </c>
      <c r="AE92" s="660"/>
      <c r="AF92" s="1728"/>
      <c r="AG92" s="1657"/>
      <c r="AH92" s="1657"/>
      <c r="AI92" s="1728"/>
      <c r="AJ92" s="1657"/>
      <c r="AK92" s="1881"/>
      <c r="AL92" s="1882"/>
      <c r="AM92" s="1720"/>
      <c r="AN92" s="1720"/>
      <c r="AO92" s="1720"/>
      <c r="AP92" s="1720"/>
      <c r="AQ92" s="1720"/>
      <c r="AR92" s="1720"/>
      <c r="AS92" s="1720"/>
      <c r="AT92" s="1720"/>
      <c r="AU92" s="1720"/>
      <c r="AV92" s="1720"/>
      <c r="AW92" s="1720"/>
      <c r="AX92" s="1720"/>
      <c r="AY92" s="1720"/>
      <c r="AZ92" s="1720"/>
      <c r="BA92" s="1720"/>
      <c r="BB92" s="1720"/>
      <c r="BC92" s="1720"/>
      <c r="BD92" s="1720"/>
      <c r="BE92" s="1720"/>
      <c r="BF92" s="1720"/>
    </row>
    <row r="93" spans="1:58" s="1561" customFormat="1" ht="11.25" customHeight="1">
      <c r="A93" s="1092"/>
      <c r="B93" s="1092"/>
      <c r="C93" s="1092"/>
      <c r="D93" s="1086"/>
      <c r="E93" s="1096"/>
      <c r="F93" s="1726"/>
      <c r="G93" s="1727"/>
      <c r="H93" s="1727"/>
      <c r="I93" s="1664"/>
      <c r="J93" s="1664"/>
      <c r="K93" s="1728"/>
      <c r="L93" s="1664"/>
      <c r="M93" s="1727"/>
      <c r="N93" s="24331"/>
      <c r="O93" s="24332"/>
      <c r="P93" s="24335"/>
      <c r="Q93" s="24242"/>
      <c r="R93" s="24242"/>
      <c r="S93" s="24336"/>
      <c r="T93" s="24242"/>
      <c r="U93" s="24242"/>
      <c r="V93" s="24242"/>
      <c r="W93" s="24242"/>
      <c r="X93" s="24242"/>
      <c r="Y93" s="24242"/>
      <c r="Z93" s="1101"/>
      <c r="AA93" s="1102"/>
      <c r="AB93" s="1167" t="s">
        <v>2181</v>
      </c>
      <c r="AC93" s="1106"/>
      <c r="AD93" s="1106"/>
      <c r="AE93" s="1106"/>
      <c r="AF93" s="1730"/>
      <c r="AG93" s="1657"/>
      <c r="AH93" s="1657"/>
      <c r="AI93" s="1730"/>
      <c r="AJ93" s="1657"/>
      <c r="AK93" s="1881"/>
      <c r="AL93" s="1882"/>
      <c r="AM93" s="1720"/>
      <c r="AN93" s="1720"/>
      <c r="AO93" s="1720"/>
      <c r="AP93" s="1720"/>
      <c r="AQ93" s="1720"/>
      <c r="AR93" s="1720"/>
      <c r="AS93" s="1720"/>
      <c r="AT93" s="1720"/>
      <c r="AU93" s="1720"/>
      <c r="AV93" s="1720"/>
      <c r="AW93" s="1720"/>
      <c r="AX93" s="1720"/>
      <c r="AY93" s="1720"/>
      <c r="AZ93" s="1720"/>
      <c r="BA93" s="1720"/>
      <c r="BB93" s="1720"/>
      <c r="BC93" s="1720"/>
      <c r="BD93" s="1720"/>
      <c r="BE93" s="1720"/>
      <c r="BF93" s="1720"/>
    </row>
    <row r="95" spans="1:58" s="1713" customFormat="1" ht="11.25" customHeight="1">
      <c r="A95" s="1713" t="s">
        <v>2182</v>
      </c>
    </row>
    <row r="97" spans="1:184" s="1561" customFormat="1" ht="11.25" customHeight="1">
      <c r="A97" s="1092"/>
      <c r="B97" s="1092"/>
      <c r="C97" s="1092"/>
      <c r="D97" s="1086"/>
      <c r="E97" s="1096"/>
      <c r="F97" s="1727"/>
      <c r="G97" s="1727"/>
      <c r="H97" s="1727"/>
      <c r="I97" s="1727"/>
      <c r="J97" s="1727"/>
      <c r="K97" s="1727"/>
      <c r="L97" s="1727"/>
      <c r="M97" s="1727"/>
      <c r="N97" s="1727"/>
      <c r="O97" s="1727"/>
      <c r="P97" s="1727"/>
      <c r="Q97" s="1727"/>
      <c r="R97" s="1727"/>
      <c r="S97" s="1727"/>
      <c r="T97" s="1727"/>
      <c r="U97" s="1727"/>
      <c r="V97" s="1727"/>
      <c r="W97" s="1727"/>
      <c r="X97" s="1727"/>
      <c r="Y97" s="1727"/>
      <c r="Z97" s="1731"/>
      <c r="AA97" s="1712">
        <v>1</v>
      </c>
      <c r="AB97" s="1105"/>
      <c r="AC97" s="1095"/>
      <c r="AD97" s="1105">
        <f>AB97</f>
        <v>0</v>
      </c>
      <c r="AE97" s="1095"/>
      <c r="AF97" s="1728"/>
      <c r="AG97" s="1657"/>
      <c r="AH97" s="1657"/>
      <c r="AI97" s="1728"/>
      <c r="AJ97" s="1657"/>
      <c r="AK97" s="1881"/>
      <c r="AL97" s="1882"/>
      <c r="AM97" s="1720"/>
      <c r="AN97" s="1720"/>
      <c r="AO97" s="1720"/>
      <c r="AP97" s="1720"/>
      <c r="AQ97" s="1720"/>
      <c r="AR97" s="1720"/>
      <c r="AS97" s="1720"/>
      <c r="AT97" s="1720"/>
      <c r="AU97" s="1720"/>
      <c r="AV97" s="1720"/>
      <c r="AW97" s="1720"/>
      <c r="AX97" s="1720"/>
      <c r="AY97" s="1720"/>
      <c r="AZ97" s="1720"/>
      <c r="BA97" s="1720"/>
      <c r="BB97" s="1720"/>
      <c r="BC97" s="1720"/>
      <c r="BD97" s="1720"/>
      <c r="BE97" s="1720"/>
      <c r="BF97" s="1720"/>
    </row>
    <row r="99" spans="1:184" s="1713" customFormat="1" ht="11.25" customHeight="1">
      <c r="A99" s="1713" t="s">
        <v>2183</v>
      </c>
    </row>
    <row r="101" spans="1:184" s="1561" customFormat="1" ht="11.25" customHeight="1">
      <c r="A101" s="1092"/>
      <c r="B101" s="1092"/>
      <c r="C101" s="1092"/>
      <c r="D101" s="1086"/>
      <c r="E101" s="1096"/>
      <c r="F101" s="1726"/>
      <c r="G101" s="1727"/>
      <c r="H101" s="24278" t="s">
        <v>218</v>
      </c>
      <c r="I101" s="24380"/>
      <c r="J101" s="24311"/>
      <c r="K101" s="24378"/>
      <c r="L101" s="23957" t="s">
        <v>6</v>
      </c>
      <c r="M101" s="23958"/>
      <c r="N101" s="1880"/>
      <c r="O101" s="1103" t="s">
        <v>605</v>
      </c>
      <c r="P101" s="1104"/>
      <c r="Q101" s="1104"/>
      <c r="R101" s="1104"/>
      <c r="S101" s="1104"/>
      <c r="T101" s="1104"/>
      <c r="U101" s="1104"/>
      <c r="V101" s="1104"/>
      <c r="W101" s="1104"/>
      <c r="X101" s="1104"/>
      <c r="Y101" s="1104"/>
      <c r="Z101" s="1104"/>
      <c r="AA101" s="1104"/>
      <c r="AB101" s="1104"/>
      <c r="AC101" s="1104"/>
      <c r="AD101" s="1104"/>
      <c r="AE101" s="1104"/>
      <c r="AF101" s="24381"/>
      <c r="AG101" s="24382"/>
      <c r="AH101" s="24382"/>
      <c r="AI101" s="24381"/>
      <c r="AJ101" s="24382"/>
      <c r="AK101" s="24382"/>
      <c r="AL101" s="1882"/>
      <c r="AM101" s="1720"/>
      <c r="AN101" s="1720"/>
      <c r="AO101" s="1720"/>
      <c r="AP101" s="1720"/>
      <c r="AQ101" s="1720"/>
      <c r="AR101" s="1720"/>
      <c r="AS101" s="1720"/>
      <c r="AT101" s="1720"/>
      <c r="AU101" s="1720"/>
      <c r="AV101" s="1720"/>
      <c r="AW101" s="1720"/>
      <c r="AX101" s="1720"/>
      <c r="AY101" s="1720"/>
      <c r="AZ101" s="1720"/>
      <c r="BA101" s="1720"/>
      <c r="BB101" s="1720"/>
      <c r="BC101" s="1720"/>
      <c r="BD101" s="1720"/>
      <c r="BE101" s="1720"/>
      <c r="BF101" s="1720"/>
    </row>
    <row r="102" spans="1:184" s="1561" customFormat="1" ht="11.25" customHeight="1">
      <c r="A102" s="1092"/>
      <c r="B102" s="1092"/>
      <c r="C102" s="1092"/>
      <c r="D102" s="1086"/>
      <c r="E102" s="1096"/>
      <c r="F102" s="1726"/>
      <c r="G102" s="1727"/>
      <c r="H102" s="24278"/>
      <c r="I102" s="24380"/>
      <c r="J102" s="24311"/>
      <c r="K102" s="24378"/>
      <c r="L102" s="23957"/>
      <c r="M102" s="23958"/>
      <c r="N102" s="24331"/>
      <c r="O102" s="24383">
        <v>1</v>
      </c>
      <c r="P102" s="24333" t="s">
        <v>6</v>
      </c>
      <c r="Q102" s="24242" t="s">
        <v>17</v>
      </c>
      <c r="R102" s="24242" t="s">
        <v>17</v>
      </c>
      <c r="S102" s="24242" t="s">
        <v>17</v>
      </c>
      <c r="T102" s="24242" t="s">
        <v>17</v>
      </c>
      <c r="U102" s="24242" t="s">
        <v>17</v>
      </c>
      <c r="V102" s="24242" t="s">
        <v>17</v>
      </c>
      <c r="W102" s="24242" t="s">
        <v>17</v>
      </c>
      <c r="X102" s="24242" t="s">
        <v>17</v>
      </c>
      <c r="Y102" s="24242"/>
      <c r="Z102" s="1101"/>
      <c r="AA102" s="1102"/>
      <c r="AB102" s="1102"/>
      <c r="AC102" s="1106"/>
      <c r="AD102" s="1106"/>
      <c r="AE102" s="1107"/>
      <c r="AF102" s="24381"/>
      <c r="AG102" s="24382"/>
      <c r="AH102" s="24382"/>
      <c r="AI102" s="24381"/>
      <c r="AJ102" s="24382"/>
      <c r="AK102" s="24382"/>
      <c r="AL102" s="1882"/>
      <c r="AM102" s="1720"/>
      <c r="AN102" s="1720"/>
      <c r="AO102" s="1720"/>
      <c r="AP102" s="1720"/>
      <c r="AQ102" s="1720"/>
      <c r="AR102" s="1720"/>
      <c r="AS102" s="1720"/>
      <c r="AT102" s="1720"/>
      <c r="AU102" s="1720"/>
      <c r="AV102" s="1720"/>
      <c r="AW102" s="1720"/>
      <c r="AX102" s="1720"/>
      <c r="AY102" s="1720"/>
      <c r="AZ102" s="1720"/>
      <c r="BA102" s="1720"/>
      <c r="BB102" s="1720"/>
      <c r="BC102" s="1720"/>
      <c r="BD102" s="1720"/>
      <c r="BE102" s="1720"/>
      <c r="BF102" s="1720"/>
    </row>
    <row r="103" spans="1:184" s="1561" customFormat="1" ht="11.25" customHeight="1">
      <c r="A103" s="1092"/>
      <c r="B103" s="1092"/>
      <c r="C103" s="1092"/>
      <c r="D103" s="1086"/>
      <c r="E103" s="1096"/>
      <c r="F103" s="1726"/>
      <c r="G103" s="1727"/>
      <c r="H103" s="24278"/>
      <c r="I103" s="24380"/>
      <c r="J103" s="24311"/>
      <c r="K103" s="24378"/>
      <c r="L103" s="23957"/>
      <c r="M103" s="23958"/>
      <c r="N103" s="24331"/>
      <c r="O103" s="24383"/>
      <c r="P103" s="24334"/>
      <c r="Q103" s="24242"/>
      <c r="R103" s="24242"/>
      <c r="S103" s="24336"/>
      <c r="T103" s="24242"/>
      <c r="U103" s="24242"/>
      <c r="V103" s="24242"/>
      <c r="W103" s="24242"/>
      <c r="X103" s="24242"/>
      <c r="Y103" s="24242"/>
      <c r="Z103" s="1725"/>
      <c r="AA103" s="1692">
        <v>1</v>
      </c>
      <c r="AB103" s="1105"/>
      <c r="AC103" s="1095"/>
      <c r="AD103" s="1105">
        <f>AB103</f>
        <v>0</v>
      </c>
      <c r="AE103" s="1095"/>
      <c r="AF103" s="24381"/>
      <c r="AG103" s="24382"/>
      <c r="AH103" s="24382"/>
      <c r="AI103" s="24381"/>
      <c r="AJ103" s="24382"/>
      <c r="AK103" s="24382"/>
      <c r="AL103" s="1882"/>
      <c r="AM103" s="1720"/>
      <c r="AN103" s="1720"/>
      <c r="AO103" s="1720"/>
      <c r="AP103" s="1720"/>
      <c r="AQ103" s="1720"/>
      <c r="AR103" s="1720"/>
      <c r="AS103" s="1720"/>
      <c r="AT103" s="1720"/>
      <c r="AU103" s="1720"/>
      <c r="AV103" s="1720"/>
      <c r="AW103" s="1720"/>
      <c r="AX103" s="1720"/>
      <c r="AY103" s="1720"/>
      <c r="AZ103" s="1720"/>
      <c r="BA103" s="1720"/>
      <c r="BB103" s="1720"/>
      <c r="BC103" s="1720"/>
      <c r="BD103" s="1720"/>
      <c r="BE103" s="1720"/>
      <c r="BF103" s="1720"/>
    </row>
    <row r="104" spans="1:184" s="1561" customFormat="1" ht="11.25" customHeight="1">
      <c r="A104" s="1092"/>
      <c r="B104" s="1092"/>
      <c r="C104" s="1092"/>
      <c r="D104" s="1086"/>
      <c r="E104" s="1096"/>
      <c r="F104" s="1726"/>
      <c r="G104" s="1727"/>
      <c r="H104" s="24278"/>
      <c r="I104" s="24380"/>
      <c r="J104" s="24311"/>
      <c r="K104" s="24378"/>
      <c r="L104" s="23957"/>
      <c r="M104" s="23958"/>
      <c r="N104" s="24331"/>
      <c r="O104" s="24383"/>
      <c r="P104" s="24335"/>
      <c r="Q104" s="24242"/>
      <c r="R104" s="24242"/>
      <c r="S104" s="24336"/>
      <c r="T104" s="24242"/>
      <c r="U104" s="24242"/>
      <c r="V104" s="24242"/>
      <c r="W104" s="24242"/>
      <c r="X104" s="24242"/>
      <c r="Y104" s="24242"/>
      <c r="Z104" s="1101"/>
      <c r="AA104" s="1102"/>
      <c r="AB104" s="1167" t="s">
        <v>2181</v>
      </c>
      <c r="AC104" s="1106"/>
      <c r="AD104" s="1106"/>
      <c r="AE104" s="1108"/>
      <c r="AF104" s="24381"/>
      <c r="AG104" s="24382"/>
      <c r="AH104" s="24382"/>
      <c r="AI104" s="24381"/>
      <c r="AJ104" s="24382"/>
      <c r="AK104" s="24382"/>
      <c r="AL104" s="1882"/>
      <c r="AM104" s="1720"/>
      <c r="AN104" s="1720"/>
      <c r="AO104" s="1720"/>
      <c r="AP104" s="1720"/>
      <c r="AQ104" s="1720"/>
      <c r="AR104" s="1720"/>
      <c r="AS104" s="1720"/>
      <c r="AT104" s="1720"/>
      <c r="AU104" s="1720"/>
      <c r="AV104" s="1720"/>
      <c r="AW104" s="1720"/>
      <c r="AX104" s="1720"/>
      <c r="AY104" s="1720"/>
      <c r="AZ104" s="1720"/>
      <c r="BA104" s="1720"/>
      <c r="BB104" s="1720"/>
      <c r="BC104" s="1720"/>
      <c r="BD104" s="1720"/>
      <c r="BE104" s="1720"/>
      <c r="BF104" s="1720"/>
    </row>
    <row r="105" spans="1:184" s="1561" customFormat="1" ht="11.25" customHeight="1">
      <c r="A105" s="1092"/>
      <c r="B105" s="1092"/>
      <c r="C105" s="1092"/>
      <c r="D105" s="1086"/>
      <c r="E105" s="1096"/>
      <c r="F105" s="1726"/>
      <c r="G105" s="1727"/>
      <c r="H105" s="24278"/>
      <c r="I105" s="24380"/>
      <c r="J105" s="24311"/>
      <c r="K105" s="24378"/>
      <c r="L105" s="23957"/>
      <c r="M105" s="23958"/>
      <c r="N105" s="1101"/>
      <c r="O105" s="1102"/>
      <c r="P105" s="1094" t="s">
        <v>2184</v>
      </c>
      <c r="Q105" s="1102"/>
      <c r="R105" s="1102"/>
      <c r="S105" s="1102"/>
      <c r="T105" s="1102"/>
      <c r="U105" s="1102"/>
      <c r="V105" s="1102"/>
      <c r="W105" s="1102"/>
      <c r="X105" s="1102"/>
      <c r="Y105" s="1102"/>
      <c r="Z105" s="1102"/>
      <c r="AA105" s="1102"/>
      <c r="AB105" s="1102"/>
      <c r="AC105" s="1102"/>
      <c r="AD105" s="1102"/>
      <c r="AE105" s="1109"/>
      <c r="AF105" s="24381"/>
      <c r="AG105" s="24382"/>
      <c r="AH105" s="24382"/>
      <c r="AI105" s="24381"/>
      <c r="AJ105" s="24382"/>
      <c r="AK105" s="24382"/>
      <c r="AL105" s="1882"/>
      <c r="AM105" s="1720"/>
      <c r="AN105" s="1720"/>
      <c r="AO105" s="1720"/>
      <c r="AP105" s="1720"/>
      <c r="AQ105" s="1720"/>
      <c r="AR105" s="1720"/>
      <c r="AS105" s="1720"/>
      <c r="AT105" s="1720"/>
      <c r="AU105" s="1720"/>
      <c r="AV105" s="1720"/>
      <c r="AW105" s="1720"/>
      <c r="AX105" s="1720"/>
      <c r="AY105" s="1720"/>
      <c r="AZ105" s="1720"/>
      <c r="BA105" s="1720"/>
      <c r="BB105" s="1720"/>
      <c r="BC105" s="1720"/>
      <c r="BD105" s="1720"/>
      <c r="BE105" s="1720"/>
      <c r="BF105" s="1720"/>
    </row>
    <row r="107" spans="1:184" s="1713" customFormat="1" ht="11.25" customHeight="1">
      <c r="A107" s="1713" t="s">
        <v>2185</v>
      </c>
    </row>
    <row r="108" spans="1:184" ht="17.25" customHeight="1"/>
    <row r="109" spans="1:184" s="854" customFormat="1" ht="21" customHeight="1">
      <c r="A109" s="1093"/>
      <c r="B109" s="869"/>
      <c r="D109" s="853"/>
      <c r="E109" s="868" t="s">
        <v>17</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32"/>
      <c r="F110" s="1134">
        <v>1</v>
      </c>
      <c r="G110" s="1135"/>
      <c r="H110" s="1136"/>
      <c r="I110" s="1876"/>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698" t="s">
        <v>2186</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13" customFormat="1" ht="11.25" customHeight="1">
      <c r="A113" s="1713" t="s">
        <v>2187</v>
      </c>
    </row>
    <row r="115" spans="1:83" s="1747" customFormat="1" ht="15" customHeight="1">
      <c r="A115" s="559"/>
      <c r="B115" s="560"/>
      <c r="C115" s="560"/>
      <c r="D115" s="24339" t="s">
        <v>218</v>
      </c>
      <c r="E115" s="24224" t="s">
        <v>214</v>
      </c>
      <c r="F115" s="24225"/>
      <c r="G115" s="24226"/>
      <c r="H115" s="24220" t="str">
        <f>IF(A115="","",INDEX(DIFFERENTIATION_UNMERGE_VD,MATCH(A115,DIFFERENTIATION_ID_DIFF,0)))</f>
        <v/>
      </c>
      <c r="I115" s="24220"/>
      <c r="J115" s="24220"/>
      <c r="K115" s="24220"/>
      <c r="L115" s="24220"/>
      <c r="M115" s="24220"/>
      <c r="N115" s="24220"/>
      <c r="O115" s="24220"/>
      <c r="P115" s="24220"/>
      <c r="Q115" s="24220"/>
      <c r="R115" s="24220"/>
      <c r="S115" s="655"/>
      <c r="T115" s="652"/>
      <c r="U115" s="561"/>
      <c r="V115" s="561"/>
      <c r="W115" s="562"/>
      <c r="X115" s="562"/>
      <c r="Y115" s="562"/>
      <c r="Z115" s="562"/>
      <c r="AA115" s="563"/>
      <c r="AB115" s="564"/>
      <c r="AC115" s="24223"/>
      <c r="AD115" s="565"/>
      <c r="AE115" s="566" t="s">
        <v>17</v>
      </c>
      <c r="AF115" s="566"/>
      <c r="AG115" s="567" t="s">
        <v>859</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47" customFormat="1" ht="15" customHeight="1">
      <c r="A116" s="559"/>
      <c r="B116" s="560"/>
      <c r="C116" s="560"/>
      <c r="D116" s="24340"/>
      <c r="E116" s="24224" t="s">
        <v>814</v>
      </c>
      <c r="F116" s="24225"/>
      <c r="G116" s="24226"/>
      <c r="H116" s="24220" t="str">
        <f>IF(A115="","",INDEX(DIFFERENTIATION_UNMERGE_AREA,MATCH(A115,DIFFERENTIATION_ID_DIFF,0)))</f>
        <v/>
      </c>
      <c r="I116" s="24220"/>
      <c r="J116" s="24220"/>
      <c r="K116" s="24220"/>
      <c r="L116" s="24220"/>
      <c r="M116" s="24220"/>
      <c r="N116" s="24220"/>
      <c r="O116" s="24220"/>
      <c r="P116" s="24220"/>
      <c r="Q116" s="24220"/>
      <c r="R116" s="24220"/>
      <c r="S116" s="655"/>
      <c r="T116" s="652"/>
      <c r="U116" s="561"/>
      <c r="V116" s="561"/>
      <c r="W116" s="562"/>
      <c r="X116" s="562"/>
      <c r="Y116" s="562"/>
      <c r="Z116" s="562"/>
      <c r="AA116" s="563"/>
      <c r="AB116" s="564"/>
      <c r="AC116" s="24223"/>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47" customFormat="1" ht="15" customHeight="1">
      <c r="A117" s="559"/>
      <c r="B117" s="560"/>
      <c r="C117" s="560"/>
      <c r="D117" s="24340"/>
      <c r="E117" s="24224" t="s">
        <v>815</v>
      </c>
      <c r="F117" s="24225"/>
      <c r="G117" s="24226"/>
      <c r="H117" s="24220" t="str">
        <f>IF(A115="","",INDEX(DIFFERENTIATION_UNMERGE_SYSTEM,MATCH(A115,DIFFERENTIATION_ID_DIFF,0)))</f>
        <v/>
      </c>
      <c r="I117" s="24220"/>
      <c r="J117" s="24220"/>
      <c r="K117" s="24220"/>
      <c r="L117" s="24220"/>
      <c r="M117" s="24220"/>
      <c r="N117" s="24220"/>
      <c r="O117" s="24220"/>
      <c r="P117" s="24220"/>
      <c r="Q117" s="24220"/>
      <c r="R117" s="24220"/>
      <c r="S117" s="655"/>
      <c r="T117" s="652"/>
      <c r="U117" s="561"/>
      <c r="V117" s="561"/>
      <c r="W117" s="562"/>
      <c r="X117" s="562"/>
      <c r="Y117" s="562"/>
      <c r="Z117" s="562"/>
      <c r="AA117" s="563"/>
      <c r="AB117" s="564"/>
      <c r="AC117" s="24223"/>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47" customFormat="1" ht="24.75" customHeight="1">
      <c r="A118" s="1704"/>
      <c r="B118" s="1086"/>
      <c r="C118" s="348"/>
      <c r="D118" s="24340"/>
      <c r="E118" s="24222" t="s">
        <v>860</v>
      </c>
      <c r="F118" s="24222"/>
      <c r="G118" s="24222"/>
      <c r="H118" s="24222"/>
      <c r="I118" s="24222"/>
      <c r="J118" s="24222"/>
      <c r="K118" s="24222"/>
      <c r="L118" s="24222"/>
      <c r="M118" s="24222"/>
      <c r="N118" s="24222"/>
      <c r="O118" s="24222"/>
      <c r="P118" s="24222"/>
      <c r="Q118" s="494">
        <f>SUMIF(T119:T120,"i",Q119:Q120)</f>
        <v>0</v>
      </c>
      <c r="R118" s="946"/>
      <c r="S118" s="1696" t="s">
        <v>861</v>
      </c>
      <c r="T118" s="653" t="s">
        <v>862</v>
      </c>
      <c r="U118" s="24092">
        <v>1</v>
      </c>
      <c r="V118" s="24092" t="s">
        <v>825</v>
      </c>
      <c r="W118" s="1086"/>
      <c r="X118" s="1086"/>
      <c r="Y118" s="1086"/>
      <c r="Z118" s="1086"/>
      <c r="AA118" s="1562"/>
      <c r="AB118" s="1086"/>
      <c r="AC118" s="24223"/>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47" customFormat="1" ht="11.25" hidden="1" customHeight="1">
      <c r="A119" s="1691"/>
      <c r="B119" s="1562"/>
      <c r="C119" s="1562"/>
      <c r="D119" s="24340"/>
      <c r="E119" s="571"/>
      <c r="F119" s="571">
        <v>0</v>
      </c>
      <c r="G119" s="571"/>
      <c r="H119" s="571"/>
      <c r="I119" s="571"/>
      <c r="J119" s="571"/>
      <c r="K119" s="571"/>
      <c r="L119" s="571"/>
      <c r="M119" s="571"/>
      <c r="N119" s="571"/>
      <c r="O119" s="571"/>
      <c r="P119" s="571"/>
      <c r="Q119" s="571"/>
      <c r="R119" s="571"/>
      <c r="S119" s="572"/>
      <c r="T119" s="654"/>
      <c r="U119" s="24092"/>
      <c r="V119" s="24092"/>
      <c r="W119" s="1562"/>
      <c r="X119" s="1562"/>
      <c r="Y119" s="1562"/>
      <c r="Z119" s="1562"/>
      <c r="AA119" s="1562"/>
      <c r="AB119" s="1086"/>
      <c r="AC119" s="24223"/>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47" customFormat="1" ht="11.25" customHeight="1">
      <c r="A120" s="1704"/>
      <c r="B120" s="1086"/>
      <c r="C120" s="348"/>
      <c r="D120" s="24340"/>
      <c r="E120" s="585" t="s">
        <v>17</v>
      </c>
      <c r="F120" s="1094" t="s">
        <v>17</v>
      </c>
      <c r="G120" s="1094" t="s">
        <v>2188</v>
      </c>
      <c r="H120" s="587" t="s">
        <v>17</v>
      </c>
      <c r="I120" s="587"/>
      <c r="J120" s="587"/>
      <c r="K120" s="587"/>
      <c r="L120" s="587"/>
      <c r="M120" s="587"/>
      <c r="N120" s="587"/>
      <c r="O120" s="587"/>
      <c r="P120" s="587"/>
      <c r="Q120" s="587"/>
      <c r="R120" s="588"/>
      <c r="S120" s="589"/>
      <c r="T120" s="654"/>
      <c r="U120" s="24092"/>
      <c r="V120" s="24092"/>
      <c r="W120" s="1086"/>
      <c r="X120" s="1086"/>
      <c r="Y120" s="1086"/>
      <c r="Z120" s="1086"/>
      <c r="AA120" s="1562"/>
      <c r="AB120" s="1086"/>
      <c r="AC120" s="24223"/>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47" customFormat="1" ht="24.75" customHeight="1">
      <c r="A121" s="1704"/>
      <c r="B121" s="1086"/>
      <c r="C121" s="348"/>
      <c r="D121" s="24340"/>
      <c r="E121" s="24222" t="s">
        <v>863</v>
      </c>
      <c r="F121" s="24222"/>
      <c r="G121" s="24222"/>
      <c r="H121" s="24222"/>
      <c r="I121" s="24222"/>
      <c r="J121" s="24222"/>
      <c r="K121" s="24222"/>
      <c r="L121" s="24222"/>
      <c r="M121" s="24222"/>
      <c r="N121" s="24222"/>
      <c r="O121" s="24222"/>
      <c r="P121" s="24222"/>
      <c r="Q121" s="494">
        <f>SUMIF(T122:T123,"i",Q122:Q123)</f>
        <v>0</v>
      </c>
      <c r="R121" s="946"/>
      <c r="S121" s="1696" t="s">
        <v>864</v>
      </c>
      <c r="T121" s="653" t="s">
        <v>862</v>
      </c>
      <c r="U121" s="24092">
        <v>1</v>
      </c>
      <c r="V121" s="24092" t="s">
        <v>825</v>
      </c>
      <c r="W121" s="1086"/>
      <c r="X121" s="1086"/>
      <c r="Y121" s="1086"/>
      <c r="Z121" s="1086"/>
      <c r="AA121" s="1562"/>
      <c r="AB121" s="1086"/>
      <c r="AC121" s="1694"/>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47" customFormat="1" ht="11.25" hidden="1" customHeight="1">
      <c r="A122" s="1691"/>
      <c r="B122" s="1562"/>
      <c r="C122" s="1562"/>
      <c r="D122" s="24340"/>
      <c r="E122" s="571"/>
      <c r="F122" s="571">
        <v>0</v>
      </c>
      <c r="G122" s="571"/>
      <c r="H122" s="571"/>
      <c r="I122" s="571"/>
      <c r="J122" s="571"/>
      <c r="K122" s="571"/>
      <c r="L122" s="571"/>
      <c r="M122" s="571"/>
      <c r="N122" s="571"/>
      <c r="O122" s="571"/>
      <c r="P122" s="571"/>
      <c r="Q122" s="571"/>
      <c r="R122" s="571"/>
      <c r="S122" s="572"/>
      <c r="T122" s="654"/>
      <c r="U122" s="24092"/>
      <c r="V122" s="24092"/>
      <c r="W122" s="1562"/>
      <c r="X122" s="1562"/>
      <c r="Y122" s="1562"/>
      <c r="Z122" s="1562"/>
      <c r="AA122" s="1562"/>
      <c r="AB122" s="1086"/>
      <c r="AC122" s="1694"/>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47" customFormat="1" ht="11.25" customHeight="1">
      <c r="A123" s="1704"/>
      <c r="B123" s="1086"/>
      <c r="C123" s="348"/>
      <c r="D123" s="24341"/>
      <c r="E123" s="585" t="s">
        <v>17</v>
      </c>
      <c r="F123" s="1094" t="s">
        <v>17</v>
      </c>
      <c r="G123" s="1094" t="s">
        <v>2188</v>
      </c>
      <c r="H123" s="587" t="s">
        <v>17</v>
      </c>
      <c r="I123" s="587"/>
      <c r="J123" s="587"/>
      <c r="K123" s="587"/>
      <c r="L123" s="587"/>
      <c r="M123" s="587"/>
      <c r="N123" s="587"/>
      <c r="O123" s="587"/>
      <c r="P123" s="587"/>
      <c r="Q123" s="587"/>
      <c r="R123" s="588"/>
      <c r="S123" s="589"/>
      <c r="T123" s="654"/>
      <c r="U123" s="24092"/>
      <c r="V123" s="24092"/>
      <c r="W123" s="1086"/>
      <c r="X123" s="1086"/>
      <c r="Y123" s="1086"/>
      <c r="Z123" s="1086"/>
      <c r="AA123" s="1562"/>
      <c r="AB123" s="1086"/>
      <c r="AC123" s="1694"/>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13" customFormat="1" ht="11.25" customHeight="1">
      <c r="A125" s="1713" t="s">
        <v>2189</v>
      </c>
    </row>
    <row r="127" spans="1:83" s="1747" customFormat="1" ht="15" customHeight="1">
      <c r="A127" s="559"/>
      <c r="B127" s="560"/>
      <c r="C127" s="560"/>
      <c r="D127" s="24339" t="s">
        <v>218</v>
      </c>
      <c r="E127" s="24224" t="s">
        <v>214</v>
      </c>
      <c r="F127" s="24225"/>
      <c r="G127" s="24226"/>
      <c r="H127" s="24220" t="str">
        <f>IF(A127="","",INDEX(DIFFERENTIATION_UNMERGE_VD,MATCH(A127,DIFFERENTIATION_ID_DIFF,0)))</f>
        <v/>
      </c>
      <c r="I127" s="24220"/>
      <c r="J127" s="24220"/>
      <c r="K127" s="24220"/>
      <c r="L127" s="24220"/>
      <c r="M127" s="24220"/>
      <c r="N127" s="24220"/>
      <c r="O127" s="24220"/>
      <c r="P127" s="24220"/>
      <c r="Q127" s="24220"/>
      <c r="R127" s="24220"/>
      <c r="S127" s="655"/>
      <c r="T127" s="652"/>
      <c r="U127" s="561"/>
      <c r="V127" s="561"/>
      <c r="W127" s="562"/>
      <c r="X127" s="562"/>
      <c r="Y127" s="562"/>
      <c r="Z127" s="562"/>
      <c r="AA127" s="563"/>
      <c r="AB127" s="564"/>
      <c r="AC127" s="24223"/>
      <c r="AD127" s="565"/>
      <c r="AE127" s="566" t="s">
        <v>17</v>
      </c>
      <c r="AF127" s="566"/>
      <c r="AG127" s="567" t="s">
        <v>859</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47" customFormat="1" ht="15" customHeight="1">
      <c r="A128" s="559"/>
      <c r="B128" s="560"/>
      <c r="C128" s="560"/>
      <c r="D128" s="24340"/>
      <c r="E128" s="24224" t="s">
        <v>814</v>
      </c>
      <c r="F128" s="24225"/>
      <c r="G128" s="24226"/>
      <c r="H128" s="24220" t="str">
        <f>IF(A127="","",INDEX(DIFFERENTIATION_UNMERGE_AREA,MATCH(A127,DIFFERENTIATION_ID_DIFF,0)))</f>
        <v/>
      </c>
      <c r="I128" s="24220"/>
      <c r="J128" s="24220"/>
      <c r="K128" s="24220"/>
      <c r="L128" s="24220"/>
      <c r="M128" s="24220"/>
      <c r="N128" s="24220"/>
      <c r="O128" s="24220"/>
      <c r="P128" s="24220"/>
      <c r="Q128" s="24220"/>
      <c r="R128" s="24220"/>
      <c r="S128" s="655"/>
      <c r="T128" s="652"/>
      <c r="U128" s="561"/>
      <c r="V128" s="561"/>
      <c r="W128" s="562"/>
      <c r="X128" s="562"/>
      <c r="Y128" s="562"/>
      <c r="Z128" s="562"/>
      <c r="AA128" s="563"/>
      <c r="AB128" s="564"/>
      <c r="AC128" s="24223"/>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47" customFormat="1" ht="15" customHeight="1">
      <c r="A129" s="559"/>
      <c r="B129" s="560"/>
      <c r="C129" s="560"/>
      <c r="D129" s="24340"/>
      <c r="E129" s="24224" t="s">
        <v>815</v>
      </c>
      <c r="F129" s="24225"/>
      <c r="G129" s="24226"/>
      <c r="H129" s="24220" t="str">
        <f>IF(A127="","",INDEX(DIFFERENTIATION_UNMERGE_SYSTEM,MATCH(A127,DIFFERENTIATION_ID_DIFF,0)))</f>
        <v/>
      </c>
      <c r="I129" s="24220"/>
      <c r="J129" s="24220"/>
      <c r="K129" s="24220"/>
      <c r="L129" s="24220"/>
      <c r="M129" s="24220"/>
      <c r="N129" s="24220"/>
      <c r="O129" s="24220"/>
      <c r="P129" s="24220"/>
      <c r="Q129" s="24220"/>
      <c r="R129" s="24220"/>
      <c r="S129" s="655"/>
      <c r="T129" s="652"/>
      <c r="U129" s="561"/>
      <c r="V129" s="561"/>
      <c r="W129" s="562"/>
      <c r="X129" s="562"/>
      <c r="Y129" s="562"/>
      <c r="Z129" s="562"/>
      <c r="AA129" s="563"/>
      <c r="AB129" s="564"/>
      <c r="AC129" s="24223"/>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47" customFormat="1" ht="24.75" customHeight="1">
      <c r="A130" s="1704"/>
      <c r="B130" s="1086"/>
      <c r="C130" s="348"/>
      <c r="D130" s="24340"/>
      <c r="E130" s="24222" t="s">
        <v>860</v>
      </c>
      <c r="F130" s="24222"/>
      <c r="G130" s="24222"/>
      <c r="H130" s="24222"/>
      <c r="I130" s="24222"/>
      <c r="J130" s="24222"/>
      <c r="K130" s="24222"/>
      <c r="L130" s="24222"/>
      <c r="M130" s="24222"/>
      <c r="N130" s="24222"/>
      <c r="O130" s="24222"/>
      <c r="P130" s="24222"/>
      <c r="Q130" s="494">
        <f>SUMIF(T131:T132,"i",Q131:Q132)</f>
        <v>0</v>
      </c>
      <c r="R130" s="946"/>
      <c r="S130" s="1696" t="s">
        <v>861</v>
      </c>
      <c r="T130" s="653" t="s">
        <v>862</v>
      </c>
      <c r="U130" s="24092">
        <v>1</v>
      </c>
      <c r="V130" s="24092" t="s">
        <v>825</v>
      </c>
      <c r="W130" s="1086"/>
      <c r="X130" s="1086"/>
      <c r="Y130" s="1086"/>
      <c r="Z130" s="1086"/>
      <c r="AA130" s="1562"/>
      <c r="AB130" s="1086"/>
      <c r="AC130" s="24223"/>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47" customFormat="1" ht="11.25" hidden="1" customHeight="1">
      <c r="A131" s="1691"/>
      <c r="B131" s="1562"/>
      <c r="C131" s="1562"/>
      <c r="D131" s="24340"/>
      <c r="E131" s="571"/>
      <c r="F131" s="571">
        <v>0</v>
      </c>
      <c r="G131" s="571"/>
      <c r="H131" s="571"/>
      <c r="I131" s="571"/>
      <c r="J131" s="571"/>
      <c r="K131" s="571"/>
      <c r="L131" s="571"/>
      <c r="M131" s="571"/>
      <c r="N131" s="571"/>
      <c r="O131" s="571"/>
      <c r="P131" s="571"/>
      <c r="Q131" s="571"/>
      <c r="R131" s="571"/>
      <c r="S131" s="572"/>
      <c r="T131" s="654"/>
      <c r="U131" s="24092"/>
      <c r="V131" s="24092"/>
      <c r="W131" s="1562"/>
      <c r="X131" s="1562"/>
      <c r="Y131" s="1562"/>
      <c r="Z131" s="1562"/>
      <c r="AA131" s="1562"/>
      <c r="AB131" s="1086"/>
      <c r="AC131" s="24223"/>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47" customFormat="1" ht="11.25" customHeight="1">
      <c r="A132" s="1704"/>
      <c r="B132" s="1086"/>
      <c r="C132" s="348"/>
      <c r="D132" s="24340"/>
      <c r="E132" s="585" t="s">
        <v>17</v>
      </c>
      <c r="F132" s="1094" t="s">
        <v>17</v>
      </c>
      <c r="G132" s="1094" t="s">
        <v>2188</v>
      </c>
      <c r="H132" s="587" t="s">
        <v>17</v>
      </c>
      <c r="I132" s="587"/>
      <c r="J132" s="587"/>
      <c r="K132" s="587"/>
      <c r="L132" s="587"/>
      <c r="M132" s="587"/>
      <c r="N132" s="587"/>
      <c r="O132" s="587"/>
      <c r="P132" s="587"/>
      <c r="Q132" s="587"/>
      <c r="R132" s="588"/>
      <c r="S132" s="589"/>
      <c r="T132" s="654"/>
      <c r="U132" s="24092"/>
      <c r="V132" s="24092"/>
      <c r="W132" s="1086"/>
      <c r="X132" s="1086"/>
      <c r="Y132" s="1086"/>
      <c r="Z132" s="1086"/>
      <c r="AA132" s="1562"/>
      <c r="AB132" s="1086"/>
      <c r="AC132" s="24223"/>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691"/>
      <c r="B133" s="1562"/>
      <c r="C133" s="1562"/>
      <c r="D133" s="24340"/>
      <c r="E133" s="968"/>
      <c r="F133" s="968"/>
      <c r="G133" s="968"/>
      <c r="H133" s="968"/>
      <c r="I133" s="968"/>
      <c r="J133" s="968"/>
      <c r="K133" s="968"/>
      <c r="L133" s="968"/>
      <c r="M133" s="968"/>
      <c r="N133" s="968"/>
      <c r="O133" s="968"/>
      <c r="P133" s="968"/>
      <c r="Q133" s="969"/>
      <c r="R133" s="970"/>
      <c r="S133" s="971"/>
      <c r="T133" s="653" t="s">
        <v>862</v>
      </c>
      <c r="U133" s="24092">
        <v>1</v>
      </c>
      <c r="V133" s="24092" t="s">
        <v>825</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691"/>
      <c r="B134" s="1562"/>
      <c r="C134" s="1562"/>
      <c r="D134" s="24340"/>
      <c r="E134" s="571"/>
      <c r="F134" s="571"/>
      <c r="G134" s="571"/>
      <c r="H134" s="571"/>
      <c r="I134" s="571"/>
      <c r="J134" s="571"/>
      <c r="K134" s="571"/>
      <c r="L134" s="571"/>
      <c r="M134" s="571"/>
      <c r="N134" s="571"/>
      <c r="O134" s="571"/>
      <c r="P134" s="571"/>
      <c r="Q134" s="571"/>
      <c r="R134" s="571"/>
      <c r="S134" s="572"/>
      <c r="T134" s="654"/>
      <c r="U134" s="24092"/>
      <c r="V134" s="2409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691"/>
      <c r="B135" s="1562"/>
      <c r="C135" s="1562"/>
      <c r="D135" s="24341"/>
      <c r="E135" s="972"/>
      <c r="F135" s="973"/>
      <c r="G135" s="973"/>
      <c r="H135" s="974"/>
      <c r="I135" s="974"/>
      <c r="J135" s="974"/>
      <c r="K135" s="974"/>
      <c r="L135" s="974"/>
      <c r="M135" s="974"/>
      <c r="N135" s="974"/>
      <c r="O135" s="974"/>
      <c r="P135" s="974"/>
      <c r="Q135" s="974"/>
      <c r="R135" s="875"/>
      <c r="S135" s="975"/>
      <c r="T135" s="654"/>
      <c r="U135" s="24092"/>
      <c r="V135" s="2409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33"/>
    </row>
    <row r="137" spans="1:83" s="1713" customFormat="1" ht="11.25" customHeight="1">
      <c r="A137" s="1713" t="s">
        <v>2190</v>
      </c>
    </row>
    <row r="139" spans="1:83" s="1747" customFormat="1" ht="45" customHeight="1">
      <c r="A139" s="1704"/>
      <c r="B139" s="1086"/>
      <c r="C139" s="348"/>
      <c r="D139" s="28"/>
      <c r="E139" s="24344"/>
      <c r="F139" s="23958" t="s">
        <v>218</v>
      </c>
      <c r="G139" s="24347" t="s">
        <v>17</v>
      </c>
      <c r="H139" s="225"/>
      <c r="I139" s="573" t="s">
        <v>218</v>
      </c>
      <c r="J139" s="1705" t="s">
        <v>2191</v>
      </c>
      <c r="K139" s="574" t="s">
        <v>796</v>
      </c>
      <c r="L139" s="24056" t="s">
        <v>796</v>
      </c>
      <c r="M139" s="24009"/>
      <c r="N139" s="574" t="s">
        <v>796</v>
      </c>
      <c r="O139" s="574" t="s">
        <v>796</v>
      </c>
      <c r="P139" s="574" t="s">
        <v>796</v>
      </c>
      <c r="Q139" s="575">
        <f>SUM(Q140:Q142)</f>
        <v>0</v>
      </c>
      <c r="R139" s="575">
        <f>IF(R136=0,0,(Q136/R136)*100)</f>
        <v>0</v>
      </c>
      <c r="S139" s="24032"/>
      <c r="T139" s="653" t="s">
        <v>862</v>
      </c>
      <c r="U139" s="28"/>
      <c r="V139" s="28"/>
      <c r="AC139" s="28"/>
    </row>
    <row r="140" spans="1:83" s="1747" customFormat="1" ht="11.25" customHeight="1">
      <c r="A140" s="1704"/>
      <c r="B140" s="1086"/>
      <c r="C140" s="348"/>
      <c r="D140" s="28"/>
      <c r="E140" s="24345"/>
      <c r="F140" s="23958"/>
      <c r="G140" s="24347"/>
      <c r="H140" s="23947"/>
      <c r="I140" s="24278" t="s">
        <v>1271</v>
      </c>
      <c r="J140" s="24342"/>
      <c r="K140" s="24343"/>
      <c r="L140" s="576"/>
      <c r="M140" s="577" t="s">
        <v>218</v>
      </c>
      <c r="N140" s="1693"/>
      <c r="O140" s="578"/>
      <c r="P140" s="579"/>
      <c r="Q140" s="578"/>
      <c r="R140" s="580">
        <v>0</v>
      </c>
      <c r="S140" s="24032"/>
      <c r="T140" s="653"/>
      <c r="U140" s="28"/>
      <c r="V140" s="28"/>
      <c r="AC140" s="28"/>
    </row>
    <row r="141" spans="1:83" s="1747" customFormat="1" ht="11.25" customHeight="1">
      <c r="A141" s="1704"/>
      <c r="B141" s="1086"/>
      <c r="C141" s="348"/>
      <c r="D141" s="28"/>
      <c r="E141" s="24345"/>
      <c r="F141" s="23958"/>
      <c r="G141" s="24347"/>
      <c r="H141" s="23947"/>
      <c r="I141" s="24278"/>
      <c r="J141" s="24342"/>
      <c r="K141" s="24020"/>
      <c r="L141" s="581"/>
      <c r="M141" s="582"/>
      <c r="N141" s="583" t="s">
        <v>2192</v>
      </c>
      <c r="O141" s="583"/>
      <c r="P141" s="583"/>
      <c r="Q141" s="583"/>
      <c r="R141" s="584"/>
      <c r="S141" s="24032"/>
      <c r="T141" s="653"/>
      <c r="U141" s="28"/>
      <c r="V141" s="28"/>
      <c r="AC141" s="28"/>
    </row>
    <row r="142" spans="1:83" s="1747" customFormat="1" ht="11.25" customHeight="1">
      <c r="A142" s="1704"/>
      <c r="B142" s="1086"/>
      <c r="C142" s="348"/>
      <c r="D142" s="28"/>
      <c r="E142" s="24346"/>
      <c r="F142" s="23958"/>
      <c r="G142" s="24348"/>
      <c r="H142" s="581" t="s">
        <v>17</v>
      </c>
      <c r="I142" s="582"/>
      <c r="J142" s="583" t="s">
        <v>2193</v>
      </c>
      <c r="K142" s="583"/>
      <c r="L142" s="583"/>
      <c r="M142" s="583"/>
      <c r="N142" s="583"/>
      <c r="O142" s="583"/>
      <c r="P142" s="583"/>
      <c r="Q142" s="583"/>
      <c r="R142" s="584"/>
      <c r="S142" s="24032"/>
      <c r="T142" s="653"/>
      <c r="U142" s="28"/>
      <c r="V142" s="28"/>
      <c r="AC142" s="28"/>
    </row>
    <row r="147" spans="1:43" s="1747" customFormat="1" ht="11.25" customHeight="1">
      <c r="A147" s="1704"/>
      <c r="B147" s="1086"/>
      <c r="C147" s="348"/>
      <c r="D147" s="28"/>
      <c r="E147" s="1727"/>
      <c r="F147" s="1727"/>
      <c r="G147" s="1727"/>
      <c r="H147" s="23947"/>
      <c r="I147" s="24278" t="s">
        <v>1271</v>
      </c>
      <c r="J147" s="24342"/>
      <c r="K147" s="24343"/>
      <c r="L147" s="576"/>
      <c r="M147" s="577" t="s">
        <v>218</v>
      </c>
      <c r="N147" s="1693"/>
      <c r="O147" s="578"/>
      <c r="P147" s="579"/>
      <c r="Q147" s="578"/>
      <c r="R147" s="580">
        <v>0</v>
      </c>
      <c r="S147" s="28"/>
      <c r="T147" s="653"/>
      <c r="U147" s="28"/>
      <c r="V147" s="28"/>
      <c r="AC147" s="28"/>
    </row>
    <row r="148" spans="1:43" s="1747" customFormat="1" ht="11.25" customHeight="1">
      <c r="A148" s="1704"/>
      <c r="B148" s="1086"/>
      <c r="C148" s="348"/>
      <c r="D148" s="28"/>
      <c r="E148" s="1727"/>
      <c r="F148" s="1727"/>
      <c r="G148" s="1727"/>
      <c r="H148" s="23947"/>
      <c r="I148" s="24278"/>
      <c r="J148" s="24342"/>
      <c r="K148" s="24020"/>
      <c r="L148" s="581"/>
      <c r="M148" s="582"/>
      <c r="N148" s="583" t="s">
        <v>2192</v>
      </c>
      <c r="O148" s="583"/>
      <c r="P148" s="583"/>
      <c r="Q148" s="583"/>
      <c r="R148" s="584"/>
      <c r="S148" s="28"/>
      <c r="T148" s="653"/>
      <c r="U148" s="28"/>
      <c r="V148" s="28"/>
      <c r="AC148" s="28"/>
    </row>
    <row r="150" spans="1:43" s="1747" customFormat="1" ht="11.25" customHeight="1">
      <c r="A150" s="1704"/>
      <c r="B150" s="1086"/>
      <c r="C150" s="348"/>
      <c r="D150" s="28"/>
      <c r="E150" s="1734"/>
      <c r="F150" s="1732"/>
      <c r="G150" s="1732"/>
      <c r="H150" s="1735"/>
      <c r="I150" s="1727"/>
      <c r="J150" s="1728"/>
      <c r="K150" s="1728"/>
      <c r="L150" s="576"/>
      <c r="M150" s="577" t="s">
        <v>218</v>
      </c>
      <c r="N150" s="1693"/>
      <c r="O150" s="578"/>
      <c r="P150" s="579"/>
      <c r="Q150" s="578"/>
      <c r="R150" s="580">
        <v>0</v>
      </c>
      <c r="S150" s="28"/>
      <c r="T150" s="653"/>
      <c r="U150" s="28"/>
      <c r="V150" s="28"/>
      <c r="AC150" s="28"/>
    </row>
    <row r="152" spans="1:43" s="1713" customFormat="1" ht="17.25" customHeight="1">
      <c r="A152" s="1713" t="s">
        <v>2194</v>
      </c>
    </row>
    <row r="153" spans="1:43" ht="17.25" customHeight="1">
      <c r="G153" s="1736"/>
      <c r="H153" s="1736"/>
      <c r="I153" s="1736"/>
      <c r="M153" s="1732"/>
    </row>
    <row r="154" spans="1:43" s="1750" customFormat="1" ht="17.25" customHeight="1">
      <c r="A154" s="1737"/>
      <c r="C154" s="1739"/>
      <c r="D154" s="24014"/>
      <c r="E154" s="23969"/>
      <c r="F154" s="23982"/>
      <c r="G154" s="23987"/>
      <c r="H154" s="24014"/>
      <c r="I154" s="24014">
        <v>1</v>
      </c>
      <c r="J154" s="24015"/>
      <c r="K154" s="24018" t="s">
        <v>59</v>
      </c>
      <c r="L154" s="23958"/>
      <c r="M154" s="23958" t="s">
        <v>218</v>
      </c>
      <c r="N154" s="24010" t="str">
        <f>IF(Z154="","",INDEX(TERRITORY_MR_LIST,MATCH(Z154,TERRITORY_LIST_ID,0)))</f>
        <v/>
      </c>
      <c r="O154" s="24018" t="s">
        <v>59</v>
      </c>
      <c r="P154" s="23958"/>
      <c r="Q154" s="23958" t="s">
        <v>218</v>
      </c>
      <c r="R154" s="24020" t="s">
        <v>17</v>
      </c>
      <c r="S154" s="23957" t="s">
        <v>59</v>
      </c>
      <c r="T154" s="1709"/>
      <c r="U154" s="1709" t="s">
        <v>218</v>
      </c>
      <c r="V154" s="1740" t="s">
        <v>17</v>
      </c>
      <c r="W154" s="1699"/>
      <c r="Y154" s="1193"/>
      <c r="Z154" s="1193"/>
      <c r="AA154" s="1193"/>
      <c r="AB154" s="1193"/>
      <c r="AC154" s="1193"/>
      <c r="AD154" s="1193"/>
      <c r="AE154" s="1193"/>
      <c r="AF154" s="1193"/>
      <c r="AG154" s="1193"/>
      <c r="AH154" s="1193"/>
      <c r="AI154" s="1193"/>
      <c r="AJ154" s="1193"/>
      <c r="AK154" s="1193"/>
      <c r="AL154" s="1741"/>
      <c r="AM154" s="1741"/>
      <c r="AN154" s="1193"/>
      <c r="AO154" s="1193"/>
      <c r="AP154" s="1193"/>
      <c r="AQ154" s="1193"/>
    </row>
    <row r="155" spans="1:43" s="1750" customFormat="1" ht="17.25" customHeight="1">
      <c r="A155" s="1737"/>
      <c r="C155" s="1742"/>
      <c r="D155" s="24014"/>
      <c r="E155" s="23969"/>
      <c r="F155" s="23983"/>
      <c r="G155" s="23987"/>
      <c r="H155" s="24014"/>
      <c r="I155" s="24014"/>
      <c r="J155" s="24015"/>
      <c r="K155" s="24019"/>
      <c r="L155" s="23958"/>
      <c r="M155" s="23958"/>
      <c r="N155" s="24010"/>
      <c r="O155" s="24019"/>
      <c r="P155" s="23958"/>
      <c r="Q155" s="23958"/>
      <c r="R155" s="24020"/>
      <c r="S155" s="23957"/>
      <c r="T155" s="253"/>
      <c r="U155" s="254"/>
      <c r="V155" s="254" t="s">
        <v>643</v>
      </c>
      <c r="W155" s="255"/>
      <c r="Y155" s="1185"/>
      <c r="Z155" s="1185"/>
      <c r="AA155" s="1185"/>
      <c r="AB155" s="1185"/>
      <c r="AC155" s="1185"/>
      <c r="AD155" s="1185"/>
      <c r="AE155" s="1185"/>
      <c r="AF155" s="1185"/>
      <c r="AG155" s="1185"/>
      <c r="AH155" s="1185"/>
      <c r="AI155" s="1185"/>
      <c r="AJ155" s="1185"/>
      <c r="AK155" s="1185"/>
    </row>
    <row r="156" spans="1:43" s="1750" customFormat="1" ht="17.25" customHeight="1">
      <c r="A156" s="1737"/>
      <c r="C156" s="1742"/>
      <c r="D156" s="23981"/>
      <c r="E156" s="23970"/>
      <c r="F156" s="23983"/>
      <c r="G156" s="23989"/>
      <c r="H156" s="23981"/>
      <c r="I156" s="23981"/>
      <c r="J156" s="24017"/>
      <c r="K156" s="24019"/>
      <c r="L156" s="23981"/>
      <c r="M156" s="23981"/>
      <c r="N156" s="24012"/>
      <c r="O156" s="23962"/>
      <c r="P156" s="253"/>
      <c r="Q156" s="254"/>
      <c r="R156" s="254" t="s">
        <v>370</v>
      </c>
      <c r="S156" s="1743"/>
      <c r="T156" s="1743"/>
      <c r="U156" s="1743"/>
      <c r="V156" s="1743"/>
      <c r="W156" s="255"/>
      <c r="Y156" s="1185"/>
      <c r="Z156" s="1185"/>
      <c r="AA156" s="1185"/>
      <c r="AB156" s="1185"/>
      <c r="AC156" s="1185"/>
      <c r="AD156" s="1185"/>
      <c r="AE156" s="1185"/>
      <c r="AF156" s="1185"/>
      <c r="AG156" s="1185"/>
      <c r="AH156" s="1185"/>
      <c r="AI156" s="1185"/>
      <c r="AJ156" s="1185"/>
      <c r="AK156" s="1185"/>
    </row>
    <row r="157" spans="1:43" s="1750" customFormat="1" ht="17.25" customHeight="1">
      <c r="A157" s="1737"/>
      <c r="C157" s="1742"/>
      <c r="D157" s="23981"/>
      <c r="E157" s="23970"/>
      <c r="F157" s="23983"/>
      <c r="G157" s="23989"/>
      <c r="H157" s="23981"/>
      <c r="I157" s="23981"/>
      <c r="J157" s="24017"/>
      <c r="K157" s="23962"/>
      <c r="L157" s="253"/>
      <c r="M157" s="254"/>
      <c r="N157" s="254" t="s">
        <v>481</v>
      </c>
      <c r="O157" s="254"/>
      <c r="P157" s="254"/>
      <c r="Q157" s="254"/>
      <c r="R157" s="254"/>
      <c r="S157" s="1743"/>
      <c r="T157" s="1743"/>
      <c r="U157" s="1743"/>
      <c r="V157" s="1743"/>
      <c r="W157" s="255"/>
      <c r="Y157" s="1185"/>
      <c r="Z157" s="1185"/>
      <c r="AA157" s="1185"/>
      <c r="AB157" s="1185"/>
      <c r="AC157" s="1185"/>
      <c r="AD157" s="1185"/>
      <c r="AE157" s="1185"/>
      <c r="AF157" s="1185"/>
      <c r="AG157" s="1185"/>
      <c r="AH157" s="1185"/>
      <c r="AI157" s="1185"/>
      <c r="AJ157" s="1185"/>
      <c r="AK157" s="1185"/>
    </row>
    <row r="158" spans="1:43" s="1750" customFormat="1" ht="17.25" customHeight="1">
      <c r="A158" s="1737"/>
      <c r="C158" s="1742"/>
      <c r="D158" s="23981"/>
      <c r="E158" s="23970"/>
      <c r="F158" s="23984"/>
      <c r="G158" s="23989"/>
      <c r="H158" s="253"/>
      <c r="I158" s="254"/>
      <c r="J158" s="254" t="s">
        <v>482</v>
      </c>
      <c r="K158" s="254"/>
      <c r="L158" s="254"/>
      <c r="M158" s="254"/>
      <c r="N158" s="254"/>
      <c r="O158" s="254"/>
      <c r="P158" s="254"/>
      <c r="Q158" s="254"/>
      <c r="R158" s="254"/>
      <c r="S158" s="1743"/>
      <c r="T158" s="1743"/>
      <c r="U158" s="1743"/>
      <c r="V158" s="1743"/>
      <c r="W158" s="255"/>
      <c r="Y158" s="1185"/>
      <c r="Z158" s="1185"/>
      <c r="AA158" s="1185"/>
      <c r="AB158" s="1185"/>
      <c r="AC158" s="1185"/>
      <c r="AD158" s="1185"/>
      <c r="AE158" s="1185"/>
      <c r="AF158" s="1185"/>
      <c r="AG158" s="1185"/>
      <c r="AH158" s="1185"/>
      <c r="AI158" s="1185"/>
      <c r="AJ158" s="1185"/>
      <c r="AK158" s="1185"/>
    </row>
    <row r="159" spans="1:43" ht="17.25" customHeight="1">
      <c r="G159" s="1736"/>
      <c r="H159" s="1736"/>
      <c r="I159" s="1736"/>
      <c r="M159" s="1732"/>
    </row>
    <row r="160" spans="1:43" s="1750" customFormat="1" ht="17.25" customHeight="1">
      <c r="A160" s="1737"/>
      <c r="C160" s="1739"/>
      <c r="D160" s="1727"/>
      <c r="E160" s="1744"/>
      <c r="F160" s="1682"/>
      <c r="G160" s="1745"/>
      <c r="H160" s="24014"/>
      <c r="I160" s="24014">
        <v>1</v>
      </c>
      <c r="J160" s="24015"/>
      <c r="K160" s="24018" t="s">
        <v>59</v>
      </c>
      <c r="L160" s="23958"/>
      <c r="M160" s="23958" t="s">
        <v>218</v>
      </c>
      <c r="N160" s="24010" t="str">
        <f>IF(Z160="","",INDEX(TERRITORY_MR_LIST,MATCH(Z160,TERRITORY_LIST_ID,0)))</f>
        <v/>
      </c>
      <c r="O160" s="24018" t="s">
        <v>59</v>
      </c>
      <c r="P160" s="23958"/>
      <c r="Q160" s="23958" t="s">
        <v>218</v>
      </c>
      <c r="R160" s="24020" t="s">
        <v>17</v>
      </c>
      <c r="S160" s="23957" t="s">
        <v>59</v>
      </c>
      <c r="T160" s="1709"/>
      <c r="U160" s="1709" t="s">
        <v>218</v>
      </c>
      <c r="V160" s="1740" t="s">
        <v>17</v>
      </c>
      <c r="W160" s="1699"/>
      <c r="Y160" s="1193"/>
      <c r="Z160" s="1193"/>
      <c r="AA160" s="1193"/>
      <c r="AB160" s="1193"/>
      <c r="AC160" s="1193"/>
      <c r="AD160" s="1193"/>
      <c r="AE160" s="1193"/>
      <c r="AF160" s="1193"/>
      <c r="AG160" s="1193"/>
      <c r="AH160" s="1193"/>
      <c r="AI160" s="1193"/>
      <c r="AJ160" s="1193"/>
      <c r="AK160" s="1193"/>
      <c r="AL160" s="1741"/>
      <c r="AM160" s="1741"/>
      <c r="AN160" s="1193"/>
      <c r="AO160" s="1193"/>
      <c r="AP160" s="1193"/>
      <c r="AQ160" s="1193"/>
    </row>
    <row r="161" spans="1:43" s="1750" customFormat="1" ht="17.25" customHeight="1">
      <c r="A161" s="1737"/>
      <c r="C161" s="1742"/>
      <c r="D161" s="1727"/>
      <c r="E161" s="1744"/>
      <c r="F161" s="1682"/>
      <c r="G161" s="1745"/>
      <c r="H161" s="24014"/>
      <c r="I161" s="24014"/>
      <c r="J161" s="24015"/>
      <c r="K161" s="24019"/>
      <c r="L161" s="23958"/>
      <c r="M161" s="23958"/>
      <c r="N161" s="24010"/>
      <c r="O161" s="24019"/>
      <c r="P161" s="23958"/>
      <c r="Q161" s="23958"/>
      <c r="R161" s="24020"/>
      <c r="S161" s="23957"/>
      <c r="T161" s="253"/>
      <c r="U161" s="254"/>
      <c r="V161" s="254" t="s">
        <v>643</v>
      </c>
      <c r="W161" s="255"/>
      <c r="Y161" s="1185"/>
      <c r="Z161" s="1185"/>
      <c r="AA161" s="1185"/>
      <c r="AB161" s="1185"/>
      <c r="AC161" s="1185"/>
      <c r="AD161" s="1185"/>
      <c r="AE161" s="1185"/>
      <c r="AF161" s="1185"/>
      <c r="AG161" s="1185"/>
      <c r="AH161" s="1185"/>
      <c r="AI161" s="1185"/>
      <c r="AJ161" s="1185"/>
      <c r="AK161" s="1185"/>
    </row>
    <row r="162" spans="1:43" s="1750" customFormat="1" ht="17.25" customHeight="1">
      <c r="A162" s="1737"/>
      <c r="C162" s="1742"/>
      <c r="D162" s="1727"/>
      <c r="E162" s="1744"/>
      <c r="F162" s="1682"/>
      <c r="G162" s="1745"/>
      <c r="H162" s="23981"/>
      <c r="I162" s="23981"/>
      <c r="J162" s="24017"/>
      <c r="K162" s="24019"/>
      <c r="L162" s="23981"/>
      <c r="M162" s="23981"/>
      <c r="N162" s="24012"/>
      <c r="O162" s="23962"/>
      <c r="P162" s="253"/>
      <c r="Q162" s="254"/>
      <c r="R162" s="254" t="s">
        <v>370</v>
      </c>
      <c r="S162" s="1743"/>
      <c r="T162" s="1743"/>
      <c r="U162" s="1743"/>
      <c r="V162" s="1743"/>
      <c r="W162" s="255"/>
      <c r="Y162" s="1185"/>
      <c r="Z162" s="1185"/>
      <c r="AA162" s="1185"/>
      <c r="AB162" s="1185"/>
      <c r="AC162" s="1185"/>
      <c r="AD162" s="1185"/>
      <c r="AE162" s="1185"/>
      <c r="AF162" s="1185"/>
      <c r="AG162" s="1185"/>
      <c r="AH162" s="1185"/>
      <c r="AI162" s="1185"/>
      <c r="AJ162" s="1185"/>
      <c r="AK162" s="1185"/>
    </row>
    <row r="163" spans="1:43" s="1750" customFormat="1" ht="17.25" customHeight="1">
      <c r="A163" s="1737"/>
      <c r="C163" s="1742"/>
      <c r="D163" s="1727"/>
      <c r="E163" s="1744"/>
      <c r="F163" s="1682"/>
      <c r="G163" s="1745"/>
      <c r="H163" s="23981"/>
      <c r="I163" s="23981"/>
      <c r="J163" s="24017"/>
      <c r="K163" s="23962"/>
      <c r="L163" s="253"/>
      <c r="M163" s="254"/>
      <c r="N163" s="254" t="s">
        <v>481</v>
      </c>
      <c r="O163" s="254"/>
      <c r="P163" s="254"/>
      <c r="Q163" s="254"/>
      <c r="R163" s="254"/>
      <c r="S163" s="1743"/>
      <c r="T163" s="1743"/>
      <c r="U163" s="1743"/>
      <c r="V163" s="1743"/>
      <c r="W163" s="255"/>
      <c r="Y163" s="1185"/>
      <c r="Z163" s="1185"/>
      <c r="AA163" s="1185"/>
      <c r="AB163" s="1185"/>
      <c r="AC163" s="1185"/>
      <c r="AD163" s="1185"/>
      <c r="AE163" s="1185"/>
      <c r="AF163" s="1185"/>
      <c r="AG163" s="1185"/>
      <c r="AH163" s="1185"/>
      <c r="AI163" s="1185"/>
      <c r="AJ163" s="1185"/>
      <c r="AK163" s="1185"/>
    </row>
    <row r="164" spans="1:43" ht="17.25" customHeight="1">
      <c r="G164" s="1736"/>
      <c r="H164" s="1736"/>
      <c r="I164" s="1736"/>
      <c r="M164" s="1732"/>
    </row>
    <row r="165" spans="1:43" s="1750" customFormat="1" ht="17.25" customHeight="1">
      <c r="A165" s="1737"/>
      <c r="C165" s="1739"/>
      <c r="D165" s="1727"/>
      <c r="E165" s="1744"/>
      <c r="F165" s="1682"/>
      <c r="G165" s="1745"/>
      <c r="H165" s="1727"/>
      <c r="I165" s="1727"/>
      <c r="J165" s="1746"/>
      <c r="K165" s="1658"/>
      <c r="L165" s="23958"/>
      <c r="M165" s="23958" t="s">
        <v>218</v>
      </c>
      <c r="N165" s="24010" t="str">
        <f>IF(Z165="","",INDEX(TERRITORY_MR_LIST,MATCH(Z165,TERRITORY_LIST_ID,0)))</f>
        <v/>
      </c>
      <c r="O165" s="24018" t="s">
        <v>59</v>
      </c>
      <c r="P165" s="23958"/>
      <c r="Q165" s="23958" t="s">
        <v>218</v>
      </c>
      <c r="R165" s="24020" t="s">
        <v>17</v>
      </c>
      <c r="S165" s="23957" t="s">
        <v>59</v>
      </c>
      <c r="T165" s="1709"/>
      <c r="U165" s="1709" t="s">
        <v>218</v>
      </c>
      <c r="V165" s="1740" t="s">
        <v>17</v>
      </c>
      <c r="W165" s="1699"/>
      <c r="Y165" s="1193"/>
      <c r="Z165" s="1193"/>
      <c r="AA165" s="1193"/>
      <c r="AB165" s="1193"/>
      <c r="AC165" s="1193"/>
      <c r="AD165" s="1193"/>
      <c r="AE165" s="1193"/>
      <c r="AF165" s="1193"/>
      <c r="AG165" s="1193"/>
      <c r="AH165" s="1193"/>
      <c r="AI165" s="1193"/>
      <c r="AJ165" s="1193"/>
      <c r="AK165" s="1193"/>
      <c r="AL165" s="1741"/>
      <c r="AM165" s="1741"/>
      <c r="AN165" s="1193"/>
      <c r="AO165" s="1193"/>
      <c r="AP165" s="1193"/>
      <c r="AQ165" s="1193"/>
    </row>
    <row r="166" spans="1:43" s="1750" customFormat="1" ht="17.25" customHeight="1">
      <c r="A166" s="1737"/>
      <c r="C166" s="1742"/>
      <c r="D166" s="1727"/>
      <c r="E166" s="1744"/>
      <c r="F166" s="1682"/>
      <c r="G166" s="1745"/>
      <c r="H166" s="1727"/>
      <c r="I166" s="1727"/>
      <c r="J166" s="1746"/>
      <c r="K166" s="1658"/>
      <c r="L166" s="23958"/>
      <c r="M166" s="23958"/>
      <c r="N166" s="24010"/>
      <c r="O166" s="24019"/>
      <c r="P166" s="23958"/>
      <c r="Q166" s="23958"/>
      <c r="R166" s="24020"/>
      <c r="S166" s="23957"/>
      <c r="T166" s="253"/>
      <c r="U166" s="254"/>
      <c r="V166" s="254" t="s">
        <v>643</v>
      </c>
      <c r="W166" s="255"/>
      <c r="Y166" s="1185"/>
      <c r="Z166" s="1185"/>
      <c r="AA166" s="1185"/>
      <c r="AB166" s="1185"/>
      <c r="AC166" s="1185"/>
      <c r="AD166" s="1185"/>
      <c r="AE166" s="1185"/>
      <c r="AF166" s="1185"/>
      <c r="AG166" s="1185"/>
      <c r="AH166" s="1185"/>
      <c r="AI166" s="1185"/>
      <c r="AJ166" s="1185"/>
      <c r="AK166" s="1185"/>
    </row>
    <row r="167" spans="1:43" s="1750" customFormat="1" ht="17.25" customHeight="1">
      <c r="A167" s="1737"/>
      <c r="C167" s="1742"/>
      <c r="D167" s="1727"/>
      <c r="E167" s="1744"/>
      <c r="F167" s="1682"/>
      <c r="G167" s="1745"/>
      <c r="H167" s="1727"/>
      <c r="I167" s="1727"/>
      <c r="J167" s="1746"/>
      <c r="K167" s="1658"/>
      <c r="L167" s="23981"/>
      <c r="M167" s="23981"/>
      <c r="N167" s="24012"/>
      <c r="O167" s="23962"/>
      <c r="P167" s="253"/>
      <c r="Q167" s="254"/>
      <c r="R167" s="254" t="s">
        <v>370</v>
      </c>
      <c r="S167" s="1743"/>
      <c r="T167" s="1743"/>
      <c r="U167" s="1743"/>
      <c r="V167" s="1743"/>
      <c r="W167" s="255"/>
      <c r="Y167" s="1185"/>
      <c r="Z167" s="1185"/>
      <c r="AA167" s="1185"/>
      <c r="AB167" s="1185"/>
      <c r="AC167" s="1185"/>
      <c r="AD167" s="1185"/>
      <c r="AE167" s="1185"/>
      <c r="AF167" s="1185"/>
      <c r="AG167" s="1185"/>
      <c r="AH167" s="1185"/>
      <c r="AI167" s="1185"/>
      <c r="AJ167" s="1185"/>
      <c r="AK167" s="1185"/>
    </row>
    <row r="168" spans="1:43" ht="17.25" customHeight="1">
      <c r="G168" s="1736"/>
      <c r="H168" s="1736"/>
      <c r="I168" s="1736"/>
      <c r="M168" s="1732"/>
    </row>
    <row r="169" spans="1:43" s="1750" customFormat="1" ht="17.25" customHeight="1">
      <c r="A169" s="1737"/>
      <c r="C169" s="1739"/>
      <c r="D169" s="1727"/>
      <c r="E169" s="1744"/>
      <c r="F169" s="1682"/>
      <c r="G169" s="1745"/>
      <c r="H169" s="1727"/>
      <c r="I169" s="1727"/>
      <c r="J169" s="1746"/>
      <c r="K169" s="1658"/>
      <c r="L169" s="1654"/>
      <c r="M169" s="1654"/>
      <c r="N169" s="1942"/>
      <c r="O169" s="1685"/>
      <c r="P169" s="23958"/>
      <c r="Q169" s="23958" t="s">
        <v>218</v>
      </c>
      <c r="R169" s="24020" t="s">
        <v>17</v>
      </c>
      <c r="S169" s="23957" t="s">
        <v>59</v>
      </c>
      <c r="T169" s="1709"/>
      <c r="U169" s="1709" t="s">
        <v>218</v>
      </c>
      <c r="V169" s="1740" t="s">
        <v>17</v>
      </c>
      <c r="W169" s="1699"/>
      <c r="Y169" s="1193"/>
      <c r="Z169" s="1193"/>
      <c r="AA169" s="1193"/>
      <c r="AB169" s="1193"/>
      <c r="AC169" s="1193"/>
      <c r="AD169" s="1193"/>
      <c r="AE169" s="1193"/>
      <c r="AF169" s="1193"/>
      <c r="AG169" s="1193"/>
      <c r="AH169" s="1193"/>
      <c r="AI169" s="1193"/>
      <c r="AJ169" s="1193"/>
      <c r="AK169" s="1193"/>
      <c r="AL169" s="1741"/>
      <c r="AM169" s="1741"/>
      <c r="AN169" s="1193"/>
      <c r="AO169" s="1193"/>
      <c r="AP169" s="1193"/>
      <c r="AQ169" s="1193"/>
    </row>
    <row r="170" spans="1:43" s="1750" customFormat="1" ht="17.25" customHeight="1">
      <c r="A170" s="1737"/>
      <c r="C170" s="1742"/>
      <c r="D170" s="1727"/>
      <c r="E170" s="1744"/>
      <c r="F170" s="1682"/>
      <c r="G170" s="1745"/>
      <c r="H170" s="1727"/>
      <c r="I170" s="1727"/>
      <c r="J170" s="1746"/>
      <c r="K170" s="1658"/>
      <c r="L170" s="1654"/>
      <c r="M170" s="1654"/>
      <c r="N170" s="1942"/>
      <c r="O170" s="1685"/>
      <c r="P170" s="23958"/>
      <c r="Q170" s="23958"/>
      <c r="R170" s="24020"/>
      <c r="S170" s="23957"/>
      <c r="T170" s="253"/>
      <c r="U170" s="254"/>
      <c r="V170" s="254" t="s">
        <v>643</v>
      </c>
      <c r="W170" s="255"/>
      <c r="Y170" s="1185"/>
      <c r="Z170" s="1185"/>
      <c r="AA170" s="1185"/>
      <c r="AB170" s="1185"/>
      <c r="AC170" s="1185"/>
      <c r="AD170" s="1185"/>
      <c r="AE170" s="1185"/>
      <c r="AF170" s="1185"/>
      <c r="AG170" s="1185"/>
      <c r="AH170" s="1185"/>
      <c r="AI170" s="1185"/>
      <c r="AJ170" s="1185"/>
      <c r="AK170" s="1185"/>
    </row>
    <row r="171" spans="1:43" ht="17.25" customHeight="1">
      <c r="G171" s="1736"/>
      <c r="H171" s="1736"/>
      <c r="I171" s="1736"/>
      <c r="M171" s="1732"/>
    </row>
    <row r="172" spans="1:43" s="1750" customFormat="1" ht="17.25" customHeight="1">
      <c r="A172" s="1737"/>
      <c r="C172" s="1739"/>
      <c r="D172" s="1727"/>
      <c r="E172" s="1744"/>
      <c r="F172" s="1682"/>
      <c r="G172" s="1745"/>
      <c r="H172" s="1654"/>
      <c r="I172" s="1654"/>
      <c r="J172" s="1655"/>
      <c r="K172" s="1745"/>
      <c r="L172" s="1654"/>
      <c r="M172" s="1654"/>
      <c r="N172" s="1745"/>
      <c r="O172" s="1745"/>
      <c r="P172" s="1654"/>
      <c r="Q172" s="1654"/>
      <c r="R172" s="1656"/>
      <c r="S172" s="1745"/>
      <c r="T172" s="1709"/>
      <c r="U172" s="1709" t="s">
        <v>218</v>
      </c>
      <c r="V172" s="1740" t="s">
        <v>17</v>
      </c>
      <c r="W172" s="1699"/>
      <c r="Y172" s="1193"/>
      <c r="Z172" s="1193"/>
      <c r="AA172" s="1193"/>
      <c r="AB172" s="1193"/>
      <c r="AC172" s="1193"/>
      <c r="AD172" s="1193"/>
      <c r="AE172" s="1193"/>
      <c r="AF172" s="1193"/>
      <c r="AG172" s="1193"/>
      <c r="AH172" s="1193"/>
      <c r="AI172" s="1193"/>
      <c r="AJ172" s="1193"/>
      <c r="AK172" s="1193"/>
      <c r="AL172" s="1741"/>
      <c r="AM172" s="1741"/>
      <c r="AN172" s="1193"/>
      <c r="AO172" s="1193"/>
      <c r="AP172" s="1193"/>
      <c r="AQ172" s="1193"/>
    </row>
    <row r="174" spans="1:43" s="1713" customFormat="1" ht="17.25" customHeight="1">
      <c r="A174" s="1713" t="s">
        <v>2195</v>
      </c>
    </row>
    <row r="175" spans="1:43" ht="17.25" customHeight="1">
      <c r="G175" s="1736"/>
      <c r="H175" s="1736"/>
      <c r="I175" s="1736"/>
      <c r="M175" s="1732"/>
    </row>
    <row r="176" spans="1:43" s="1750" customFormat="1" ht="17.25" customHeight="1">
      <c r="A176" s="1737"/>
      <c r="C176" s="1739"/>
      <c r="D176" s="24014"/>
      <c r="E176" s="23969"/>
      <c r="F176" s="23982"/>
      <c r="G176" s="23987"/>
      <c r="H176" s="24014"/>
      <c r="I176" s="24014">
        <v>1</v>
      </c>
      <c r="J176" s="24015"/>
      <c r="K176" s="24018" t="s">
        <v>59</v>
      </c>
      <c r="L176" s="23958"/>
      <c r="M176" s="23958" t="s">
        <v>218</v>
      </c>
      <c r="N176" s="24010" t="str">
        <f>IF(Z176="","",INDEX(TERRITORY_MR_LIST,MATCH(Z176,TERRITORY_LIST_ID,0)))</f>
        <v/>
      </c>
      <c r="O176" s="24018" t="s">
        <v>59</v>
      </c>
      <c r="P176" s="23958"/>
      <c r="Q176" s="23958" t="s">
        <v>218</v>
      </c>
      <c r="R176" s="24020" t="s">
        <v>17</v>
      </c>
      <c r="S176" s="24013" t="s">
        <v>6</v>
      </c>
      <c r="T176" s="1700"/>
      <c r="U176" s="1700" t="s">
        <v>218</v>
      </c>
      <c r="V176" s="1360"/>
      <c r="W176" s="24015"/>
      <c r="Y176" s="1193"/>
      <c r="Z176" s="1193"/>
      <c r="AA176" s="1193"/>
      <c r="AB176" s="1193"/>
      <c r="AC176" s="1193"/>
      <c r="AD176" s="1193"/>
      <c r="AE176" s="1193"/>
      <c r="AF176" s="1193"/>
      <c r="AG176" s="1193"/>
      <c r="AH176" s="1193"/>
      <c r="AI176" s="1193"/>
      <c r="AJ176" s="1193"/>
      <c r="AK176" s="1193"/>
      <c r="AL176" s="1741"/>
      <c r="AM176" s="1741"/>
      <c r="AN176" s="1193"/>
      <c r="AO176" s="1193"/>
      <c r="AP176" s="1193"/>
      <c r="AQ176" s="1193"/>
    </row>
    <row r="177" spans="1:43" s="1750" customFormat="1" ht="17.25" customHeight="1">
      <c r="A177" s="1737"/>
      <c r="C177" s="1742"/>
      <c r="D177" s="24014"/>
      <c r="E177" s="23969"/>
      <c r="F177" s="23983"/>
      <c r="G177" s="23987"/>
      <c r="H177" s="24014"/>
      <c r="I177" s="24014"/>
      <c r="J177" s="24015"/>
      <c r="K177" s="24019"/>
      <c r="L177" s="23958"/>
      <c r="M177" s="23958"/>
      <c r="N177" s="24010"/>
      <c r="O177" s="24019"/>
      <c r="P177" s="23958"/>
      <c r="Q177" s="23958"/>
      <c r="R177" s="24020"/>
      <c r="S177" s="24013"/>
      <c r="T177" s="1361"/>
      <c r="U177" s="1362"/>
      <c r="V177" s="1362"/>
      <c r="W177" s="24015"/>
      <c r="Y177" s="1185"/>
      <c r="Z177" s="1185"/>
      <c r="AA177" s="1185"/>
      <c r="AB177" s="1185"/>
      <c r="AC177" s="1185"/>
      <c r="AD177" s="1185"/>
      <c r="AE177" s="1185"/>
      <c r="AF177" s="1185"/>
      <c r="AG177" s="1185"/>
      <c r="AH177" s="1185"/>
      <c r="AI177" s="1185"/>
      <c r="AJ177" s="1185"/>
      <c r="AK177" s="1185"/>
    </row>
    <row r="178" spans="1:43" s="1750" customFormat="1" ht="17.25" customHeight="1">
      <c r="A178" s="1737"/>
      <c r="C178" s="1742"/>
      <c r="D178" s="23981"/>
      <c r="E178" s="23970"/>
      <c r="F178" s="23983"/>
      <c r="G178" s="23989"/>
      <c r="H178" s="23981"/>
      <c r="I178" s="23981"/>
      <c r="J178" s="24017"/>
      <c r="K178" s="24019"/>
      <c r="L178" s="23981"/>
      <c r="M178" s="23981"/>
      <c r="N178" s="24012"/>
      <c r="O178" s="23962"/>
      <c r="P178" s="253"/>
      <c r="Q178" s="254"/>
      <c r="R178" s="254" t="s">
        <v>370</v>
      </c>
      <c r="S178" s="1743"/>
      <c r="T178" s="1743"/>
      <c r="U178" s="1743"/>
      <c r="V178" s="1743"/>
      <c r="W178" s="1359"/>
      <c r="Y178" s="1185"/>
      <c r="Z178" s="1185"/>
      <c r="AA178" s="1185"/>
      <c r="AB178" s="1185"/>
      <c r="AC178" s="1185"/>
      <c r="AD178" s="1185"/>
      <c r="AE178" s="1185"/>
      <c r="AF178" s="1185"/>
      <c r="AG178" s="1185"/>
      <c r="AH178" s="1185"/>
      <c r="AI178" s="1185"/>
      <c r="AJ178" s="1185"/>
      <c r="AK178" s="1185"/>
    </row>
    <row r="179" spans="1:43" s="1750" customFormat="1" ht="17.25" customHeight="1">
      <c r="A179" s="1737"/>
      <c r="C179" s="1742"/>
      <c r="D179" s="23981"/>
      <c r="E179" s="23970"/>
      <c r="F179" s="23983"/>
      <c r="G179" s="23989"/>
      <c r="H179" s="23981"/>
      <c r="I179" s="23981"/>
      <c r="J179" s="24017"/>
      <c r="K179" s="23962"/>
      <c r="L179" s="253"/>
      <c r="M179" s="254"/>
      <c r="N179" s="254" t="s">
        <v>481</v>
      </c>
      <c r="O179" s="254"/>
      <c r="P179" s="254"/>
      <c r="Q179" s="254"/>
      <c r="R179" s="254"/>
      <c r="S179" s="1743"/>
      <c r="T179" s="1743"/>
      <c r="U179" s="1743"/>
      <c r="V179" s="1743"/>
      <c r="W179" s="255"/>
      <c r="Y179" s="1185"/>
      <c r="Z179" s="1185"/>
      <c r="AA179" s="1185"/>
      <c r="AB179" s="1185"/>
      <c r="AC179" s="1185"/>
      <c r="AD179" s="1185"/>
      <c r="AE179" s="1185"/>
      <c r="AF179" s="1185"/>
      <c r="AG179" s="1185"/>
      <c r="AH179" s="1185"/>
      <c r="AI179" s="1185"/>
      <c r="AJ179" s="1185"/>
      <c r="AK179" s="1185"/>
    </row>
    <row r="180" spans="1:43" s="1750" customFormat="1" ht="17.25" customHeight="1">
      <c r="A180" s="1737"/>
      <c r="C180" s="1742"/>
      <c r="D180" s="23981"/>
      <c r="E180" s="23970"/>
      <c r="F180" s="23984"/>
      <c r="G180" s="23989"/>
      <c r="H180" s="253"/>
      <c r="I180" s="254"/>
      <c r="J180" s="254" t="s">
        <v>482</v>
      </c>
      <c r="K180" s="254"/>
      <c r="L180" s="254"/>
      <c r="M180" s="254"/>
      <c r="N180" s="254"/>
      <c r="O180" s="254"/>
      <c r="P180" s="254"/>
      <c r="Q180" s="254"/>
      <c r="R180" s="254"/>
      <c r="S180" s="1743"/>
      <c r="T180" s="1743"/>
      <c r="U180" s="1743"/>
      <c r="V180" s="1743"/>
      <c r="W180" s="255"/>
      <c r="Y180" s="1185"/>
      <c r="Z180" s="1185"/>
      <c r="AA180" s="1185"/>
      <c r="AB180" s="1185"/>
      <c r="AC180" s="1185"/>
      <c r="AD180" s="1185"/>
      <c r="AE180" s="1185"/>
      <c r="AF180" s="1185"/>
      <c r="AG180" s="1185"/>
      <c r="AH180" s="1185"/>
      <c r="AI180" s="1185"/>
      <c r="AJ180" s="1185"/>
      <c r="AK180" s="1185"/>
    </row>
    <row r="181" spans="1:43" ht="17.25" customHeight="1"/>
    <row r="182" spans="1:43" s="1750" customFormat="1" ht="17.25" customHeight="1">
      <c r="A182" s="1737"/>
      <c r="C182" s="1739"/>
      <c r="D182" s="1727"/>
      <c r="E182" s="1744"/>
      <c r="F182" s="1682"/>
      <c r="G182" s="1745"/>
      <c r="H182" s="24014"/>
      <c r="I182" s="24014">
        <v>1</v>
      </c>
      <c r="J182" s="24015"/>
      <c r="K182" s="24018" t="s">
        <v>59</v>
      </c>
      <c r="L182" s="23958"/>
      <c r="M182" s="23958" t="s">
        <v>218</v>
      </c>
      <c r="N182" s="24010" t="str">
        <f>IF(Z182="","",INDEX(TERRITORY_MR_LIST,MATCH(Z182,TERRITORY_LIST_ID,0)))</f>
        <v/>
      </c>
      <c r="O182" s="24018" t="s">
        <v>59</v>
      </c>
      <c r="P182" s="23958"/>
      <c r="Q182" s="23958" t="s">
        <v>218</v>
      </c>
      <c r="R182" s="24020" t="s">
        <v>17</v>
      </c>
      <c r="S182" s="24013" t="s">
        <v>6</v>
      </c>
      <c r="T182" s="1700"/>
      <c r="U182" s="1700" t="s">
        <v>218</v>
      </c>
      <c r="V182" s="1360"/>
      <c r="W182" s="24015"/>
      <c r="Y182" s="1193"/>
      <c r="Z182" s="1193"/>
      <c r="AA182" s="1193"/>
      <c r="AB182" s="1193"/>
      <c r="AC182" s="1193"/>
      <c r="AD182" s="1193"/>
      <c r="AE182" s="1193"/>
      <c r="AF182" s="1193"/>
      <c r="AG182" s="1193"/>
      <c r="AH182" s="1193"/>
      <c r="AI182" s="1193"/>
      <c r="AJ182" s="1193"/>
      <c r="AK182" s="1193"/>
      <c r="AL182" s="1741"/>
      <c r="AM182" s="1741"/>
      <c r="AN182" s="1193"/>
      <c r="AO182" s="1193"/>
      <c r="AP182" s="1193"/>
      <c r="AQ182" s="1193"/>
    </row>
    <row r="183" spans="1:43" s="1750" customFormat="1" ht="17.25" customHeight="1">
      <c r="A183" s="1737"/>
      <c r="C183" s="1742"/>
      <c r="D183" s="1727"/>
      <c r="E183" s="1744"/>
      <c r="F183" s="1682"/>
      <c r="G183" s="1745"/>
      <c r="H183" s="24014"/>
      <c r="I183" s="24014"/>
      <c r="J183" s="24015"/>
      <c r="K183" s="24019"/>
      <c r="L183" s="23958"/>
      <c r="M183" s="23958"/>
      <c r="N183" s="24010"/>
      <c r="O183" s="24019"/>
      <c r="P183" s="23958"/>
      <c r="Q183" s="23958"/>
      <c r="R183" s="24020"/>
      <c r="S183" s="24013"/>
      <c r="T183" s="1361"/>
      <c r="U183" s="1362"/>
      <c r="V183" s="1362"/>
      <c r="W183" s="24015"/>
      <c r="Y183" s="1185"/>
      <c r="Z183" s="1185"/>
      <c r="AA183" s="1185"/>
      <c r="AB183" s="1185"/>
      <c r="AC183" s="1185"/>
      <c r="AD183" s="1185"/>
      <c r="AE183" s="1185"/>
      <c r="AF183" s="1185"/>
      <c r="AG183" s="1185"/>
      <c r="AH183" s="1185"/>
      <c r="AI183" s="1185"/>
      <c r="AJ183" s="1185"/>
      <c r="AK183" s="1185"/>
    </row>
    <row r="184" spans="1:43" s="1750" customFormat="1" ht="17.25" customHeight="1">
      <c r="A184" s="1737"/>
      <c r="C184" s="1742"/>
      <c r="D184" s="1727"/>
      <c r="E184" s="1744"/>
      <c r="F184" s="1682"/>
      <c r="G184" s="1745"/>
      <c r="H184" s="23981"/>
      <c r="I184" s="23981"/>
      <c r="J184" s="24017"/>
      <c r="K184" s="24019"/>
      <c r="L184" s="23981"/>
      <c r="M184" s="23981"/>
      <c r="N184" s="24012"/>
      <c r="O184" s="23962"/>
      <c r="P184" s="253"/>
      <c r="Q184" s="254"/>
      <c r="R184" s="254" t="s">
        <v>370</v>
      </c>
      <c r="S184" s="1743"/>
      <c r="T184" s="1743"/>
      <c r="U184" s="1743"/>
      <c r="V184" s="1743"/>
      <c r="W184" s="1359"/>
      <c r="Y184" s="1185"/>
      <c r="Z184" s="1185"/>
      <c r="AA184" s="1185"/>
      <c r="AB184" s="1185"/>
      <c r="AC184" s="1185"/>
      <c r="AD184" s="1185"/>
      <c r="AE184" s="1185"/>
      <c r="AF184" s="1185"/>
      <c r="AG184" s="1185"/>
      <c r="AH184" s="1185"/>
      <c r="AI184" s="1185"/>
      <c r="AJ184" s="1185"/>
      <c r="AK184" s="1185"/>
    </row>
    <row r="185" spans="1:43" s="1750" customFormat="1" ht="17.25" customHeight="1">
      <c r="A185" s="1737"/>
      <c r="C185" s="1742"/>
      <c r="D185" s="1727"/>
      <c r="E185" s="1744"/>
      <c r="F185" s="1682"/>
      <c r="G185" s="1745"/>
      <c r="H185" s="23981"/>
      <c r="I185" s="23981"/>
      <c r="J185" s="24017"/>
      <c r="K185" s="23962"/>
      <c r="L185" s="253"/>
      <c r="M185" s="254"/>
      <c r="N185" s="254" t="s">
        <v>481</v>
      </c>
      <c r="O185" s="254"/>
      <c r="P185" s="254"/>
      <c r="Q185" s="254"/>
      <c r="R185" s="254"/>
      <c r="S185" s="1743"/>
      <c r="T185" s="1743"/>
      <c r="U185" s="1743"/>
      <c r="V185" s="1743"/>
      <c r="W185" s="255"/>
      <c r="Y185" s="1185"/>
      <c r="Z185" s="1185"/>
      <c r="AA185" s="1185"/>
      <c r="AB185" s="1185"/>
      <c r="AC185" s="1185"/>
      <c r="AD185" s="1185"/>
      <c r="AE185" s="1185"/>
      <c r="AF185" s="1185"/>
      <c r="AG185" s="1185"/>
      <c r="AH185" s="1185"/>
      <c r="AI185" s="1185"/>
      <c r="AJ185" s="1185"/>
      <c r="AK185" s="1185"/>
    </row>
    <row r="186" spans="1:43" ht="17.25" customHeight="1"/>
    <row r="187" spans="1:43" s="1750" customFormat="1" ht="17.25" customHeight="1">
      <c r="A187" s="1737"/>
      <c r="C187" s="1739"/>
      <c r="D187" s="1727"/>
      <c r="E187" s="1744"/>
      <c r="F187" s="1682"/>
      <c r="G187" s="1745"/>
      <c r="H187" s="1727"/>
      <c r="I187" s="1727"/>
      <c r="J187" s="1748"/>
      <c r="K187" s="1745"/>
      <c r="L187" s="23958"/>
      <c r="M187" s="23958" t="s">
        <v>218</v>
      </c>
      <c r="N187" s="24010" t="str">
        <f>IF(Z187="","",INDEX(TERRITORY_MR_LIST,MATCH(Z187,TERRITORY_LIST_ID,0)))</f>
        <v/>
      </c>
      <c r="O187" s="24018" t="s">
        <v>59</v>
      </c>
      <c r="P187" s="23958"/>
      <c r="Q187" s="23958" t="s">
        <v>218</v>
      </c>
      <c r="R187" s="24020" t="s">
        <v>17</v>
      </c>
      <c r="S187" s="24013" t="s">
        <v>6</v>
      </c>
      <c r="T187" s="1700"/>
      <c r="U187" s="1700" t="s">
        <v>218</v>
      </c>
      <c r="V187" s="1360"/>
      <c r="W187" s="24015"/>
      <c r="Y187" s="1193"/>
      <c r="Z187" s="1193"/>
      <c r="AA187" s="1193"/>
      <c r="AB187" s="1193"/>
      <c r="AC187" s="1193"/>
      <c r="AD187" s="1193"/>
      <c r="AE187" s="1193"/>
      <c r="AF187" s="1193"/>
      <c r="AG187" s="1193"/>
      <c r="AH187" s="1193"/>
      <c r="AI187" s="1193"/>
      <c r="AJ187" s="1193"/>
      <c r="AK187" s="1193"/>
      <c r="AL187" s="1741"/>
      <c r="AM187" s="1741"/>
      <c r="AN187" s="1193"/>
      <c r="AO187" s="1193"/>
      <c r="AP187" s="1193"/>
      <c r="AQ187" s="1193"/>
    </row>
    <row r="188" spans="1:43" s="1750" customFormat="1" ht="17.25" customHeight="1">
      <c r="A188" s="1737"/>
      <c r="C188" s="1742"/>
      <c r="D188" s="1727"/>
      <c r="E188" s="1744"/>
      <c r="F188" s="1682"/>
      <c r="G188" s="1745"/>
      <c r="H188" s="1727"/>
      <c r="I188" s="1727"/>
      <c r="J188" s="1748"/>
      <c r="K188" s="1745"/>
      <c r="L188" s="23958"/>
      <c r="M188" s="23958"/>
      <c r="N188" s="24010"/>
      <c r="O188" s="24019"/>
      <c r="P188" s="23958"/>
      <c r="Q188" s="23958"/>
      <c r="R188" s="24020"/>
      <c r="S188" s="24013"/>
      <c r="T188" s="1361"/>
      <c r="U188" s="1362"/>
      <c r="V188" s="1362"/>
      <c r="W188" s="24015"/>
      <c r="Y188" s="1185"/>
      <c r="Z188" s="1185"/>
      <c r="AA188" s="1185"/>
      <c r="AB188" s="1185"/>
      <c r="AC188" s="1185"/>
      <c r="AD188" s="1185"/>
      <c r="AE188" s="1185"/>
      <c r="AF188" s="1185"/>
      <c r="AG188" s="1185"/>
      <c r="AH188" s="1185"/>
      <c r="AI188" s="1185"/>
      <c r="AJ188" s="1185"/>
      <c r="AK188" s="1185"/>
    </row>
    <row r="189" spans="1:43" s="1750" customFormat="1" ht="17.25" customHeight="1">
      <c r="A189" s="1737"/>
      <c r="C189" s="1742"/>
      <c r="D189" s="1727"/>
      <c r="E189" s="1744"/>
      <c r="F189" s="1682"/>
      <c r="G189" s="1745"/>
      <c r="H189" s="1727"/>
      <c r="I189" s="1727"/>
      <c r="J189" s="1748"/>
      <c r="K189" s="1745"/>
      <c r="L189" s="23981"/>
      <c r="M189" s="23981"/>
      <c r="N189" s="24012"/>
      <c r="O189" s="23962"/>
      <c r="P189" s="253"/>
      <c r="Q189" s="254"/>
      <c r="R189" s="254" t="s">
        <v>370</v>
      </c>
      <c r="S189" s="1743"/>
      <c r="T189" s="1743"/>
      <c r="U189" s="1743"/>
      <c r="V189" s="1743"/>
      <c r="W189" s="1359"/>
      <c r="Y189" s="1185"/>
      <c r="Z189" s="1185"/>
      <c r="AA189" s="1185"/>
      <c r="AB189" s="1185"/>
      <c r="AC189" s="1185"/>
      <c r="AD189" s="1185"/>
      <c r="AE189" s="1185"/>
      <c r="AF189" s="1185"/>
      <c r="AG189" s="1185"/>
      <c r="AH189" s="1185"/>
      <c r="AI189" s="1185"/>
      <c r="AJ189" s="1185"/>
      <c r="AK189" s="1185"/>
    </row>
    <row r="190" spans="1:43" ht="17.25" customHeight="1"/>
    <row r="191" spans="1:43" s="1750" customFormat="1" ht="17.25" customHeight="1">
      <c r="A191" s="1737"/>
      <c r="C191" s="1739"/>
      <c r="D191" s="1727"/>
      <c r="E191" s="1744"/>
      <c r="F191" s="1682"/>
      <c r="G191" s="1745"/>
      <c r="H191" s="1727"/>
      <c r="I191" s="1727"/>
      <c r="J191" s="1748"/>
      <c r="K191" s="1745"/>
      <c r="L191" s="1727"/>
      <c r="M191" s="1727"/>
      <c r="N191" s="1942"/>
      <c r="O191" s="1685"/>
      <c r="P191" s="23958"/>
      <c r="Q191" s="23958" t="s">
        <v>218</v>
      </c>
      <c r="R191" s="24020" t="s">
        <v>17</v>
      </c>
      <c r="S191" s="24013" t="s">
        <v>6</v>
      </c>
      <c r="T191" s="1700"/>
      <c r="U191" s="1700" t="s">
        <v>218</v>
      </c>
      <c r="V191" s="1360"/>
      <c r="W191" s="24015"/>
      <c r="Y191" s="1193"/>
      <c r="Z191" s="1193"/>
      <c r="AA191" s="1193"/>
      <c r="AB191" s="1193"/>
      <c r="AC191" s="1193"/>
      <c r="AD191" s="1193"/>
      <c r="AE191" s="1193"/>
      <c r="AF191" s="1193"/>
      <c r="AG191" s="1193"/>
      <c r="AH191" s="1193"/>
      <c r="AI191" s="1193"/>
      <c r="AJ191" s="1193"/>
      <c r="AK191" s="1193"/>
      <c r="AL191" s="1741"/>
      <c r="AM191" s="1741"/>
      <c r="AN191" s="1193"/>
      <c r="AO191" s="1193"/>
      <c r="AP191" s="1193"/>
      <c r="AQ191" s="1193"/>
    </row>
    <row r="192" spans="1:43" s="1750" customFormat="1" ht="17.25" customHeight="1">
      <c r="A192" s="1737"/>
      <c r="C192" s="1742"/>
      <c r="D192" s="1727"/>
      <c r="E192" s="1744"/>
      <c r="F192" s="1682"/>
      <c r="G192" s="1745"/>
      <c r="H192" s="1727"/>
      <c r="I192" s="1727"/>
      <c r="J192" s="1748"/>
      <c r="K192" s="1745"/>
      <c r="L192" s="1727"/>
      <c r="M192" s="1727"/>
      <c r="N192" s="1942"/>
      <c r="O192" s="1685"/>
      <c r="P192" s="23958"/>
      <c r="Q192" s="23958"/>
      <c r="R192" s="24020"/>
      <c r="S192" s="24013"/>
      <c r="T192" s="1361"/>
      <c r="U192" s="1362"/>
      <c r="V192" s="1362"/>
      <c r="W192" s="24015"/>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37"/>
      <c r="B194" s="1738"/>
      <c r="C194" s="1742"/>
      <c r="D194" s="24014"/>
      <c r="E194" s="24032"/>
      <c r="F194" s="24032"/>
      <c r="G194" s="23947"/>
      <c r="H194" s="23971"/>
      <c r="I194" s="23973"/>
      <c r="J194" s="23975"/>
      <c r="K194" s="23967"/>
      <c r="L194" s="23967"/>
      <c r="M194" s="23967"/>
      <c r="N194" s="23978"/>
      <c r="O194" s="23967"/>
      <c r="P194" s="23967"/>
      <c r="Q194" s="23967"/>
      <c r="R194" s="23965"/>
      <c r="S194" s="23967"/>
      <c r="T194" s="1681"/>
      <c r="U194" s="1681"/>
      <c r="V194" s="1749"/>
      <c r="W194" s="1222"/>
    </row>
    <row r="195" spans="1:63" ht="16.5" customHeight="1">
      <c r="A195" s="1737"/>
      <c r="B195" s="1738"/>
      <c r="C195" s="1742"/>
      <c r="D195" s="24014"/>
      <c r="E195" s="24032"/>
      <c r="F195" s="24032"/>
      <c r="G195" s="23947"/>
      <c r="H195" s="23972"/>
      <c r="I195" s="23974"/>
      <c r="J195" s="23976"/>
      <c r="K195" s="23968"/>
      <c r="L195" s="23968"/>
      <c r="M195" s="23968"/>
      <c r="N195" s="23979"/>
      <c r="O195" s="23968"/>
      <c r="P195" s="23968"/>
      <c r="Q195" s="23968"/>
      <c r="R195" s="23966"/>
      <c r="S195" s="23968"/>
      <c r="T195" s="1223"/>
      <c r="U195" s="1223"/>
      <c r="V195" s="1223"/>
      <c r="W195" s="1224"/>
    </row>
    <row r="196" spans="1:63" ht="17.25" customHeight="1">
      <c r="A196" s="1737"/>
      <c r="B196" s="1738"/>
      <c r="C196" s="1742"/>
      <c r="D196" s="24014"/>
      <c r="E196" s="24032"/>
      <c r="F196" s="24032"/>
      <c r="G196" s="23947"/>
      <c r="H196" s="23972"/>
      <c r="I196" s="23974"/>
      <c r="J196" s="23977"/>
      <c r="K196" s="23968"/>
      <c r="L196" s="23968"/>
      <c r="M196" s="23968"/>
      <c r="N196" s="23966"/>
      <c r="O196" s="23968"/>
      <c r="P196" s="1684"/>
      <c r="Q196" s="1223"/>
      <c r="R196" s="1223"/>
      <c r="S196" s="1750"/>
      <c r="T196" s="1750"/>
      <c r="U196" s="1750"/>
      <c r="V196" s="1750"/>
      <c r="W196" s="1224"/>
    </row>
    <row r="197" spans="1:63" ht="17.25" customHeight="1">
      <c r="A197" s="1737"/>
      <c r="B197" s="1738"/>
      <c r="C197" s="1742"/>
      <c r="D197" s="24014"/>
      <c r="E197" s="24032"/>
      <c r="F197" s="24032"/>
      <c r="G197" s="23947"/>
      <c r="H197" s="23972"/>
      <c r="I197" s="23974"/>
      <c r="J197" s="23977"/>
      <c r="K197" s="23968"/>
      <c r="L197" s="1223"/>
      <c r="M197" s="1223"/>
      <c r="N197" s="1223"/>
      <c r="O197" s="1223"/>
      <c r="P197" s="1223"/>
      <c r="Q197" s="1223"/>
      <c r="R197" s="1223"/>
      <c r="S197" s="1750"/>
      <c r="T197" s="1750"/>
      <c r="U197" s="1750"/>
      <c r="V197" s="1750"/>
      <c r="W197" s="1224"/>
    </row>
    <row r="198" spans="1:63" ht="17.25" customHeight="1">
      <c r="A198" s="1737"/>
      <c r="B198" s="1738"/>
      <c r="C198" s="1742"/>
      <c r="D198" s="24014"/>
      <c r="E198" s="24032"/>
      <c r="F198" s="24032"/>
      <c r="G198" s="23947"/>
      <c r="H198" s="1225"/>
      <c r="I198" s="1226"/>
      <c r="J198" s="1226"/>
      <c r="K198" s="1226"/>
      <c r="L198" s="1226"/>
      <c r="M198" s="1226"/>
      <c r="N198" s="1226"/>
      <c r="O198" s="1226"/>
      <c r="P198" s="1226"/>
      <c r="Q198" s="1226"/>
      <c r="R198" s="1226"/>
      <c r="S198" s="1751"/>
      <c r="T198" s="1751"/>
      <c r="U198" s="1751"/>
      <c r="V198" s="1751"/>
      <c r="W198" s="1228"/>
    </row>
    <row r="200" spans="1:63" s="1713" customFormat="1" ht="17.25" customHeight="1">
      <c r="A200" s="1713" t="s">
        <v>2196</v>
      </c>
    </row>
    <row r="201" spans="1:63" ht="17.25" customHeight="1">
      <c r="G201" s="1736"/>
      <c r="H201" s="1736"/>
      <c r="I201" s="1736"/>
      <c r="M201" s="1732"/>
    </row>
    <row r="202" spans="1:63" s="1747" customFormat="1" ht="15" customHeight="1">
      <c r="D202" s="24371"/>
      <c r="E202" s="24027"/>
      <c r="F202" s="24027"/>
      <c r="G202" s="24018"/>
      <c r="H202" s="1490"/>
      <c r="I202" s="24372">
        <v>1</v>
      </c>
      <c r="J202" s="24015"/>
      <c r="K202" s="1505"/>
      <c r="L202" s="24018" t="s">
        <v>59</v>
      </c>
      <c r="M202" s="24018" t="s">
        <v>59</v>
      </c>
      <c r="N202" s="1490"/>
      <c r="O202" s="23958" t="s">
        <v>218</v>
      </c>
      <c r="P202" s="24378"/>
      <c r="Q202" s="1506"/>
      <c r="R202" s="24018" t="s">
        <v>59</v>
      </c>
      <c r="S202" s="24018" t="s">
        <v>59</v>
      </c>
      <c r="T202" s="1752"/>
      <c r="U202" s="23958" t="s">
        <v>218</v>
      </c>
      <c r="V202" s="24368" t="str">
        <f>IF(AK202="","",INDEX(TERRITORY_MR_LIST,MATCH(AK202,TERRITORY_LIST_ID,0)))</f>
        <v/>
      </c>
      <c r="W202" s="1507"/>
      <c r="X202" s="24018" t="s">
        <v>59</v>
      </c>
      <c r="Y202" s="24018" t="s">
        <v>6</v>
      </c>
      <c r="Z202" s="1490"/>
      <c r="AA202" s="23958" t="s">
        <v>218</v>
      </c>
      <c r="AB202" s="24370"/>
      <c r="AC202" s="1508"/>
      <c r="AD202" s="24018" t="s">
        <v>59</v>
      </c>
      <c r="AE202" s="24018" t="s">
        <v>6</v>
      </c>
      <c r="AF202" s="1488"/>
      <c r="AG202" s="1709" t="s">
        <v>218</v>
      </c>
      <c r="AH202" s="1498"/>
      <c r="AI202" s="1699"/>
    </row>
    <row r="203" spans="1:63" s="1747" customFormat="1" ht="15" customHeight="1">
      <c r="D203" s="24371"/>
      <c r="E203" s="24027"/>
      <c r="F203" s="24027"/>
      <c r="G203" s="24019"/>
      <c r="H203" s="1490"/>
      <c r="I203" s="24372"/>
      <c r="J203" s="24015"/>
      <c r="K203" s="1489"/>
      <c r="L203" s="24019"/>
      <c r="M203" s="24019"/>
      <c r="N203" s="1490"/>
      <c r="O203" s="23958"/>
      <c r="P203" s="24378"/>
      <c r="Q203" s="1486"/>
      <c r="R203" s="24019"/>
      <c r="S203" s="24019"/>
      <c r="T203" s="1752"/>
      <c r="U203" s="23958"/>
      <c r="V203" s="24369"/>
      <c r="W203" s="1487"/>
      <c r="X203" s="24019"/>
      <c r="Y203" s="24019"/>
      <c r="Z203" s="1490"/>
      <c r="AA203" s="23958"/>
      <c r="AB203" s="24308"/>
      <c r="AC203" s="1491"/>
      <c r="AD203" s="23962"/>
      <c r="AE203" s="23962"/>
      <c r="AF203" s="1492"/>
      <c r="AG203" s="1493"/>
      <c r="AH203" s="24374" t="s">
        <v>2197</v>
      </c>
      <c r="AI203" s="24375"/>
    </row>
    <row r="204" spans="1:63" s="1747" customFormat="1" ht="15" customHeight="1">
      <c r="D204" s="24371"/>
      <c r="E204" s="24027"/>
      <c r="F204" s="24027"/>
      <c r="G204" s="24019"/>
      <c r="H204" s="1490"/>
      <c r="I204" s="24372"/>
      <c r="J204" s="24015"/>
      <c r="K204" s="1489"/>
      <c r="L204" s="24019"/>
      <c r="M204" s="24019"/>
      <c r="N204" s="1490"/>
      <c r="O204" s="23958"/>
      <c r="P204" s="24378"/>
      <c r="Q204" s="1486"/>
      <c r="R204" s="24019"/>
      <c r="S204" s="24019"/>
      <c r="T204" s="1752"/>
      <c r="U204" s="23958"/>
      <c r="V204" s="24369"/>
      <c r="W204" s="1487"/>
      <c r="X204" s="24019"/>
      <c r="Y204" s="24019"/>
      <c r="Z204" s="1529"/>
      <c r="AA204" s="1495"/>
      <c r="AB204" s="24376" t="s">
        <v>2198</v>
      </c>
      <c r="AC204" s="24376"/>
      <c r="AD204" s="24376"/>
      <c r="AE204" s="24376"/>
      <c r="AF204" s="24376"/>
      <c r="AG204" s="24376"/>
      <c r="AH204" s="24376"/>
      <c r="AI204" s="24377"/>
    </row>
    <row r="205" spans="1:63" s="1747" customFormat="1" ht="15" customHeight="1">
      <c r="D205" s="24371"/>
      <c r="E205" s="24027"/>
      <c r="F205" s="24027"/>
      <c r="G205" s="24019"/>
      <c r="H205" s="1490"/>
      <c r="I205" s="24372"/>
      <c r="J205" s="24015"/>
      <c r="K205" s="1489"/>
      <c r="L205" s="24019"/>
      <c r="M205" s="24019"/>
      <c r="N205" s="1490"/>
      <c r="O205" s="23958"/>
      <c r="P205" s="24379"/>
      <c r="Q205" s="1486"/>
      <c r="R205" s="24019"/>
      <c r="S205" s="24019"/>
      <c r="T205" s="1753"/>
      <c r="U205" s="1530"/>
      <c r="V205" s="24374" t="s">
        <v>212</v>
      </c>
      <c r="W205" s="24374"/>
      <c r="X205" s="24374"/>
      <c r="Y205" s="24374"/>
      <c r="Z205" s="24374"/>
      <c r="AA205" s="24374"/>
      <c r="AB205" s="24374"/>
      <c r="AC205" s="24374"/>
      <c r="AD205" s="24374"/>
      <c r="AE205" s="24374"/>
      <c r="AF205" s="24374"/>
      <c r="AG205" s="24374"/>
      <c r="AH205" s="24374"/>
      <c r="AI205" s="24375"/>
    </row>
    <row r="206" spans="1:63" s="1747" customFormat="1" ht="11.25" customHeight="1">
      <c r="D206" s="24371"/>
      <c r="E206" s="24027"/>
      <c r="F206" s="24027"/>
      <c r="G206" s="24019"/>
      <c r="H206" s="1494"/>
      <c r="I206" s="24372"/>
      <c r="J206" s="24373"/>
      <c r="K206" s="1489"/>
      <c r="L206" s="24019"/>
      <c r="M206" s="24019"/>
      <c r="N206" s="1494"/>
      <c r="O206" s="1495"/>
      <c r="P206" s="24374" t="s">
        <v>2199</v>
      </c>
      <c r="Q206" s="24374"/>
      <c r="R206" s="24374"/>
      <c r="S206" s="24374"/>
      <c r="T206" s="24374"/>
      <c r="U206" s="24374"/>
      <c r="V206" s="24374"/>
      <c r="W206" s="24374"/>
      <c r="X206" s="24374"/>
      <c r="Y206" s="24374"/>
      <c r="Z206" s="24374"/>
      <c r="AA206" s="24374"/>
      <c r="AB206" s="24374"/>
      <c r="AC206" s="24374"/>
      <c r="AD206" s="24374"/>
      <c r="AE206" s="24374"/>
      <c r="AF206" s="24374"/>
      <c r="AG206" s="24374"/>
      <c r="AH206" s="24374"/>
      <c r="AI206" s="24375"/>
    </row>
    <row r="207" spans="1:63" s="1480" customFormat="1" ht="11.25" customHeight="1">
      <c r="D207" s="24371"/>
      <c r="E207" s="24027"/>
      <c r="F207" s="24027"/>
      <c r="G207" s="23962"/>
      <c r="H207" s="1496"/>
      <c r="I207" s="1497"/>
      <c r="J207" s="24374" t="s">
        <v>482</v>
      </c>
      <c r="K207" s="24374"/>
      <c r="L207" s="24374"/>
      <c r="M207" s="24374"/>
      <c r="N207" s="24374"/>
      <c r="O207" s="24374"/>
      <c r="P207" s="24374"/>
      <c r="Q207" s="24374"/>
      <c r="R207" s="24374"/>
      <c r="S207" s="24374"/>
      <c r="T207" s="24374"/>
      <c r="U207" s="24374"/>
      <c r="V207" s="24374"/>
      <c r="W207" s="24374"/>
      <c r="X207" s="24374"/>
      <c r="Y207" s="24374"/>
      <c r="Z207" s="24374"/>
      <c r="AA207" s="24374"/>
      <c r="AB207" s="24374"/>
      <c r="AC207" s="24374"/>
      <c r="AD207" s="24374"/>
      <c r="AE207" s="24374"/>
      <c r="AF207" s="24374"/>
      <c r="AG207" s="24374"/>
      <c r="AH207" s="24374"/>
      <c r="AI207" s="24375"/>
      <c r="BK207" s="1500"/>
    </row>
    <row r="208" spans="1:63" ht="17.25" customHeight="1">
      <c r="G208" s="1736"/>
      <c r="I208" s="1736"/>
      <c r="J208" s="1736"/>
      <c r="N208" s="1732"/>
    </row>
    <row r="209" spans="4:63" s="1747" customFormat="1" ht="15" customHeight="1">
      <c r="D209" s="24371"/>
      <c r="E209" s="24027"/>
      <c r="F209" s="24027"/>
      <c r="G209" s="24032"/>
      <c r="H209" s="1525"/>
      <c r="I209" s="24035"/>
      <c r="J209" s="23975"/>
      <c r="K209" s="1683"/>
      <c r="L209" s="23967"/>
      <c r="M209" s="23967"/>
      <c r="N209" s="1510"/>
      <c r="O209" s="23967"/>
      <c r="P209" s="23975"/>
      <c r="Q209" s="1687"/>
      <c r="R209" s="23967"/>
      <c r="S209" s="23967"/>
      <c r="T209" s="1754"/>
      <c r="U209" s="23967"/>
      <c r="V209" s="23975"/>
      <c r="W209" s="1513"/>
      <c r="X209" s="23967"/>
      <c r="Y209" s="23967"/>
      <c r="Z209" s="1510"/>
      <c r="AA209" s="23967"/>
      <c r="AB209" s="23975"/>
      <c r="AC209" s="1514"/>
      <c r="AD209" s="23967"/>
      <c r="AE209" s="23967"/>
      <c r="AF209" s="1681"/>
      <c r="AG209" s="1681"/>
      <c r="AH209" s="1515"/>
      <c r="AI209" s="1222"/>
    </row>
    <row r="210" spans="4:63" s="1747" customFormat="1" ht="15" customHeight="1">
      <c r="D210" s="24371"/>
      <c r="E210" s="24027"/>
      <c r="F210" s="24027"/>
      <c r="G210" s="24032"/>
      <c r="H210" s="1526"/>
      <c r="I210" s="24036"/>
      <c r="J210" s="23976"/>
      <c r="K210" s="1536"/>
      <c r="L210" s="23968"/>
      <c r="M210" s="23968"/>
      <c r="N210" s="1516"/>
      <c r="O210" s="23968"/>
      <c r="P210" s="23976"/>
      <c r="Q210" s="1688"/>
      <c r="R210" s="23968"/>
      <c r="S210" s="23968"/>
      <c r="T210" s="1755"/>
      <c r="U210" s="23968"/>
      <c r="V210" s="23976"/>
      <c r="W210" s="1519"/>
      <c r="X210" s="23968"/>
      <c r="Y210" s="23968"/>
      <c r="Z210" s="1516"/>
      <c r="AA210" s="23968"/>
      <c r="AB210" s="23976"/>
      <c r="AC210" s="1520"/>
      <c r="AD210" s="23968"/>
      <c r="AE210" s="23968"/>
      <c r="AF210" s="1686"/>
      <c r="AG210" s="1686"/>
      <c r="AH210" s="24039"/>
      <c r="AI210" s="24040"/>
    </row>
    <row r="211" spans="4:63" s="1747" customFormat="1" ht="15" customHeight="1">
      <c r="D211" s="24371"/>
      <c r="E211" s="24027"/>
      <c r="F211" s="24027"/>
      <c r="G211" s="24032"/>
      <c r="H211" s="1526"/>
      <c r="I211" s="24036"/>
      <c r="J211" s="23976"/>
      <c r="K211" s="1536"/>
      <c r="L211" s="23968"/>
      <c r="M211" s="23968"/>
      <c r="N211" s="1516"/>
      <c r="O211" s="23968"/>
      <c r="P211" s="23976"/>
      <c r="Q211" s="1688"/>
      <c r="R211" s="23968"/>
      <c r="S211" s="23968"/>
      <c r="T211" s="1755"/>
      <c r="U211" s="23968"/>
      <c r="V211" s="23976"/>
      <c r="W211" s="1519"/>
      <c r="X211" s="23968"/>
      <c r="Y211" s="23968"/>
      <c r="Z211" s="1684"/>
      <c r="AA211" s="1686"/>
      <c r="AB211" s="24039"/>
      <c r="AC211" s="24039"/>
      <c r="AD211" s="24039"/>
      <c r="AE211" s="24039"/>
      <c r="AF211" s="24039"/>
      <c r="AG211" s="24039"/>
      <c r="AH211" s="24039"/>
      <c r="AI211" s="24040"/>
    </row>
    <row r="212" spans="4:63" s="1747" customFormat="1" ht="15" customHeight="1">
      <c r="D212" s="24371"/>
      <c r="E212" s="24027"/>
      <c r="F212" s="24027"/>
      <c r="G212" s="24032"/>
      <c r="H212" s="1526"/>
      <c r="I212" s="24036"/>
      <c r="J212" s="23976"/>
      <c r="K212" s="1536"/>
      <c r="L212" s="23968"/>
      <c r="M212" s="23968"/>
      <c r="N212" s="1516"/>
      <c r="O212" s="23968"/>
      <c r="P212" s="23976"/>
      <c r="Q212" s="1688"/>
      <c r="R212" s="23968"/>
      <c r="S212" s="23968"/>
      <c r="T212" s="1756"/>
      <c r="U212" s="1523"/>
      <c r="V212" s="24039"/>
      <c r="W212" s="24039"/>
      <c r="X212" s="24039"/>
      <c r="Y212" s="24039"/>
      <c r="Z212" s="24039"/>
      <c r="AA212" s="24039"/>
      <c r="AB212" s="24039"/>
      <c r="AC212" s="24039"/>
      <c r="AD212" s="24039"/>
      <c r="AE212" s="24039"/>
      <c r="AF212" s="24039"/>
      <c r="AG212" s="24039"/>
      <c r="AH212" s="24039"/>
      <c r="AI212" s="24040"/>
    </row>
    <row r="213" spans="4:63" s="1747" customFormat="1" ht="11.25" customHeight="1">
      <c r="D213" s="24371"/>
      <c r="E213" s="24027"/>
      <c r="F213" s="24027"/>
      <c r="G213" s="24032"/>
      <c r="H213" s="1527"/>
      <c r="I213" s="24036"/>
      <c r="J213" s="23976"/>
      <c r="K213" s="1536"/>
      <c r="L213" s="23968"/>
      <c r="M213" s="23968"/>
      <c r="N213" s="1686"/>
      <c r="O213" s="1686"/>
      <c r="P213" s="24039"/>
      <c r="Q213" s="24039"/>
      <c r="R213" s="24039"/>
      <c r="S213" s="24039"/>
      <c r="T213" s="24039"/>
      <c r="U213" s="24039"/>
      <c r="V213" s="24039"/>
      <c r="W213" s="24039"/>
      <c r="X213" s="24039"/>
      <c r="Y213" s="24039"/>
      <c r="Z213" s="24039"/>
      <c r="AA213" s="24039"/>
      <c r="AB213" s="24039"/>
      <c r="AC213" s="24039"/>
      <c r="AD213" s="24039"/>
      <c r="AE213" s="24039"/>
      <c r="AF213" s="24039"/>
      <c r="AG213" s="24039"/>
      <c r="AH213" s="24039"/>
      <c r="AI213" s="24040"/>
    </row>
    <row r="214" spans="4:63" s="1480" customFormat="1" ht="11.25" customHeight="1">
      <c r="D214" s="24371"/>
      <c r="E214" s="24027"/>
      <c r="F214" s="24027"/>
      <c r="G214" s="24041"/>
      <c r="H214" s="1524"/>
      <c r="I214" s="1528"/>
      <c r="J214" s="24037"/>
      <c r="K214" s="24037"/>
      <c r="L214" s="24037"/>
      <c r="M214" s="24037"/>
      <c r="N214" s="24037"/>
      <c r="O214" s="24037"/>
      <c r="P214" s="24037"/>
      <c r="Q214" s="24037"/>
      <c r="R214" s="24037"/>
      <c r="S214" s="24037"/>
      <c r="T214" s="24037"/>
      <c r="U214" s="24037"/>
      <c r="V214" s="24037"/>
      <c r="W214" s="24037"/>
      <c r="X214" s="24037"/>
      <c r="Y214" s="24037"/>
      <c r="Z214" s="24037"/>
      <c r="AA214" s="24037"/>
      <c r="AB214" s="24037"/>
      <c r="AC214" s="24037"/>
      <c r="AD214" s="24037"/>
      <c r="AE214" s="24037"/>
      <c r="AF214" s="24037"/>
      <c r="AG214" s="24037"/>
      <c r="AH214" s="24037"/>
      <c r="AI214" s="24038"/>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2200</v>
      </c>
      <c r="B1" s="776"/>
      <c r="C1" s="911" t="s">
        <v>2201</v>
      </c>
      <c r="D1" s="909" t="s">
        <v>1057</v>
      </c>
      <c r="E1" s="909" t="s">
        <v>1103</v>
      </c>
      <c r="F1" s="909" t="s">
        <v>1156</v>
      </c>
      <c r="G1" s="909" t="s">
        <v>1143</v>
      </c>
      <c r="H1" s="909" t="s">
        <v>1855</v>
      </c>
    </row>
    <row r="2" spans="1:8" ht="9" customHeight="1">
      <c r="A2" s="912" t="s">
        <v>2202</v>
      </c>
      <c r="B2" s="912"/>
      <c r="C2" s="913" t="str">
        <f>INDEX(TEMPLATE_NUMBER_FORM_LIST,MATCH(TEMPLATE_SPHERE,TEMPLATE_SPHERE_LIST,0))</f>
        <v>10</v>
      </c>
      <c r="D2" s="912" t="s">
        <v>105</v>
      </c>
      <c r="E2" s="912" t="s">
        <v>133</v>
      </c>
      <c r="F2" s="914" t="s">
        <v>133</v>
      </c>
      <c r="G2" s="912" t="s">
        <v>133</v>
      </c>
      <c r="H2" s="915"/>
    </row>
    <row r="3" spans="1:8" ht="63" customHeight="1">
      <c r="A3" s="776"/>
      <c r="B3" s="776" t="s">
        <v>218</v>
      </c>
      <c r="C3" s="91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3" t="s">
        <v>2203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4"/>
      <c r="G3" s="915"/>
      <c r="H3" s="776"/>
    </row>
    <row r="4" spans="1:8" ht="243" customHeight="1">
      <c r="A4" s="776" t="s">
        <v>2204</v>
      </c>
      <c r="B4" s="776" t="s">
        <v>95</v>
      </c>
      <c r="C4" s="913" t="str">
        <f>IF(TEMPLATE_SPHERE="HEAT",D4,IF(TEMPLATE_SPHERE="TKO",H4,E4))</f>
        <v>Форма 1. Информация об организации, осуществляющей горячее водоснабжение (общая информация)</v>
      </c>
      <c r="D4" s="912" t="s">
        <v>2205</v>
      </c>
      <c r="E4" s="91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2"/>
      <c r="G4" s="912"/>
      <c r="H4" s="776" t="s">
        <v>2206</v>
      </c>
    </row>
    <row r="5" spans="1:8" ht="117" customHeight="1">
      <c r="A5" s="776" t="s">
        <v>2207</v>
      </c>
      <c r="B5" s="776" t="s">
        <v>81</v>
      </c>
      <c r="C5" s="91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6" t="s">
        <v>2208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5"/>
      <c r="G5" s="915"/>
      <c r="H5" s="776" t="s">
        <v>2209</v>
      </c>
    </row>
    <row r="6" spans="1:8" ht="90" customHeight="1">
      <c r="A6" s="776" t="s">
        <v>2210</v>
      </c>
      <c r="B6" s="776" t="s">
        <v>82</v>
      </c>
      <c r="C6" s="91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6"/>
      <c r="G6" s="776"/>
      <c r="H6" s="915"/>
    </row>
    <row r="7" spans="1:8" ht="45" customHeight="1">
      <c r="A7" s="776" t="s">
        <v>2211</v>
      </c>
      <c r="B7" s="776" t="s">
        <v>109</v>
      </c>
      <c r="C7" s="91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6" t="s">
        <v>2212</v>
      </c>
      <c r="E7" s="776" t="s">
        <v>2213</v>
      </c>
      <c r="F7" s="915"/>
      <c r="G7" s="915"/>
      <c r="H7" s="915"/>
    </row>
    <row r="8" spans="1:8" ht="108" customHeight="1">
      <c r="A8" s="776" t="s">
        <v>2214</v>
      </c>
      <c r="B8" s="776" t="s">
        <v>83</v>
      </c>
      <c r="C8" s="91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6" t="s">
        <v>1404</v>
      </c>
      <c r="E8" s="776" t="s">
        <v>2215</v>
      </c>
      <c r="F8" s="915"/>
      <c r="G8" s="915"/>
      <c r="H8" s="915"/>
    </row>
    <row r="9" spans="1:8" ht="99" customHeight="1">
      <c r="A9" s="776" t="s">
        <v>2216</v>
      </c>
      <c r="B9" s="776"/>
      <c r="C9" s="776" t="s">
        <v>2217</v>
      </c>
      <c r="D9" s="776"/>
      <c r="E9" s="776"/>
      <c r="F9" s="915"/>
      <c r="G9" s="915"/>
      <c r="H9" s="915"/>
    </row>
    <row r="10" spans="1:8" ht="126" customHeight="1">
      <c r="A10" s="776" t="s">
        <v>2218</v>
      </c>
      <c r="B10" s="776"/>
      <c r="C10" s="776" t="s">
        <v>2219</v>
      </c>
      <c r="D10" s="776"/>
      <c r="E10" s="776"/>
      <c r="F10" s="915"/>
      <c r="G10" s="915"/>
      <c r="H10" s="915"/>
    </row>
    <row r="11" spans="1:8" ht="108" customHeight="1">
      <c r="A11" s="776" t="s">
        <v>2220</v>
      </c>
      <c r="B11" s="776"/>
      <c r="C11" s="776" t="s">
        <v>2221</v>
      </c>
      <c r="D11" s="776"/>
      <c r="E11" s="776"/>
      <c r="F11" s="915"/>
      <c r="G11" s="915"/>
      <c r="H11" s="915"/>
    </row>
    <row r="12" spans="1:8" ht="54" customHeight="1">
      <c r="A12" s="776" t="s">
        <v>2222</v>
      </c>
      <c r="B12" s="776"/>
      <c r="C12" s="776" t="s">
        <v>2223</v>
      </c>
      <c r="D12" s="776"/>
      <c r="E12" s="776"/>
      <c r="F12" s="915"/>
      <c r="G12" s="915"/>
      <c r="H12" s="915"/>
    </row>
    <row r="13" spans="1:8" ht="45" customHeight="1">
      <c r="A13" s="776" t="s">
        <v>2224</v>
      </c>
      <c r="B13" s="776"/>
      <c r="C13" s="776" t="s">
        <v>2225</v>
      </c>
      <c r="D13" s="776"/>
      <c r="E13" s="776"/>
      <c r="F13" s="915"/>
      <c r="G13" s="915"/>
      <c r="H13" s="915"/>
    </row>
    <row r="14" spans="1:8" ht="117" customHeight="1">
      <c r="A14" s="776" t="s">
        <v>2226</v>
      </c>
      <c r="B14" s="776"/>
      <c r="C14" s="776" t="s">
        <v>2227</v>
      </c>
      <c r="D14" s="776"/>
      <c r="E14" s="776"/>
      <c r="F14" s="915"/>
      <c r="G14" s="915"/>
      <c r="H14" s="915"/>
    </row>
    <row r="15" spans="1:8" ht="117" customHeight="1">
      <c r="A15" s="776" t="s">
        <v>2228</v>
      </c>
      <c r="B15" s="776"/>
      <c r="C15" s="776" t="s">
        <v>2229</v>
      </c>
      <c r="D15" s="776"/>
      <c r="E15" s="776"/>
      <c r="F15" s="915"/>
      <c r="G15" s="915"/>
      <c r="H15" s="915"/>
    </row>
    <row r="16" spans="1:8" ht="63" customHeight="1">
      <c r="A16" s="776" t="s">
        <v>2230</v>
      </c>
      <c r="B16" s="776"/>
      <c r="C16" s="776" t="s">
        <v>2231</v>
      </c>
      <c r="D16" s="776"/>
      <c r="E16" s="776"/>
      <c r="F16" s="915"/>
      <c r="G16" s="915"/>
      <c r="H16" s="915"/>
    </row>
    <row r="17" spans="1:8" ht="54" customHeight="1">
      <c r="A17" s="776" t="s">
        <v>2232</v>
      </c>
      <c r="B17" s="776"/>
      <c r="C17" s="913" t="s">
        <v>2233</v>
      </c>
      <c r="D17" s="776"/>
      <c r="E17" s="776"/>
      <c r="F17" s="915"/>
      <c r="G17" s="915"/>
      <c r="H17" s="915"/>
    </row>
    <row r="18" spans="1:8" ht="27" customHeight="1">
      <c r="A18" s="776" t="s">
        <v>2234</v>
      </c>
      <c r="B18" s="776"/>
      <c r="C18" s="913" t="s">
        <v>2235</v>
      </c>
      <c r="D18" s="776"/>
      <c r="E18" s="776"/>
      <c r="F18" s="915"/>
      <c r="G18" s="915"/>
      <c r="H18" s="915"/>
    </row>
    <row r="19" spans="1:8" ht="54" customHeight="1">
      <c r="A19" s="776" t="s">
        <v>2236</v>
      </c>
      <c r="B19" s="776"/>
      <c r="C19" s="913" t="s">
        <v>2237</v>
      </c>
      <c r="D19" s="776"/>
      <c r="E19" s="776"/>
      <c r="F19" s="915"/>
      <c r="G19" s="915"/>
      <c r="H19" s="915"/>
    </row>
    <row r="20" spans="1:8" ht="36" customHeight="1">
      <c r="A20" s="776" t="s">
        <v>2238</v>
      </c>
      <c r="B20" s="776"/>
      <c r="C20" s="913" t="s">
        <v>2239</v>
      </c>
      <c r="D20" s="776"/>
      <c r="E20" s="776"/>
      <c r="F20" s="915"/>
      <c r="G20" s="915"/>
      <c r="H20" s="915"/>
    </row>
    <row r="21" spans="1:8" ht="36" customHeight="1">
      <c r="A21" s="776" t="s">
        <v>2240</v>
      </c>
      <c r="B21" s="776"/>
      <c r="C21" s="913" t="s">
        <v>2241</v>
      </c>
      <c r="D21" s="776"/>
      <c r="E21" s="776"/>
      <c r="F21" s="915"/>
      <c r="G21" s="915"/>
      <c r="H21" s="915"/>
    </row>
    <row r="22" spans="1:8" ht="27" customHeight="1">
      <c r="A22" s="776" t="s">
        <v>2242</v>
      </c>
      <c r="B22" s="776"/>
      <c r="C22" s="913" t="s">
        <v>2243</v>
      </c>
      <c r="D22" s="776"/>
      <c r="E22" s="776"/>
      <c r="F22" s="915"/>
      <c r="G22" s="915"/>
      <c r="H22" s="915"/>
    </row>
    <row r="23" spans="1:8" ht="36" customHeight="1">
      <c r="A23" s="776" t="s">
        <v>2244</v>
      </c>
      <c r="B23" s="776"/>
      <c r="C23" s="913" t="s">
        <v>2245</v>
      </c>
      <c r="D23" s="776"/>
      <c r="E23" s="776"/>
      <c r="F23" s="915"/>
      <c r="G23" s="915"/>
      <c r="H23" s="915"/>
    </row>
    <row r="24" spans="1:8" ht="28.5" customHeight="1">
      <c r="A24" s="776" t="s">
        <v>2246</v>
      </c>
      <c r="B24" s="776"/>
      <c r="C24" s="913" t="s">
        <v>2247</v>
      </c>
      <c r="D24" s="776"/>
      <c r="E24" s="776"/>
      <c r="F24" s="915"/>
      <c r="G24" s="915"/>
      <c r="H24" s="915"/>
    </row>
    <row r="25" spans="1:8" ht="36" customHeight="1">
      <c r="A25" s="776" t="s">
        <v>2248</v>
      </c>
      <c r="B25" s="776"/>
      <c r="C25" s="913" t="s">
        <v>2249</v>
      </c>
      <c r="D25" s="776"/>
      <c r="E25" s="776"/>
      <c r="F25" s="915"/>
      <c r="G25" s="915"/>
      <c r="H25" s="915"/>
    </row>
    <row r="26" spans="1:8" ht="27" customHeight="1">
      <c r="A26" s="776" t="s">
        <v>2250</v>
      </c>
      <c r="B26" s="776"/>
      <c r="C26" s="913" t="s">
        <v>2251</v>
      </c>
      <c r="D26" s="776"/>
      <c r="E26" s="776"/>
      <c r="F26" s="915"/>
      <c r="G26" s="915"/>
      <c r="H26" s="915"/>
    </row>
    <row r="27" spans="1:8" ht="36" customHeight="1">
      <c r="A27" s="776" t="s">
        <v>2252</v>
      </c>
      <c r="B27" s="776"/>
      <c r="C27" s="913" t="s">
        <v>2253</v>
      </c>
      <c r="D27" s="776"/>
      <c r="E27" s="776"/>
      <c r="F27" s="915"/>
      <c r="G27" s="915"/>
      <c r="H27" s="915"/>
    </row>
    <row r="28" spans="1:8" ht="28.5" customHeight="1">
      <c r="A28" s="776" t="s">
        <v>2254</v>
      </c>
      <c r="B28" s="776"/>
      <c r="C28" s="913" t="s">
        <v>2255</v>
      </c>
      <c r="D28" s="776"/>
      <c r="E28" s="776"/>
      <c r="F28" s="915"/>
      <c r="G28" s="915"/>
      <c r="H28" s="915"/>
    </row>
    <row r="29" spans="1:8" ht="126" customHeight="1">
      <c r="A29" s="776" t="s">
        <v>2256</v>
      </c>
      <c r="B29" s="776" t="s">
        <v>1809</v>
      </c>
      <c r="C29" s="91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6" t="s">
        <v>2257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5"/>
      <c r="G29" s="915"/>
      <c r="H29" s="776" t="s">
        <v>2258</v>
      </c>
    </row>
    <row r="30" spans="1:8" ht="36" customHeight="1">
      <c r="A30" s="776" t="s">
        <v>2259</v>
      </c>
      <c r="B30" s="776"/>
      <c r="C30" s="91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6" t="s">
        <v>2260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5"/>
      <c r="G30" s="915"/>
      <c r="H30" s="915"/>
    </row>
    <row r="31" spans="1:8" ht="54" customHeight="1">
      <c r="A31" s="776" t="s">
        <v>2261</v>
      </c>
      <c r="B31" s="776"/>
      <c r="C31" s="913" t="str">
        <f>IF(TEMPLATE_SPHERE="HEAT",D31,IF(TEMPLATE_SPHERE="TKO",H31,E31))</f>
        <v>Форма 1. Информация об организации, осуществляющей горячее водоснабжение (общая информация)</v>
      </c>
      <c r="D31" s="776" t="s">
        <v>2262</v>
      </c>
      <c r="E31" s="779"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5"/>
      <c r="G31" s="915"/>
      <c r="H31" s="915"/>
    </row>
    <row r="32" spans="1:8" ht="198" customHeight="1">
      <c r="A32" s="776" t="s">
        <v>2263</v>
      </c>
      <c r="B32" s="776"/>
      <c r="C32" s="913" t="str">
        <f>IF(TEMPLATE_SPHERE="HEAT",D32,IF(TEMPLATE_SPHERE="TKO",H32,E32))</f>
        <v>Форма 7. Информация об инвестиционных программах организации горячего водоснабжения и отчетах об их исполнении</v>
      </c>
      <c r="D32" s="776" t="s">
        <v>2264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5"/>
      <c r="G32" s="915"/>
      <c r="H32" s="776" t="s">
        <v>2265</v>
      </c>
    </row>
    <row r="33" spans="1:8" ht="9" customHeight="1">
      <c r="A33" s="776"/>
      <c r="B33" s="776"/>
      <c r="C33" s="913"/>
      <c r="D33" s="776"/>
      <c r="E33" s="776"/>
      <c r="F33" s="915"/>
      <c r="G33" s="915"/>
      <c r="H33" s="915"/>
    </row>
    <row r="34" spans="1:8" ht="9" customHeight="1">
      <c r="A34" s="776"/>
      <c r="B34" s="776" t="s">
        <v>182</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2266</v>
      </c>
      <c r="D1" s="827"/>
      <c r="E1" s="827"/>
      <c r="F1" s="827"/>
      <c r="G1" s="827"/>
      <c r="H1" s="827" t="s">
        <v>2267</v>
      </c>
      <c r="I1" s="827"/>
      <c r="J1" s="827"/>
      <c r="K1" s="827"/>
      <c r="L1" s="827"/>
      <c r="M1" s="827" t="s">
        <v>2268</v>
      </c>
      <c r="N1" s="827" t="s">
        <v>2269</v>
      </c>
      <c r="O1" s="24384" t="s">
        <v>2270</v>
      </c>
      <c r="P1" s="24384"/>
      <c r="Q1" s="24384"/>
      <c r="R1" s="24384"/>
      <c r="S1" s="24384"/>
      <c r="T1" s="24384" t="s">
        <v>2268</v>
      </c>
      <c r="U1" s="24384"/>
      <c r="V1" s="24384"/>
      <c r="W1" s="24384"/>
      <c r="X1" s="24384"/>
      <c r="Y1" s="928"/>
      <c r="Z1" s="24384" t="s">
        <v>2271</v>
      </c>
      <c r="AA1" s="24384"/>
      <c r="AB1" s="24384"/>
      <c r="AC1" s="24384"/>
      <c r="AD1" s="24384"/>
    </row>
    <row r="2" spans="1:34" ht="18" customHeight="1">
      <c r="A2" s="776"/>
      <c r="B2" s="776"/>
      <c r="C2" s="771" t="s">
        <v>1057</v>
      </c>
      <c r="D2" s="771" t="s">
        <v>1103</v>
      </c>
      <c r="E2" s="771" t="s">
        <v>1156</v>
      </c>
      <c r="F2" s="771" t="s">
        <v>1143</v>
      </c>
      <c r="G2" s="771" t="s">
        <v>1855</v>
      </c>
      <c r="H2" s="773"/>
      <c r="I2" s="773"/>
      <c r="J2" s="773"/>
      <c r="K2" s="773"/>
      <c r="L2" s="773"/>
      <c r="M2" s="773"/>
      <c r="N2" s="773"/>
      <c r="O2" s="771" t="s">
        <v>1057</v>
      </c>
      <c r="P2" s="771" t="s">
        <v>1103</v>
      </c>
      <c r="Q2" s="771" t="s">
        <v>1143</v>
      </c>
      <c r="R2" s="771" t="s">
        <v>1156</v>
      </c>
      <c r="S2" s="771" t="s">
        <v>1855</v>
      </c>
      <c r="T2" s="771" t="s">
        <v>1057</v>
      </c>
      <c r="U2" s="771" t="s">
        <v>1103</v>
      </c>
      <c r="V2" s="771" t="s">
        <v>1143</v>
      </c>
      <c r="W2" s="771" t="s">
        <v>1156</v>
      </c>
      <c r="X2" s="771" t="s">
        <v>1855</v>
      </c>
      <c r="Y2" s="771"/>
      <c r="Z2" s="771" t="s">
        <v>1057</v>
      </c>
      <c r="AA2" s="780" t="s">
        <v>1103</v>
      </c>
      <c r="AB2" s="771" t="s">
        <v>1143</v>
      </c>
      <c r="AC2" s="771" t="s">
        <v>1156</v>
      </c>
      <c r="AD2" s="771" t="s">
        <v>1855</v>
      </c>
    </row>
    <row r="3" spans="1:34" ht="162" customHeight="1">
      <c r="A3" s="775" t="s">
        <v>15</v>
      </c>
      <c r="B3" s="775"/>
      <c r="C3" s="24388" t="s">
        <v>2272</v>
      </c>
      <c r="D3" s="24389"/>
      <c r="E3" s="24389"/>
      <c r="F3" s="24390"/>
      <c r="G3" s="773"/>
      <c r="H3" s="773"/>
      <c r="I3" s="773"/>
      <c r="J3" s="773"/>
      <c r="K3" s="773"/>
      <c r="L3" s="773"/>
      <c r="M3" s="773"/>
      <c r="N3" s="774"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3"/>
      <c r="P3" s="773"/>
      <c r="Q3" s="773"/>
      <c r="R3" s="773"/>
      <c r="S3" s="773"/>
      <c r="T3" s="773"/>
      <c r="U3" s="773"/>
      <c r="V3" s="773"/>
      <c r="W3" s="773"/>
      <c r="X3" s="773"/>
      <c r="Y3" s="929"/>
      <c r="Z3" s="776" t="s">
        <v>2273</v>
      </c>
      <c r="AA3" s="773" t="s">
        <v>2274</v>
      </c>
      <c r="AB3" s="776" t="s">
        <v>2275</v>
      </c>
      <c r="AC3" s="776" t="s">
        <v>2276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4385" t="s">
        <v>22</v>
      </c>
      <c r="B11" s="828">
        <v>1</v>
      </c>
      <c r="C11" s="24391" t="s">
        <v>1796</v>
      </c>
      <c r="D11" s="24391" t="s">
        <v>207</v>
      </c>
      <c r="E11" s="24391" t="s">
        <v>1888</v>
      </c>
      <c r="F11" s="24391" t="s">
        <v>2277</v>
      </c>
      <c r="G11" s="24391"/>
      <c r="H11" s="827" t="s">
        <v>2278</v>
      </c>
      <c r="I11" s="827"/>
      <c r="J11" s="827"/>
      <c r="K11" s="827"/>
      <c r="L11" s="827"/>
      <c r="M11" s="774" t="str">
        <f>IF(TEMPLATE_SPHERE="HEAT",T11,U11)</f>
        <v xml:space="preserve">Количество поданных заявлений </v>
      </c>
      <c r="N11" s="774"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3"/>
      <c r="P11" s="773"/>
      <c r="Q11" s="773"/>
      <c r="R11" s="773"/>
      <c r="S11" s="773"/>
      <c r="T11" s="773" t="s">
        <v>2279</v>
      </c>
      <c r="U11" s="773" t="s">
        <v>2280</v>
      </c>
      <c r="V11" s="773"/>
      <c r="W11" s="773"/>
      <c r="X11" s="773"/>
      <c r="Y11" s="929"/>
      <c r="Z11" s="776" t="s">
        <v>2281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6"/>
      <c r="AC11" s="776"/>
      <c r="AD11" s="776"/>
    </row>
    <row r="12" spans="1:34" ht="45" customHeight="1">
      <c r="A12" s="24385"/>
      <c r="B12" s="828">
        <v>2</v>
      </c>
      <c r="C12" s="24392"/>
      <c r="D12" s="24392"/>
      <c r="E12" s="24392"/>
      <c r="F12" s="24392"/>
      <c r="G12" s="24392"/>
      <c r="H12" s="827" t="s">
        <v>2282</v>
      </c>
      <c r="I12" s="827"/>
      <c r="J12" s="827"/>
      <c r="K12" s="827"/>
      <c r="L12" s="827"/>
      <c r="M12" s="774" t="str">
        <f>IF(TEMPLATE_SPHERE="HEAT",T12,U12)</f>
        <v xml:space="preserve">Количество исполненных заявлений </v>
      </c>
      <c r="N12" s="774"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3"/>
      <c r="P12" s="773"/>
      <c r="Q12" s="773"/>
      <c r="R12" s="773"/>
      <c r="S12" s="773"/>
      <c r="T12" s="773" t="s">
        <v>2283</v>
      </c>
      <c r="U12" s="773" t="s">
        <v>2284</v>
      </c>
      <c r="V12" s="773"/>
      <c r="W12" s="773"/>
      <c r="X12" s="773"/>
      <c r="Y12" s="929"/>
      <c r="Z12" s="776" t="s">
        <v>2285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6"/>
      <c r="AC12" s="776"/>
      <c r="AD12" s="776"/>
    </row>
    <row r="13" spans="1:34" ht="72" customHeight="1">
      <c r="A13" s="24385"/>
      <c r="B13" s="828">
        <v>3</v>
      </c>
      <c r="C13" s="24392"/>
      <c r="D13" s="24392"/>
      <c r="E13" s="24392"/>
      <c r="F13" s="24392"/>
      <c r="G13" s="24392"/>
      <c r="H13" s="24384" t="s">
        <v>2286</v>
      </c>
      <c r="I13" s="827"/>
      <c r="J13" s="827"/>
      <c r="K13" s="827"/>
      <c r="L13" s="827"/>
      <c r="M13" s="774"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4"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3"/>
      <c r="P13" s="774"/>
      <c r="Q13" s="774"/>
      <c r="R13" s="774"/>
      <c r="S13" s="773"/>
      <c r="T13" s="773" t="s">
        <v>2287</v>
      </c>
      <c r="U13" s="774" t="s">
        <v>2288</v>
      </c>
      <c r="V13" s="774"/>
      <c r="W13" s="774"/>
      <c r="X13" s="773"/>
      <c r="Y13" s="929"/>
      <c r="Z13" s="776" t="s">
        <v>2289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6"/>
      <c r="AC13" s="776"/>
      <c r="AD13" s="776"/>
    </row>
    <row r="14" spans="1:34" ht="45" customHeight="1">
      <c r="A14" s="24385"/>
      <c r="B14" s="828">
        <v>4</v>
      </c>
      <c r="C14" s="24392"/>
      <c r="D14" s="24392"/>
      <c r="E14" s="24392"/>
      <c r="F14" s="24392"/>
      <c r="G14" s="24392"/>
      <c r="H14" s="24384"/>
      <c r="I14" s="830"/>
      <c r="J14" s="830"/>
      <c r="K14" s="830"/>
      <c r="L14" s="830"/>
      <c r="M14" s="777"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2290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4"/>
      <c r="W14" s="774"/>
      <c r="X14" s="773"/>
      <c r="Y14" s="929"/>
      <c r="Z14" s="776" t="s">
        <v>2291</v>
      </c>
      <c r="AA14" s="779" t="s">
        <v>2291</v>
      </c>
      <c r="AB14" s="776"/>
      <c r="AC14" s="776"/>
      <c r="AD14" s="776"/>
    </row>
    <row r="15" spans="1:34" ht="108" customHeight="1">
      <c r="A15" s="24385"/>
      <c r="B15" s="828">
        <v>5</v>
      </c>
      <c r="C15" s="24392"/>
      <c r="D15" s="24392"/>
      <c r="E15" s="24392"/>
      <c r="F15" s="24392"/>
      <c r="G15" s="24392"/>
      <c r="H15" s="24386" t="s">
        <v>2292</v>
      </c>
      <c r="I15" s="829"/>
      <c r="J15" s="829"/>
      <c r="K15" s="829"/>
      <c r="L15" s="829"/>
      <c r="M15" s="779"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8"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3"/>
      <c r="P15" s="774"/>
      <c r="Q15" s="774"/>
      <c r="R15" s="774"/>
      <c r="S15" s="773"/>
      <c r="T15" s="773" t="s">
        <v>2293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4"/>
      <c r="W15" s="774"/>
      <c r="X15" s="773"/>
      <c r="Y15" s="929"/>
      <c r="Z15" s="776" t="s">
        <v>2294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6"/>
      <c r="AC15" s="776"/>
      <c r="AD15" s="776"/>
    </row>
    <row r="16" spans="1:34" ht="108" customHeight="1">
      <c r="A16" s="828"/>
      <c r="B16" s="828">
        <v>6</v>
      </c>
      <c r="C16" s="24393"/>
      <c r="D16" s="24393"/>
      <c r="E16" s="24393"/>
      <c r="F16" s="24393"/>
      <c r="G16" s="24393"/>
      <c r="H16" s="24387"/>
      <c r="I16" s="891"/>
      <c r="J16" s="891"/>
      <c r="K16" s="891"/>
      <c r="L16" s="891"/>
      <c r="M16" s="821"/>
      <c r="N16" s="778"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3"/>
      <c r="P16" s="774"/>
      <c r="Q16" s="774"/>
      <c r="R16" s="774"/>
      <c r="S16" s="773"/>
      <c r="T16" s="773"/>
      <c r="U16" s="774"/>
      <c r="V16" s="774"/>
      <c r="W16" s="774"/>
      <c r="X16" s="773"/>
      <c r="Y16" s="929"/>
      <c r="Z16" s="776" t="s">
        <v>2294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1891</v>
      </c>
      <c r="B18" s="828">
        <v>1</v>
      </c>
      <c r="C18" s="773" t="s">
        <v>2278</v>
      </c>
      <c r="D18" s="896" t="s">
        <v>2278</v>
      </c>
      <c r="E18" s="773" t="s">
        <v>2278</v>
      </c>
      <c r="F18" s="773" t="s">
        <v>2278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регулируемых видов деятельности в сфере горячего водоснабжения</v>
      </c>
      <c r="K18" s="934" t="str">
        <f t="shared" ref="K18:K49" si="3">INDEX(TEMPLATE_NOTE_POINT_FHD,B18,MATCH(TEMPLATE_SPHERE,TEMPLATE_SPHERE_LIST_FOR_NOTE,0))</f>
        <v>Указывается выручка с распределением по видам деятельности.</v>
      </c>
      <c r="L18" s="774">
        <f t="shared" ref="L18:L49" si="4">IF(I18=0,"",I18)</f>
        <v>1</v>
      </c>
      <c r="M18" s="774" t="str">
        <f t="shared" ref="M18:M49" si="5">IF(J18=0,"",J18)</f>
        <v>Выручка от регулируемых видов деятельности в сфере горячего водоснабжения</v>
      </c>
      <c r="N18" s="774" t="str">
        <f t="shared" ref="N18:N49" si="6">IF(K18=0,"",K18)</f>
        <v>Указывается выручка с распределением по видам деятельности.</v>
      </c>
      <c r="O18" s="886">
        <v>1</v>
      </c>
      <c r="P18" s="886">
        <v>1</v>
      </c>
      <c r="Q18" s="886">
        <v>1</v>
      </c>
      <c r="R18" s="886">
        <v>1</v>
      </c>
      <c r="S18" s="886"/>
      <c r="T18" s="893" t="s">
        <v>2295</v>
      </c>
      <c r="U18" s="776" t="s">
        <v>2296</v>
      </c>
      <c r="V18" s="776" t="s">
        <v>2297</v>
      </c>
      <c r="W18" s="776" t="s">
        <v>2298</v>
      </c>
      <c r="X18" s="773"/>
      <c r="Y18" s="929"/>
      <c r="Z18" s="776" t="s">
        <v>2299</v>
      </c>
      <c r="AA18" s="779" t="s">
        <v>2300</v>
      </c>
      <c r="AB18" s="779" t="s">
        <v>2300</v>
      </c>
      <c r="AC18" s="779" t="s">
        <v>2300</v>
      </c>
      <c r="AD18" s="776"/>
    </row>
    <row r="19" spans="1:30" ht="36" customHeight="1">
      <c r="A19" s="775"/>
      <c r="B19" s="828">
        <v>2</v>
      </c>
      <c r="C19" s="773" t="s">
        <v>2282</v>
      </c>
      <c r="D19" s="896" t="s">
        <v>2282</v>
      </c>
      <c r="E19" s="773" t="s">
        <v>2282</v>
      </c>
      <c r="F19" s="773" t="s">
        <v>2282</v>
      </c>
      <c r="G19" s="773"/>
      <c r="H19" s="931"/>
      <c r="I19" s="934">
        <f t="shared" si="1"/>
        <v>2</v>
      </c>
      <c r="J19" s="934" t="str">
        <f t="shared" si="2"/>
        <v>Себестоимость производимых товаров (оказываемых услуг) по регулируемым видам деятельности в сфере горячего водоснабжения,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регулируемым видам деятельности в сфере горячего водоснабжения, включая:</v>
      </c>
      <c r="N19" s="774" t="str">
        <f t="shared" si="6"/>
        <v>Указывается суммарная себестоимость производимых товаров.</v>
      </c>
      <c r="O19" s="886">
        <v>2</v>
      </c>
      <c r="P19" s="886">
        <v>2</v>
      </c>
      <c r="Q19" s="886">
        <v>2</v>
      </c>
      <c r="R19" s="886">
        <v>2</v>
      </c>
      <c r="S19" s="886"/>
      <c r="T19" s="893" t="s">
        <v>2301</v>
      </c>
      <c r="U19" s="776" t="s">
        <v>2302</v>
      </c>
      <c r="V19" s="776" t="s">
        <v>2303</v>
      </c>
      <c r="W19" s="776" t="s">
        <v>2304</v>
      </c>
      <c r="X19" s="773"/>
      <c r="Y19" s="929"/>
      <c r="Z19" s="776" t="s">
        <v>2305</v>
      </c>
      <c r="AA19" s="779" t="s">
        <v>2305</v>
      </c>
      <c r="AB19" s="779" t="s">
        <v>2305</v>
      </c>
      <c r="AC19" s="779" t="s">
        <v>2305</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используемую для горячего водоснабжения</v>
      </c>
      <c r="K20" s="934">
        <f t="shared" si="3"/>
        <v>0</v>
      </c>
      <c r="L20" s="774" t="str">
        <f t="shared" si="4"/>
        <v>2.1</v>
      </c>
      <c r="M20" s="774" t="str">
        <f t="shared" si="5"/>
        <v>Расходы на приобретаемую тепловую энергию (мощность), используемую для горячего водоснабжения</v>
      </c>
      <c r="N20" s="774" t="str">
        <f t="shared" si="6"/>
        <v/>
      </c>
      <c r="O20" s="886" t="s">
        <v>958</v>
      </c>
      <c r="P20" s="886" t="s">
        <v>958</v>
      </c>
      <c r="Q20" s="886" t="s">
        <v>958</v>
      </c>
      <c r="R20" s="886" t="s">
        <v>958</v>
      </c>
      <c r="S20" s="886"/>
      <c r="T20" s="893" t="s">
        <v>2306</v>
      </c>
      <c r="U20" s="776" t="s">
        <v>2307</v>
      </c>
      <c r="V20" s="776" t="s">
        <v>2308</v>
      </c>
      <c r="W20" s="776" t="s">
        <v>2309</v>
      </c>
      <c r="X20" s="773"/>
      <c r="Y20" s="929"/>
      <c r="Z20" s="776"/>
      <c r="AA20" s="779"/>
      <c r="AB20" s="776"/>
      <c r="AC20" s="776"/>
      <c r="AD20" s="776"/>
    </row>
    <row r="21" spans="1:30" ht="36" customHeight="1">
      <c r="A21" s="775"/>
      <c r="B21" s="828">
        <v>4</v>
      </c>
      <c r="C21" s="773">
        <v>2</v>
      </c>
      <c r="D21" s="896"/>
      <c r="E21" s="773"/>
      <c r="F21" s="773"/>
      <c r="G21" s="773"/>
      <c r="H21" s="931"/>
      <c r="I21" s="934">
        <f t="shared" si="1"/>
        <v>0</v>
      </c>
      <c r="J21" s="934">
        <f t="shared" si="2"/>
        <v>0</v>
      </c>
      <c r="K21" s="934">
        <f t="shared" si="3"/>
        <v>0</v>
      </c>
      <c r="L21" s="774" t="str">
        <f t="shared" si="4"/>
        <v/>
      </c>
      <c r="M21" s="774" t="str">
        <f t="shared" si="5"/>
        <v/>
      </c>
      <c r="N21" s="774" t="str">
        <f t="shared" si="6"/>
        <v/>
      </c>
      <c r="O21" s="886" t="s">
        <v>536</v>
      </c>
      <c r="P21" s="886"/>
      <c r="Q21" s="886"/>
      <c r="R21" s="886"/>
      <c r="S21" s="886"/>
      <c r="T21" s="893" t="s">
        <v>2310</v>
      </c>
      <c r="U21" s="776"/>
      <c r="V21" s="776"/>
      <c r="W21" s="776"/>
      <c r="X21" s="773"/>
      <c r="Y21" s="929"/>
      <c r="Z21" s="776" t="s">
        <v>2311</v>
      </c>
      <c r="AA21" s="779"/>
      <c r="AB21" s="776"/>
      <c r="AC21" s="776"/>
      <c r="AD21" s="776"/>
    </row>
    <row r="22" spans="1:30" ht="36" customHeight="1">
      <c r="A22" s="775"/>
      <c r="B22" s="828">
        <v>5</v>
      </c>
      <c r="C22" s="773">
        <v>3</v>
      </c>
      <c r="D22" s="896"/>
      <c r="E22" s="773"/>
      <c r="F22" s="773"/>
      <c r="G22" s="820"/>
      <c r="H22" s="887"/>
      <c r="I22" s="934" t="str">
        <f t="shared" si="1"/>
        <v>2.2</v>
      </c>
      <c r="J22" s="934" t="str">
        <f t="shared" si="2"/>
        <v>Расходы на тепловую энергию, производимую с применением собственных источников и используемую для горячего водоснабжения</v>
      </c>
      <c r="K22" s="934">
        <f t="shared" si="3"/>
        <v>0</v>
      </c>
      <c r="L22" s="774" t="str">
        <f t="shared" si="4"/>
        <v>2.2</v>
      </c>
      <c r="M22" s="774" t="str">
        <f t="shared" si="5"/>
        <v>Расходы на тепловую энергию, производимую с применением собственных источников и используемую для горячего водоснабжения</v>
      </c>
      <c r="N22" s="774" t="str">
        <f t="shared" si="6"/>
        <v/>
      </c>
      <c r="O22" s="886"/>
      <c r="P22" s="886"/>
      <c r="Q22" s="886" t="s">
        <v>536</v>
      </c>
      <c r="R22" s="886"/>
      <c r="S22" s="886"/>
      <c r="T22" s="893"/>
      <c r="U22" s="776"/>
      <c r="V22" s="776" t="s">
        <v>2312</v>
      </c>
      <c r="W22" s="776"/>
      <c r="X22" s="773"/>
      <c r="Y22" s="929"/>
      <c r="Z22" s="776"/>
      <c r="AA22" s="779"/>
      <c r="AB22" s="776"/>
      <c r="AC22" s="776"/>
      <c r="AD22" s="776"/>
    </row>
    <row r="23" spans="1:30" ht="27" customHeight="1">
      <c r="A23" s="775"/>
      <c r="B23" s="828">
        <v>6</v>
      </c>
      <c r="C23" s="773">
        <v>4</v>
      </c>
      <c r="D23" s="896"/>
      <c r="E23" s="773"/>
      <c r="F23" s="773"/>
      <c r="G23" s="820"/>
      <c r="H23" s="887"/>
      <c r="I23" s="934" t="str">
        <f t="shared" si="1"/>
        <v>2.3</v>
      </c>
      <c r="J23" s="934" t="str">
        <f t="shared" si="2"/>
        <v>Расходы на приобретаемую холодную воду, используемую для горячего водоснабжения</v>
      </c>
      <c r="K23" s="934">
        <f t="shared" si="3"/>
        <v>0</v>
      </c>
      <c r="L23" s="774" t="str">
        <f t="shared" si="4"/>
        <v>2.3</v>
      </c>
      <c r="M23" s="774" t="str">
        <f t="shared" si="5"/>
        <v>Расходы на приобретаемую холодную воду, используемую для горячего водоснабжения</v>
      </c>
      <c r="N23" s="774" t="str">
        <f t="shared" si="6"/>
        <v/>
      </c>
      <c r="O23" s="886"/>
      <c r="P23" s="886"/>
      <c r="Q23" s="886" t="s">
        <v>539</v>
      </c>
      <c r="R23" s="886"/>
      <c r="S23" s="886"/>
      <c r="T23" s="893"/>
      <c r="U23" s="776"/>
      <c r="V23" s="776" t="s">
        <v>2313</v>
      </c>
      <c r="W23" s="776"/>
      <c r="X23" s="773"/>
      <c r="Y23" s="929"/>
      <c r="Z23" s="776"/>
      <c r="AA23" s="779"/>
      <c r="AB23" s="776"/>
      <c r="AC23" s="776"/>
      <c r="AD23" s="776"/>
    </row>
    <row r="24" spans="1:30" ht="36" customHeight="1">
      <c r="A24" s="775"/>
      <c r="B24" s="828">
        <v>7</v>
      </c>
      <c r="C24" s="773">
        <v>5</v>
      </c>
      <c r="D24" s="896"/>
      <c r="E24" s="773"/>
      <c r="F24" s="773"/>
      <c r="G24" s="820"/>
      <c r="H24" s="887"/>
      <c r="I24" s="934" t="str">
        <f t="shared" si="1"/>
        <v>2.4</v>
      </c>
      <c r="J24" s="93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4">
        <f t="shared" si="3"/>
        <v>0</v>
      </c>
      <c r="L24" s="774" t="str">
        <f t="shared" si="4"/>
        <v>2.4</v>
      </c>
      <c r="M24" s="774"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4" t="str">
        <f t="shared" si="6"/>
        <v/>
      </c>
      <c r="O24" s="886"/>
      <c r="P24" s="886"/>
      <c r="Q24" s="886" t="s">
        <v>978</v>
      </c>
      <c r="R24" s="886"/>
      <c r="S24" s="886"/>
      <c r="T24" s="893"/>
      <c r="U24" s="776"/>
      <c r="V24" s="776" t="s">
        <v>2314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2.5</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2.5</v>
      </c>
      <c r="M25" s="774" t="str">
        <f t="shared" si="5"/>
        <v>Расходы на приобретаемую электрическую энергию (мощность), используемую в технологическом процессе</v>
      </c>
      <c r="N25" s="774" t="str">
        <f t="shared" si="6"/>
        <v/>
      </c>
      <c r="O25" s="886" t="s">
        <v>539</v>
      </c>
      <c r="P25" s="886" t="s">
        <v>536</v>
      </c>
      <c r="Q25" s="886" t="s">
        <v>985</v>
      </c>
      <c r="R25" s="886" t="s">
        <v>536</v>
      </c>
      <c r="S25" s="886"/>
      <c r="T25" s="893" t="s">
        <v>2315</v>
      </c>
      <c r="U25" s="776" t="s">
        <v>2315</v>
      </c>
      <c r="V25" s="776" t="s">
        <v>2315</v>
      </c>
      <c r="W25" s="776" t="s">
        <v>2315</v>
      </c>
      <c r="X25" s="773"/>
      <c r="Y25" s="929"/>
      <c r="Z25" s="776"/>
      <c r="AA25" s="779"/>
      <c r="AB25" s="776"/>
      <c r="AC25" s="776"/>
      <c r="AD25" s="776"/>
    </row>
    <row r="26" spans="1:30" ht="18" customHeight="1">
      <c r="A26" s="775"/>
      <c r="B26" s="828">
        <v>9</v>
      </c>
      <c r="C26" s="773" t="s">
        <v>902</v>
      </c>
      <c r="D26" s="896"/>
      <c r="E26" s="773"/>
      <c r="F26" s="773"/>
      <c r="G26" s="820"/>
      <c r="H26" s="887"/>
      <c r="I26" s="934" t="str">
        <f t="shared" si="1"/>
        <v>2.5.1</v>
      </c>
      <c r="J26" s="934" t="str">
        <f t="shared" si="2"/>
        <v>Средневзвешенная стоимость 1 кВт.ч (с учетом мощности)</v>
      </c>
      <c r="K26" s="934">
        <f t="shared" si="3"/>
        <v>0</v>
      </c>
      <c r="L26" s="774" t="str">
        <f t="shared" si="4"/>
        <v>2.5.1</v>
      </c>
      <c r="M26" s="774" t="str">
        <f t="shared" si="5"/>
        <v>Средневзвешенная стоимость 1 кВт.ч (с учетом мощности)</v>
      </c>
      <c r="N26" s="774" t="str">
        <f t="shared" si="6"/>
        <v/>
      </c>
      <c r="O26" s="886" t="s">
        <v>974</v>
      </c>
      <c r="P26" s="886" t="s">
        <v>968</v>
      </c>
      <c r="Q26" s="886" t="s">
        <v>2316</v>
      </c>
      <c r="R26" s="886" t="s">
        <v>968</v>
      </c>
      <c r="S26" s="886"/>
      <c r="T26" s="893" t="str">
        <f>"Средневзвешенная стоимость 1 кВт.ч"&amp;IF(TITLE_TYPE_ORG="Регулируемая организация"," (с учетом мощности)","")</f>
        <v>Средневзвешенная стоимость 1 кВт.ч</v>
      </c>
      <c r="U26" s="893" t="s">
        <v>2317</v>
      </c>
      <c r="V26" s="893" t="s">
        <v>2317</v>
      </c>
      <c r="W26" s="893" t="s">
        <v>2317</v>
      </c>
      <c r="X26" s="773"/>
      <c r="Y26" s="929"/>
      <c r="Z26" s="776"/>
      <c r="AA26" s="779"/>
      <c r="AB26" s="776"/>
      <c r="AC26" s="776"/>
      <c r="AD26" s="776"/>
    </row>
    <row r="27" spans="1:30" ht="18" customHeight="1">
      <c r="A27" s="775"/>
      <c r="B27" s="828">
        <v>10</v>
      </c>
      <c r="C27" s="773" t="s">
        <v>906</v>
      </c>
      <c r="D27" s="896"/>
      <c r="E27" s="773"/>
      <c r="F27" s="773"/>
      <c r="G27" s="820"/>
      <c r="H27" s="887"/>
      <c r="I27" s="934" t="str">
        <f t="shared" si="1"/>
        <v>2.5.2</v>
      </c>
      <c r="J27" s="934" t="str">
        <f t="shared" si="2"/>
        <v>Объём приобретения электрической энергии</v>
      </c>
      <c r="K27" s="934">
        <f t="shared" si="3"/>
        <v>0</v>
      </c>
      <c r="L27" s="774" t="str">
        <f t="shared" si="4"/>
        <v>2.5.2</v>
      </c>
      <c r="M27" s="774" t="str">
        <f t="shared" si="5"/>
        <v>Объём приобретения электрической энергии</v>
      </c>
      <c r="N27" s="774" t="str">
        <f t="shared" si="6"/>
        <v/>
      </c>
      <c r="O27" s="886" t="s">
        <v>976</v>
      </c>
      <c r="P27" s="886" t="s">
        <v>970</v>
      </c>
      <c r="Q27" s="886" t="s">
        <v>2318</v>
      </c>
      <c r="R27" s="886" t="s">
        <v>970</v>
      </c>
      <c r="S27" s="886"/>
      <c r="T27" s="893" t="s">
        <v>2319</v>
      </c>
      <c r="U27" s="893" t="s">
        <v>2319</v>
      </c>
      <c r="V27" s="893" t="s">
        <v>2319</v>
      </c>
      <c r="W27" s="893" t="s">
        <v>2319</v>
      </c>
      <c r="X27" s="773"/>
      <c r="Y27" s="929"/>
      <c r="Z27" s="776"/>
      <c r="AA27" s="779"/>
      <c r="AB27" s="776"/>
      <c r="AC27" s="776"/>
      <c r="AD27" s="776"/>
    </row>
    <row r="28" spans="1:30" ht="27" customHeight="1">
      <c r="A28" s="775"/>
      <c r="B28" s="828">
        <v>11</v>
      </c>
      <c r="C28" s="773">
        <v>7</v>
      </c>
      <c r="D28" s="896"/>
      <c r="E28" s="773"/>
      <c r="F28" s="773"/>
      <c r="G28" s="820"/>
      <c r="H28" s="887"/>
      <c r="I28" s="934">
        <f t="shared" si="1"/>
        <v>0</v>
      </c>
      <c r="J28" s="934">
        <f t="shared" si="2"/>
        <v>0</v>
      </c>
      <c r="K28" s="934">
        <f t="shared" si="3"/>
        <v>0</v>
      </c>
      <c r="L28" s="774" t="str">
        <f t="shared" si="4"/>
        <v/>
      </c>
      <c r="M28" s="774" t="str">
        <f t="shared" si="5"/>
        <v/>
      </c>
      <c r="N28" s="774" t="str">
        <f t="shared" si="6"/>
        <v/>
      </c>
      <c r="O28" s="886" t="s">
        <v>978</v>
      </c>
      <c r="P28" s="886"/>
      <c r="Q28" s="886"/>
      <c r="R28" s="886"/>
      <c r="S28" s="886"/>
      <c r="T28" s="893" t="s">
        <v>2320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f t="shared" si="1"/>
        <v>0</v>
      </c>
      <c r="J29" s="934">
        <f t="shared" si="2"/>
        <v>0</v>
      </c>
      <c r="K29" s="934">
        <f t="shared" si="3"/>
        <v>0</v>
      </c>
      <c r="L29" s="774" t="str">
        <f t="shared" si="4"/>
        <v/>
      </c>
      <c r="M29" s="774" t="str">
        <f t="shared" si="5"/>
        <v/>
      </c>
      <c r="N29" s="774" t="str">
        <f t="shared" si="6"/>
        <v/>
      </c>
      <c r="O29" s="886" t="s">
        <v>985</v>
      </c>
      <c r="P29" s="886" t="s">
        <v>539</v>
      </c>
      <c r="Q29" s="886"/>
      <c r="R29" s="886" t="s">
        <v>539</v>
      </c>
      <c r="S29" s="886"/>
      <c r="T29" s="89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6" t="s">
        <v>2321</v>
      </c>
      <c r="V29" s="776"/>
      <c r="W29" s="776" t="s">
        <v>2321</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t="str">
        <f t="shared" si="3"/>
        <v>Указывается общая сумма расходов на оплату труда и отчислений на социальные нужды основного производственного персонала.</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Указывается общая сумма расходов на оплату труда и отчислений на социальные нужды основного производственного персонала.</v>
      </c>
      <c r="O30" s="886" t="s">
        <v>987</v>
      </c>
      <c r="P30" s="886" t="s">
        <v>978</v>
      </c>
      <c r="Q30" s="886" t="s">
        <v>987</v>
      </c>
      <c r="R30" s="886" t="s">
        <v>978</v>
      </c>
      <c r="S30" s="886"/>
      <c r="T30" s="893" t="s">
        <v>2322</v>
      </c>
      <c r="U30" s="776" t="s">
        <v>2322</v>
      </c>
      <c r="V30" s="776" t="s">
        <v>2322</v>
      </c>
      <c r="W30" s="776" t="s">
        <v>2322</v>
      </c>
      <c r="X30" s="773"/>
      <c r="Y30" s="929"/>
      <c r="Z30" s="776"/>
      <c r="AA30" s="779" t="s">
        <v>2323</v>
      </c>
      <c r="AB30" s="779" t="s">
        <v>2323</v>
      </c>
      <c r="AC30" s="779" t="s">
        <v>2323</v>
      </c>
      <c r="AD30" s="776"/>
    </row>
    <row r="31" spans="1:30" ht="18" customHeight="1">
      <c r="A31" s="775"/>
      <c r="B31" s="828">
        <v>14</v>
      </c>
      <c r="C31" s="773" t="s">
        <v>2324</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2325</v>
      </c>
      <c r="P31" s="886" t="s">
        <v>981</v>
      </c>
      <c r="Q31" s="886" t="s">
        <v>2325</v>
      </c>
      <c r="R31" s="886" t="s">
        <v>981</v>
      </c>
      <c r="S31" s="886"/>
      <c r="T31" s="894" t="s">
        <v>2326</v>
      </c>
      <c r="U31" s="776" t="s">
        <v>2326</v>
      </c>
      <c r="V31" s="776" t="s">
        <v>2326</v>
      </c>
      <c r="W31" s="776" t="s">
        <v>2326</v>
      </c>
      <c r="X31" s="773"/>
      <c r="Y31" s="929"/>
      <c r="Z31" s="776"/>
      <c r="AA31" s="779"/>
      <c r="AB31" s="779"/>
      <c r="AC31" s="779"/>
      <c r="AD31" s="776"/>
    </row>
    <row r="32" spans="1:30" ht="36" customHeight="1">
      <c r="A32" s="775"/>
      <c r="B32" s="828">
        <v>15</v>
      </c>
      <c r="C32" s="773" t="s">
        <v>2327</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2328</v>
      </c>
      <c r="P32" s="886" t="s">
        <v>983</v>
      </c>
      <c r="Q32" s="886" t="s">
        <v>2328</v>
      </c>
      <c r="R32" s="886" t="s">
        <v>983</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6" t="s">
        <v>2329</v>
      </c>
      <c r="V32" s="776" t="s">
        <v>2329</v>
      </c>
      <c r="W32" s="776" t="s">
        <v>2329</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t="str">
        <f t="shared" si="3"/>
        <v>Указывается общая сумма расходов на оплату труда и отчислений на социальные нужды административно-управленческого персонала.</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Указывается общая сумма расходов на оплату труда и отчислений на социальные нужды административно-управленческого персонала.</v>
      </c>
      <c r="O33" s="886" t="s">
        <v>989</v>
      </c>
      <c r="P33" s="886" t="s">
        <v>985</v>
      </c>
      <c r="Q33" s="886" t="s">
        <v>989</v>
      </c>
      <c r="R33" s="886" t="s">
        <v>985</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6" t="s">
        <v>2330</v>
      </c>
      <c r="V33" s="776" t="s">
        <v>2330</v>
      </c>
      <c r="W33" s="776" t="s">
        <v>2331</v>
      </c>
      <c r="X33" s="773"/>
      <c r="Y33" s="929"/>
      <c r="Z33" s="776"/>
      <c r="AA33" s="779" t="s">
        <v>2332</v>
      </c>
      <c r="AB33" s="779" t="s">
        <v>2332</v>
      </c>
      <c r="AC33" s="779" t="s">
        <v>2332</v>
      </c>
      <c r="AD33" s="776"/>
    </row>
    <row r="34" spans="1:30" ht="27" customHeight="1">
      <c r="A34" s="775"/>
      <c r="B34" s="828">
        <v>17</v>
      </c>
      <c r="C34" s="773" t="s">
        <v>2333</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2334</v>
      </c>
      <c r="P34" s="886" t="s">
        <v>2316</v>
      </c>
      <c r="Q34" s="886" t="s">
        <v>2334</v>
      </c>
      <c r="R34" s="886" t="s">
        <v>2316</v>
      </c>
      <c r="S34" s="886"/>
      <c r="T34" s="895" t="s">
        <v>2335</v>
      </c>
      <c r="U34" s="776" t="s">
        <v>2335</v>
      </c>
      <c r="V34" s="776" t="s">
        <v>2335</v>
      </c>
      <c r="W34" s="776" t="s">
        <v>2336</v>
      </c>
      <c r="X34" s="773"/>
      <c r="Y34" s="929"/>
      <c r="Z34" s="776"/>
      <c r="AA34" s="779"/>
      <c r="AB34" s="776"/>
      <c r="AC34" s="776"/>
      <c r="AD34" s="776"/>
    </row>
    <row r="35" spans="1:30" ht="45" customHeight="1">
      <c r="A35" s="775"/>
      <c r="B35" s="828">
        <v>18</v>
      </c>
      <c r="C35" s="773" t="s">
        <v>2337</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2338</v>
      </c>
      <c r="P35" s="886" t="s">
        <v>2318</v>
      </c>
      <c r="Q35" s="886" t="s">
        <v>2338</v>
      </c>
      <c r="R35" s="886" t="s">
        <v>2318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6" t="s">
        <v>2339</v>
      </c>
      <c r="V35" s="776" t="s">
        <v>2339</v>
      </c>
      <c r="W35" s="776" t="s">
        <v>2339</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991</v>
      </c>
      <c r="P36" s="886" t="s">
        <v>987</v>
      </c>
      <c r="Q36" s="886" t="s">
        <v>991</v>
      </c>
      <c r="R36" s="886" t="s">
        <v>987</v>
      </c>
      <c r="S36" s="886"/>
      <c r="T36" s="893" t="s">
        <v>2340</v>
      </c>
      <c r="U36" s="776" t="s">
        <v>2340</v>
      </c>
      <c r="V36" s="776" t="s">
        <v>2340</v>
      </c>
      <c r="W36" s="776" t="s">
        <v>2340</v>
      </c>
      <c r="X36" s="773"/>
      <c r="Y36" s="929"/>
      <c r="Z36" s="776"/>
      <c r="AA36" s="779"/>
      <c r="AB36" s="776"/>
      <c r="AC36" s="776"/>
      <c r="AD36" s="776"/>
    </row>
    <row r="37" spans="1:30" ht="18" customHeight="1">
      <c r="A37" s="775"/>
      <c r="B37" s="828">
        <v>20</v>
      </c>
      <c r="C37" s="773" t="s">
        <v>2341</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2342</v>
      </c>
      <c r="P37" s="886" t="s">
        <v>2325</v>
      </c>
      <c r="Q37" s="886" t="s">
        <v>2342</v>
      </c>
      <c r="R37" s="886" t="s">
        <v>2325</v>
      </c>
      <c r="S37" s="886"/>
      <c r="T37" s="893" t="s">
        <v>2343</v>
      </c>
      <c r="U37" s="776" t="s">
        <v>2343</v>
      </c>
      <c r="V37" s="776" t="s">
        <v>2343</v>
      </c>
      <c r="W37" s="776" t="s">
        <v>2343</v>
      </c>
      <c r="X37" s="773"/>
      <c r="Y37" s="929"/>
      <c r="Z37" s="776"/>
      <c r="AA37" s="779"/>
      <c r="AB37" s="776"/>
      <c r="AC37" s="776"/>
      <c r="AD37" s="776"/>
    </row>
    <row r="38" spans="1:30" ht="18" customHeight="1">
      <c r="A38" s="775"/>
      <c r="B38" s="828">
        <v>21</v>
      </c>
      <c r="C38" s="773" t="s">
        <v>2344</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2345</v>
      </c>
      <c r="P38" s="886" t="s">
        <v>2328</v>
      </c>
      <c r="Q38" s="886" t="s">
        <v>2345</v>
      </c>
      <c r="R38" s="886" t="s">
        <v>2328</v>
      </c>
      <c r="S38" s="886"/>
      <c r="T38" s="893" t="s">
        <v>2346</v>
      </c>
      <c r="U38" s="776" t="s">
        <v>2346</v>
      </c>
      <c r="V38" s="776" t="s">
        <v>2346</v>
      </c>
      <c r="W38" s="776" t="s">
        <v>2346</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регулируемых видов деятельности в сфере горячего водоснабжения</v>
      </c>
      <c r="K39" s="934">
        <f t="shared" si="3"/>
        <v>0</v>
      </c>
      <c r="L39" s="774" t="str">
        <f t="shared" si="4"/>
        <v>2.9</v>
      </c>
      <c r="M39" s="774" t="str">
        <f t="shared" si="5"/>
        <v>Расходы на аренду имущества, используемого для осуществления регулируемых видов деятельности в сфере горячего водоснабжения</v>
      </c>
      <c r="N39" s="774" t="str">
        <f t="shared" si="6"/>
        <v/>
      </c>
      <c r="O39" s="886" t="s">
        <v>995</v>
      </c>
      <c r="P39" s="886" t="s">
        <v>989</v>
      </c>
      <c r="Q39" s="886" t="s">
        <v>995</v>
      </c>
      <c r="R39" s="886" t="s">
        <v>989</v>
      </c>
      <c r="S39" s="886"/>
      <c r="T39" s="893" t="s">
        <v>2347</v>
      </c>
      <c r="U39" s="776" t="s">
        <v>2348</v>
      </c>
      <c r="V39" s="776" t="s">
        <v>2349</v>
      </c>
      <c r="W39" s="776" t="s">
        <v>2350</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2351</v>
      </c>
      <c r="P40" s="886" t="s">
        <v>991</v>
      </c>
      <c r="Q40" s="886" t="s">
        <v>2351</v>
      </c>
      <c r="R40" s="886" t="s">
        <v>991</v>
      </c>
      <c r="S40" s="886"/>
      <c r="T40" s="773" t="s">
        <v>2352</v>
      </c>
      <c r="U40" s="773" t="s">
        <v>2352</v>
      </c>
      <c r="V40" s="773" t="s">
        <v>2352</v>
      </c>
      <c r="W40" s="773" t="s">
        <v>2352</v>
      </c>
      <c r="X40" s="773"/>
      <c r="Y40" s="929"/>
      <c r="Z40" s="776" t="s">
        <v>2353</v>
      </c>
      <c r="AA40" s="779" t="s">
        <v>2353</v>
      </c>
      <c r="AB40" s="779" t="s">
        <v>2353</v>
      </c>
      <c r="AC40" s="779" t="s">
        <v>2353</v>
      </c>
      <c r="AD40" s="776"/>
    </row>
    <row r="41" spans="1:30" ht="27" customHeight="1">
      <c r="A41" s="775"/>
      <c r="B41" s="828">
        <v>24</v>
      </c>
      <c r="C41" s="773" t="s">
        <v>2354</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2355</v>
      </c>
      <c r="P41" s="886" t="s">
        <v>2342</v>
      </c>
      <c r="Q41" s="886" t="s">
        <v>2355</v>
      </c>
      <c r="R41" s="886" t="s">
        <v>2342</v>
      </c>
      <c r="S41" s="886"/>
      <c r="T41" s="773" t="s">
        <v>2356</v>
      </c>
      <c r="U41" s="773" t="s">
        <v>2356</v>
      </c>
      <c r="V41" s="773" t="s">
        <v>2356</v>
      </c>
      <c r="W41" s="773" t="s">
        <v>2356</v>
      </c>
      <c r="X41" s="773"/>
      <c r="Y41" s="929"/>
      <c r="Z41" s="776" t="s">
        <v>2357</v>
      </c>
      <c r="AA41" s="776" t="s">
        <v>2357</v>
      </c>
      <c r="AB41" s="776" t="s">
        <v>2357</v>
      </c>
      <c r="AC41" s="776" t="s">
        <v>2357</v>
      </c>
      <c r="AD41" s="776"/>
    </row>
    <row r="42" spans="1:30" ht="27" customHeight="1">
      <c r="A42" s="775"/>
      <c r="B42" s="828">
        <v>25</v>
      </c>
      <c r="C42" s="773" t="s">
        <v>2358</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2359</v>
      </c>
      <c r="P42" s="886" t="s">
        <v>2345</v>
      </c>
      <c r="Q42" s="886" t="s">
        <v>2359</v>
      </c>
      <c r="R42" s="886" t="s">
        <v>2345</v>
      </c>
      <c r="S42" s="886"/>
      <c r="T42" s="773" t="s">
        <v>2360</v>
      </c>
      <c r="U42" s="773" t="s">
        <v>2360</v>
      </c>
      <c r="V42" s="773" t="s">
        <v>2360</v>
      </c>
      <c r="W42" s="773" t="s">
        <v>2360</v>
      </c>
      <c r="X42" s="773"/>
      <c r="Y42" s="929"/>
      <c r="Z42" s="776" t="s">
        <v>2361</v>
      </c>
      <c r="AA42" s="776" t="s">
        <v>2361</v>
      </c>
      <c r="AB42" s="776" t="s">
        <v>2361</v>
      </c>
      <c r="AC42" s="776" t="s">
        <v>2361</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2362</v>
      </c>
      <c r="P43" s="886" t="s">
        <v>995</v>
      </c>
      <c r="Q43" s="886" t="s">
        <v>2362</v>
      </c>
      <c r="R43" s="886" t="s">
        <v>995</v>
      </c>
      <c r="S43" s="886"/>
      <c r="T43" s="773" t="s">
        <v>2363</v>
      </c>
      <c r="U43" s="773" t="s">
        <v>2363</v>
      </c>
      <c r="V43" s="773" t="s">
        <v>2363</v>
      </c>
      <c r="W43" s="773" t="s">
        <v>2363</v>
      </c>
      <c r="X43" s="773"/>
      <c r="Y43" s="929"/>
      <c r="Z43" s="776" t="s">
        <v>2364</v>
      </c>
      <c r="AA43" s="776" t="s">
        <v>2364</v>
      </c>
      <c r="AB43" s="776" t="s">
        <v>2364</v>
      </c>
      <c r="AC43" s="776" t="s">
        <v>2364</v>
      </c>
      <c r="AD43" s="776"/>
    </row>
    <row r="44" spans="1:30" ht="27" customHeight="1">
      <c r="A44" s="775"/>
      <c r="B44" s="828">
        <v>27</v>
      </c>
      <c r="C44" s="773" t="s">
        <v>2365</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2366</v>
      </c>
      <c r="P44" s="886" t="s">
        <v>2367</v>
      </c>
      <c r="Q44" s="886" t="s">
        <v>2366</v>
      </c>
      <c r="R44" s="886" t="s">
        <v>2367</v>
      </c>
      <c r="S44" s="886"/>
      <c r="T44" s="773" t="s">
        <v>2356</v>
      </c>
      <c r="U44" s="773" t="s">
        <v>2356</v>
      </c>
      <c r="V44" s="773" t="s">
        <v>2356</v>
      </c>
      <c r="W44" s="773" t="s">
        <v>2356</v>
      </c>
      <c r="X44" s="773"/>
      <c r="Y44" s="929"/>
      <c r="Z44" s="776" t="s">
        <v>2368</v>
      </c>
      <c r="AA44" s="776" t="s">
        <v>2368</v>
      </c>
      <c r="AB44" s="776" t="s">
        <v>2368</v>
      </c>
      <c r="AC44" s="776" t="s">
        <v>2368</v>
      </c>
      <c r="AD44" s="776"/>
    </row>
    <row r="45" spans="1:30" ht="27" customHeight="1">
      <c r="A45" s="775"/>
      <c r="B45" s="828">
        <v>28</v>
      </c>
      <c r="C45" s="773" t="s">
        <v>2369</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2370</v>
      </c>
      <c r="P45" s="886" t="s">
        <v>2371</v>
      </c>
      <c r="Q45" s="886" t="s">
        <v>2370</v>
      </c>
      <c r="R45" s="886" t="s">
        <v>2371</v>
      </c>
      <c r="S45" s="886"/>
      <c r="T45" s="773" t="s">
        <v>2360</v>
      </c>
      <c r="U45" s="773" t="s">
        <v>2360</v>
      </c>
      <c r="V45" s="773" t="s">
        <v>2360</v>
      </c>
      <c r="W45" s="773" t="s">
        <v>2360</v>
      </c>
      <c r="X45" s="773"/>
      <c r="Y45" s="929"/>
      <c r="Z45" s="776" t="s">
        <v>2372</v>
      </c>
      <c r="AA45" s="776" t="s">
        <v>2372</v>
      </c>
      <c r="AB45" s="776" t="s">
        <v>2372</v>
      </c>
      <c r="AC45" s="776" t="s">
        <v>2372</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2373</v>
      </c>
      <c r="P46" s="886" t="s">
        <v>2351</v>
      </c>
      <c r="Q46" s="886" t="s">
        <v>2373</v>
      </c>
      <c r="R46" s="886" t="s">
        <v>2351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3" t="s">
        <v>2374</v>
      </c>
      <c r="V46" s="773" t="s">
        <v>2374</v>
      </c>
      <c r="W46" s="773" t="s">
        <v>2374</v>
      </c>
      <c r="X46" s="773"/>
      <c r="Y46" s="929"/>
      <c r="Z46" s="776" t="s">
        <v>2375</v>
      </c>
      <c r="AA46" s="776" t="s">
        <v>2376</v>
      </c>
      <c r="AB46" s="776" t="s">
        <v>2376</v>
      </c>
      <c r="AC46" s="776" t="s">
        <v>2376</v>
      </c>
      <c r="AD46" s="776"/>
    </row>
    <row r="47" spans="1:30" ht="54" customHeight="1">
      <c r="A47" s="775"/>
      <c r="B47" s="828">
        <v>30</v>
      </c>
      <c r="C47" s="773" t="s">
        <v>2377</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2378</v>
      </c>
      <c r="P47" s="886" t="s">
        <v>2355</v>
      </c>
      <c r="Q47" s="886" t="s">
        <v>2378</v>
      </c>
      <c r="R47" s="886" t="s">
        <v>2355</v>
      </c>
      <c r="S47" s="886"/>
      <c r="T47" s="773" t="s">
        <v>2379</v>
      </c>
      <c r="U47" s="773" t="s">
        <v>2379</v>
      </c>
      <c r="V47" s="773" t="s">
        <v>2379</v>
      </c>
      <c r="W47" s="773" t="s">
        <v>2379</v>
      </c>
      <c r="X47" s="773"/>
      <c r="Y47" s="929"/>
      <c r="Z47" s="776"/>
      <c r="AA47" s="779"/>
      <c r="AB47" s="779"/>
      <c r="AC47" s="779"/>
      <c r="AD47" s="776"/>
    </row>
    <row r="48" spans="1:30" ht="54" customHeight="1">
      <c r="A48" s="775"/>
      <c r="B48" s="828">
        <v>31</v>
      </c>
      <c r="C48" s="773">
        <v>16</v>
      </c>
      <c r="D48" s="896"/>
      <c r="E48" s="773"/>
      <c r="F48" s="773"/>
      <c r="G48" s="773"/>
      <c r="H48" s="820"/>
      <c r="I48" s="934" t="str">
        <f t="shared" si="1"/>
        <v>2.13</v>
      </c>
      <c r="J48" s="93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4" t="str">
        <f t="shared" si="4"/>
        <v>2.13</v>
      </c>
      <c r="M48" s="774"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4"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6"/>
      <c r="P48" s="886" t="s">
        <v>2362</v>
      </c>
      <c r="Q48" s="886" t="s">
        <v>2380</v>
      </c>
      <c r="R48" s="886" t="s">
        <v>2362</v>
      </c>
      <c r="S48" s="886"/>
      <c r="T48" s="773"/>
      <c r="U48" s="773" t="s">
        <v>2381</v>
      </c>
      <c r="V48" s="773" t="s">
        <v>2382</v>
      </c>
      <c r="W48" s="773" t="s">
        <v>2382</v>
      </c>
      <c r="X48" s="773"/>
      <c r="Y48" s="929"/>
      <c r="Z48" s="776"/>
      <c r="AA48" s="779" t="s">
        <v>2376</v>
      </c>
      <c r="AB48" s="779" t="s">
        <v>2376</v>
      </c>
      <c r="AC48" s="779" t="s">
        <v>2376</v>
      </c>
      <c r="AD48" s="776"/>
    </row>
    <row r="49" spans="1:30" ht="54" customHeight="1">
      <c r="A49" s="775"/>
      <c r="B49" s="828">
        <v>32</v>
      </c>
      <c r="C49" s="773" t="s">
        <v>2383</v>
      </c>
      <c r="D49" s="896"/>
      <c r="E49" s="773"/>
      <c r="F49" s="773"/>
      <c r="G49" s="773"/>
      <c r="H49" s="820"/>
      <c r="I49" s="934" t="str">
        <f t="shared" si="1"/>
        <v>2.13.1</v>
      </c>
      <c r="J49"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4">
        <f t="shared" si="3"/>
        <v>0</v>
      </c>
      <c r="L49" s="774" t="str">
        <f t="shared" si="4"/>
        <v>2.13.1</v>
      </c>
      <c r="M49"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4" t="str">
        <f t="shared" si="6"/>
        <v/>
      </c>
      <c r="O49" s="886"/>
      <c r="P49" s="886" t="s">
        <v>2366</v>
      </c>
      <c r="Q49" s="886" t="s">
        <v>2384</v>
      </c>
      <c r="R49" s="886" t="s">
        <v>2366</v>
      </c>
      <c r="S49" s="886"/>
      <c r="T49" s="773"/>
      <c r="U49" s="773" t="s">
        <v>2379</v>
      </c>
      <c r="V49" s="773" t="s">
        <v>2379</v>
      </c>
      <c r="W49" s="773" t="s">
        <v>2379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2.14</v>
      </c>
      <c r="J50" s="93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4" t="str">
        <f t="shared" ref="L50:L81" si="10">IF(I50=0,"",I50)</f>
        <v>2.14</v>
      </c>
      <c r="M50" s="774"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4"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6" t="s">
        <v>2380</v>
      </c>
      <c r="P50" s="886" t="s">
        <v>2373</v>
      </c>
      <c r="Q50" s="886" t="s">
        <v>2385</v>
      </c>
      <c r="R50" s="886" t="s">
        <v>2373</v>
      </c>
      <c r="S50" s="886"/>
      <c r="T50" s="773" t="s">
        <v>2386</v>
      </c>
      <c r="U50" s="773" t="s">
        <v>2387</v>
      </c>
      <c r="V50" s="773" t="s">
        <v>2388</v>
      </c>
      <c r="W50" s="773" t="s">
        <v>2389</v>
      </c>
      <c r="X50" s="773"/>
      <c r="Y50" s="929"/>
      <c r="Z50" s="776" t="s">
        <v>2390</v>
      </c>
      <c r="AA50" s="779" t="s">
        <v>2391</v>
      </c>
      <c r="AB50" s="779" t="s">
        <v>2391</v>
      </c>
      <c r="AC50" s="779" t="s">
        <v>2391</v>
      </c>
      <c r="AD50" s="776"/>
    </row>
    <row r="51" spans="1:30" ht="27" customHeight="1">
      <c r="A51" s="775"/>
      <c r="B51" s="828">
        <v>34</v>
      </c>
      <c r="C51" s="773" t="s">
        <v>2392</v>
      </c>
      <c r="D51" s="896"/>
      <c r="E51" s="773"/>
      <c r="F51" s="773"/>
      <c r="G51" s="773"/>
      <c r="H51" s="820"/>
      <c r="I51" s="934">
        <f t="shared" si="7"/>
        <v>0</v>
      </c>
      <c r="J51" s="934">
        <f t="shared" si="8"/>
        <v>0</v>
      </c>
      <c r="K51" s="934">
        <f t="shared" si="9"/>
        <v>0</v>
      </c>
      <c r="L51" s="774" t="str">
        <f t="shared" si="10"/>
        <v/>
      </c>
      <c r="M51" s="774" t="str">
        <f t="shared" si="11"/>
        <v/>
      </c>
      <c r="N51" s="774" t="str">
        <f t="shared" si="12"/>
        <v/>
      </c>
      <c r="O51" s="886" t="s">
        <v>81</v>
      </c>
      <c r="P51" s="886"/>
      <c r="Q51" s="886"/>
      <c r="R51" s="886"/>
      <c r="S51" s="886"/>
      <c r="T51" s="773" t="s">
        <v>2393</v>
      </c>
      <c r="U51" s="773"/>
      <c r="V51" s="773"/>
      <c r="W51" s="773"/>
      <c r="X51" s="773"/>
      <c r="Y51" s="929"/>
      <c r="Z51" s="776"/>
      <c r="AA51" s="779"/>
      <c r="AB51" s="779"/>
      <c r="AC51" s="779"/>
      <c r="AD51" s="776"/>
    </row>
    <row r="52" spans="1:30" ht="36" customHeight="1">
      <c r="A52" s="775"/>
      <c r="B52" s="828">
        <v>35</v>
      </c>
      <c r="C52" s="773" t="s">
        <v>2286</v>
      </c>
      <c r="D52" s="896" t="s">
        <v>2286</v>
      </c>
      <c r="E52" s="773" t="s">
        <v>2286</v>
      </c>
      <c r="F52" s="773" t="s">
        <v>2286</v>
      </c>
      <c r="G52" s="773"/>
      <c r="H52" s="820"/>
      <c r="I52" s="934" t="str">
        <f t="shared" si="7"/>
        <v>3</v>
      </c>
      <c r="J52" s="934" t="str">
        <f t="shared" si="8"/>
        <v>Чистая прибыль, полученная от регулируемого вида деятельности в сфере горячего водоснабжения, в том числе:</v>
      </c>
      <c r="K52" s="934" t="str">
        <f t="shared" si="9"/>
        <v>Указывается общая сумма чистой прибыли, полученной от регулируемого вида деятельности.</v>
      </c>
      <c r="L52" s="774" t="str">
        <f t="shared" si="10"/>
        <v>3</v>
      </c>
      <c r="M52" s="774" t="str">
        <f t="shared" si="11"/>
        <v>Чистая прибыль, полученная от регулируемого вида деятельности в сфере горячего водоснабжения, в том числе:</v>
      </c>
      <c r="N52" s="774" t="str">
        <f t="shared" si="12"/>
        <v>Указывается общая сумма чистой прибыли, полученной от регулируемого вида деятельности.</v>
      </c>
      <c r="O52" s="886" t="s">
        <v>82</v>
      </c>
      <c r="P52" s="886" t="s">
        <v>81</v>
      </c>
      <c r="Q52" s="886" t="s">
        <v>81</v>
      </c>
      <c r="R52" s="886" t="s">
        <v>81</v>
      </c>
      <c r="S52" s="886"/>
      <c r="T52" s="773" t="s">
        <v>2394</v>
      </c>
      <c r="U52" s="773" t="s">
        <v>2395</v>
      </c>
      <c r="V52" s="773" t="s">
        <v>2396</v>
      </c>
      <c r="W52" s="773" t="s">
        <v>2397</v>
      </c>
      <c r="X52" s="773"/>
      <c r="Y52" s="929"/>
      <c r="Z52" s="776" t="s">
        <v>999</v>
      </c>
      <c r="AA52" s="779" t="s">
        <v>999</v>
      </c>
      <c r="AB52" s="779" t="s">
        <v>999</v>
      </c>
      <c r="AC52" s="779" t="s">
        <v>999</v>
      </c>
      <c r="AD52" s="776"/>
    </row>
    <row r="53" spans="1:30" ht="36" customHeight="1">
      <c r="A53" s="775"/>
      <c r="B53" s="828">
        <v>36</v>
      </c>
      <c r="C53" s="773">
        <v>1</v>
      </c>
      <c r="D53" s="896"/>
      <c r="E53" s="773"/>
      <c r="F53" s="773"/>
      <c r="G53" s="773"/>
      <c r="H53" s="820"/>
      <c r="I53" s="934" t="str">
        <f t="shared" si="7"/>
        <v>3.1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3.1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1003</v>
      </c>
      <c r="P53" s="886" t="s">
        <v>553</v>
      </c>
      <c r="Q53" s="886" t="s">
        <v>553</v>
      </c>
      <c r="R53" s="886" t="s">
        <v>553</v>
      </c>
      <c r="S53" s="886"/>
      <c r="T53" s="773" t="s">
        <v>2398</v>
      </c>
      <c r="U53" s="773" t="s">
        <v>2398</v>
      </c>
      <c r="V53" s="773" t="s">
        <v>2398</v>
      </c>
      <c r="W53" s="773" t="s">
        <v>2398</v>
      </c>
      <c r="X53" s="773"/>
      <c r="Y53" s="929"/>
      <c r="Z53" s="776"/>
      <c r="AA53" s="779"/>
      <c r="AB53" s="776"/>
      <c r="AC53" s="776"/>
      <c r="AD53" s="776"/>
    </row>
    <row r="54" spans="1:30" ht="18" customHeight="1">
      <c r="A54" s="775"/>
      <c r="B54" s="828">
        <v>37</v>
      </c>
      <c r="C54" s="773" t="s">
        <v>2292</v>
      </c>
      <c r="D54" s="896" t="s">
        <v>2292</v>
      </c>
      <c r="E54" s="773" t="s">
        <v>2292</v>
      </c>
      <c r="F54" s="773" t="s">
        <v>2292</v>
      </c>
      <c r="G54" s="773"/>
      <c r="H54" s="820"/>
      <c r="I54" s="934" t="str">
        <f t="shared" si="7"/>
        <v>4</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4</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109</v>
      </c>
      <c r="P54" s="886" t="s">
        <v>82</v>
      </c>
      <c r="Q54" s="886" t="s">
        <v>82</v>
      </c>
      <c r="R54" s="886" t="s">
        <v>82</v>
      </c>
      <c r="S54" s="886"/>
      <c r="T54" s="773" t="s">
        <v>1001</v>
      </c>
      <c r="U54" s="773" t="s">
        <v>1001</v>
      </c>
      <c r="V54" s="773" t="s">
        <v>1001</v>
      </c>
      <c r="W54" s="773" t="s">
        <v>1001</v>
      </c>
      <c r="X54" s="773"/>
      <c r="Y54" s="929"/>
      <c r="Z54" s="776" t="s">
        <v>1002</v>
      </c>
      <c r="AA54" s="776" t="s">
        <v>1002</v>
      </c>
      <c r="AB54" s="776" t="s">
        <v>1002</v>
      </c>
      <c r="AC54" s="776" t="s">
        <v>1002</v>
      </c>
      <c r="AD54" s="776"/>
    </row>
    <row r="55" spans="1:30" ht="36" customHeight="1">
      <c r="A55" s="775"/>
      <c r="B55" s="828">
        <v>38</v>
      </c>
      <c r="C55" s="773">
        <v>1</v>
      </c>
      <c r="D55" s="896"/>
      <c r="E55" s="773"/>
      <c r="F55" s="773"/>
      <c r="G55" s="773"/>
      <c r="H55" s="820"/>
      <c r="I55" s="934" t="str">
        <f t="shared" si="7"/>
        <v>4.1</v>
      </c>
      <c r="J55" s="934" t="str">
        <f t="shared" si="8"/>
        <v>Изменение стоимости основных фондов за счет их ввода в эксплуатацию (вывода из эксплуатации)</v>
      </c>
      <c r="K55" s="934" t="str">
        <f t="shared" si="9"/>
        <v>Указываются общее изменение стоимости основных фондов за счет их ввода в эксплуатацию и вывода из эксплуатации.</v>
      </c>
      <c r="L55" s="774" t="str">
        <f t="shared" si="10"/>
        <v>4.1</v>
      </c>
      <c r="M55" s="774" t="str">
        <f t="shared" si="11"/>
        <v>Изменение стоимости основных фондов за счет их ввода в эксплуатацию (вывода из эксплуатации)</v>
      </c>
      <c r="N55" s="774" t="str">
        <f t="shared" si="12"/>
        <v>Указываются общее изменение стоимости основных фондов за счет их ввода в эксплуатацию и вывода из эксплуатации.</v>
      </c>
      <c r="O55" s="886" t="s">
        <v>542</v>
      </c>
      <c r="P55" s="886" t="s">
        <v>1003</v>
      </c>
      <c r="Q55" s="886" t="s">
        <v>1003</v>
      </c>
      <c r="R55" s="886" t="s">
        <v>1003</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3" t="s">
        <v>2399</v>
      </c>
      <c r="V55" s="773" t="s">
        <v>2399</v>
      </c>
      <c r="W55" s="773" t="s">
        <v>2399</v>
      </c>
      <c r="X55" s="773"/>
      <c r="Y55" s="929"/>
      <c r="Z55" s="776" t="s">
        <v>2400</v>
      </c>
      <c r="AA55" s="776" t="s">
        <v>2400</v>
      </c>
      <c r="AB55" s="776" t="s">
        <v>2400</v>
      </c>
      <c r="AC55" s="776" t="s">
        <v>2400</v>
      </c>
      <c r="AD55" s="776"/>
    </row>
    <row r="56" spans="1:30" ht="27" customHeight="1">
      <c r="A56" s="775"/>
      <c r="B56" s="828">
        <v>39</v>
      </c>
      <c r="C56" s="773" t="s">
        <v>1271</v>
      </c>
      <c r="D56" s="896"/>
      <c r="E56" s="773"/>
      <c r="F56" s="773"/>
      <c r="G56" s="773"/>
      <c r="H56" s="820"/>
      <c r="I56" s="934" t="str">
        <f t="shared" si="7"/>
        <v>4.1.1</v>
      </c>
      <c r="J56" s="934" t="str">
        <f t="shared" si="8"/>
        <v>Изменение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4.1.1</v>
      </c>
      <c r="M56" s="774" t="str">
        <f t="shared" si="11"/>
        <v>Изменение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1388</v>
      </c>
      <c r="P56" s="886" t="s">
        <v>1006</v>
      </c>
      <c r="Q56" s="886" t="s">
        <v>1006</v>
      </c>
      <c r="R56" s="886" t="s">
        <v>1006</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3" t="s">
        <v>2401</v>
      </c>
      <c r="V56" s="773" t="s">
        <v>2401</v>
      </c>
      <c r="W56" s="773" t="s">
        <v>2401</v>
      </c>
      <c r="X56" s="773"/>
      <c r="Y56" s="929"/>
      <c r="Z56" s="776" t="s">
        <v>1008</v>
      </c>
      <c r="AA56" s="776" t="s">
        <v>1008</v>
      </c>
      <c r="AB56" s="776" t="s">
        <v>1008</v>
      </c>
      <c r="AC56" s="776" t="s">
        <v>1008</v>
      </c>
      <c r="AD56" s="776"/>
    </row>
    <row r="57" spans="1:30" ht="27" customHeight="1">
      <c r="A57" s="775"/>
      <c r="B57" s="828">
        <v>40</v>
      </c>
      <c r="C57" s="773" t="s">
        <v>1273</v>
      </c>
      <c r="D57" s="896"/>
      <c r="E57" s="773"/>
      <c r="F57" s="773"/>
      <c r="G57" s="773"/>
      <c r="H57" s="820"/>
      <c r="I57" s="934" t="str">
        <f t="shared" si="7"/>
        <v>4.1.2</v>
      </c>
      <c r="J57" s="934" t="str">
        <f t="shared" si="8"/>
        <v>Изменение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4.1.2</v>
      </c>
      <c r="M57" s="774" t="str">
        <f t="shared" si="11"/>
        <v>Изменение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2402</v>
      </c>
      <c r="P57" s="886" t="s">
        <v>1009</v>
      </c>
      <c r="Q57" s="886" t="s">
        <v>1009</v>
      </c>
      <c r="R57" s="886" t="s">
        <v>1009</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3" t="s">
        <v>2403</v>
      </c>
      <c r="V57" s="773" t="s">
        <v>2403</v>
      </c>
      <c r="W57" s="773" t="s">
        <v>2403</v>
      </c>
      <c r="X57" s="773"/>
      <c r="Y57" s="929"/>
      <c r="Z57" s="776" t="s">
        <v>1011</v>
      </c>
      <c r="AA57" s="776" t="s">
        <v>1011</v>
      </c>
      <c r="AB57" s="776" t="s">
        <v>1011</v>
      </c>
      <c r="AC57" s="776" t="s">
        <v>1011</v>
      </c>
      <c r="AD57" s="776"/>
    </row>
    <row r="58" spans="1:30" ht="18" customHeight="1">
      <c r="A58" s="775"/>
      <c r="B58" s="828">
        <v>41</v>
      </c>
      <c r="C58" s="773">
        <v>2</v>
      </c>
      <c r="D58" s="896"/>
      <c r="E58" s="773"/>
      <c r="F58" s="773"/>
      <c r="G58" s="773"/>
      <c r="H58" s="820"/>
      <c r="I58" s="934" t="str">
        <f t="shared" si="7"/>
        <v>4.2</v>
      </c>
      <c r="J58" s="934" t="str">
        <f t="shared" si="8"/>
        <v>Изменение стоимости основных фондов за счет их переоценки</v>
      </c>
      <c r="K58" s="934">
        <f t="shared" si="9"/>
        <v>0</v>
      </c>
      <c r="L58" s="774" t="str">
        <f t="shared" si="10"/>
        <v>4.2</v>
      </c>
      <c r="M58" s="774" t="str">
        <f t="shared" si="11"/>
        <v>Изменение стоимости основных фондов за счет их переоценки</v>
      </c>
      <c r="N58" s="774" t="str">
        <f t="shared" si="12"/>
        <v/>
      </c>
      <c r="O58" s="886" t="s">
        <v>1131</v>
      </c>
      <c r="P58" s="886" t="s">
        <v>1045</v>
      </c>
      <c r="Q58" s="886" t="s">
        <v>1045</v>
      </c>
      <c r="R58" s="886" t="s">
        <v>1045</v>
      </c>
      <c r="S58" s="886"/>
      <c r="T58" s="774" t="str">
        <f>IF(TITLE_TYPE_ORG="Регулируемая организация","Изменение стоимости основных фондов за счет их переоценки","за счет их переоценки")</f>
        <v>за счет их переоценки</v>
      </c>
      <c r="U58" s="773" t="s">
        <v>2404</v>
      </c>
      <c r="V58" s="773" t="s">
        <v>2404</v>
      </c>
      <c r="W58" s="773" t="s">
        <v>2404</v>
      </c>
      <c r="X58" s="773"/>
      <c r="Y58" s="929"/>
      <c r="Z58" s="776"/>
      <c r="AA58" s="779"/>
      <c r="AB58" s="776"/>
      <c r="AC58" s="776"/>
      <c r="AD58" s="776"/>
    </row>
    <row r="59" spans="1:30" ht="36" customHeight="1">
      <c r="A59" s="775"/>
      <c r="B59" s="828">
        <v>42</v>
      </c>
      <c r="C59" s="773">
        <v>3</v>
      </c>
      <c r="D59" s="896" t="s">
        <v>2392</v>
      </c>
      <c r="E59" s="773" t="s">
        <v>2392</v>
      </c>
      <c r="F59" s="773" t="s">
        <v>2392</v>
      </c>
      <c r="G59" s="773"/>
      <c r="H59" s="820"/>
      <c r="I59" s="934" t="str">
        <f t="shared" si="7"/>
        <v>5</v>
      </c>
      <c r="J59" s="934" t="str">
        <f t="shared" si="8"/>
        <v>Валовая прибыль (убытки) от продажи товаров и услуг по регулируемым видам деятельности в сфере горячего водоснабжения</v>
      </c>
      <c r="K59" s="934">
        <f t="shared" si="9"/>
        <v>0</v>
      </c>
      <c r="L59" s="774" t="str">
        <f t="shared" si="10"/>
        <v>5</v>
      </c>
      <c r="M59" s="774" t="str">
        <f t="shared" si="11"/>
        <v>Валовая прибыль (убытки) от продажи товаров и услуг по регулируемым видам деятельности в сфере горячего водоснабжения</v>
      </c>
      <c r="N59" s="774" t="str">
        <f t="shared" si="12"/>
        <v/>
      </c>
      <c r="O59" s="886"/>
      <c r="P59" s="886" t="s">
        <v>109</v>
      </c>
      <c r="Q59" s="886" t="s">
        <v>109</v>
      </c>
      <c r="R59" s="886" t="s">
        <v>109</v>
      </c>
      <c r="S59" s="886"/>
      <c r="T59" s="773"/>
      <c r="U59" s="773" t="s">
        <v>2405</v>
      </c>
      <c r="V59" s="773" t="s">
        <v>2406</v>
      </c>
      <c r="W59" s="773" t="s">
        <v>2407</v>
      </c>
      <c r="X59" s="773"/>
      <c r="Y59" s="929"/>
      <c r="Z59" s="776"/>
      <c r="AA59" s="779"/>
      <c r="AB59" s="776"/>
      <c r="AC59" s="776"/>
      <c r="AD59" s="776"/>
    </row>
    <row r="60" spans="1:30" ht="81" customHeight="1">
      <c r="A60" s="775"/>
      <c r="B60" s="828">
        <v>43</v>
      </c>
      <c r="C60" s="773" t="s">
        <v>2408</v>
      </c>
      <c r="D60" s="896" t="s">
        <v>2408</v>
      </c>
      <c r="E60" s="773" t="s">
        <v>2408</v>
      </c>
      <c r="F60" s="773" t="s">
        <v>2408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6" t="s">
        <v>83</v>
      </c>
      <c r="P60" s="886" t="s">
        <v>83</v>
      </c>
      <c r="Q60" s="886" t="s">
        <v>83</v>
      </c>
      <c r="R60" s="886" t="s">
        <v>83</v>
      </c>
      <c r="S60" s="886"/>
      <c r="T60" s="773" t="s">
        <v>879</v>
      </c>
      <c r="U60" s="773" t="s">
        <v>879</v>
      </c>
      <c r="V60" s="773" t="s">
        <v>879</v>
      </c>
      <c r="W60" s="773" t="s">
        <v>879</v>
      </c>
      <c r="X60" s="773"/>
      <c r="Y60" s="929"/>
      <c r="Z60" s="776" t="s">
        <v>2409</v>
      </c>
      <c r="AA60" s="779" t="s">
        <v>2410</v>
      </c>
      <c r="AB60" s="776" t="s">
        <v>2411</v>
      </c>
      <c r="AC60" s="776" t="s">
        <v>2410</v>
      </c>
      <c r="AD60" s="776"/>
    </row>
    <row r="61" spans="1:30" ht="9" customHeight="1">
      <c r="A61" s="775"/>
      <c r="B61" s="828">
        <v>44</v>
      </c>
      <c r="C61" s="773"/>
      <c r="D61" s="896" t="s">
        <v>2412</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84</v>
      </c>
      <c r="Q61" s="886"/>
      <c r="R61" s="886"/>
      <c r="S61" s="886"/>
      <c r="T61" s="773"/>
      <c r="U61" s="773" t="s">
        <v>2413</v>
      </c>
      <c r="V61" s="773"/>
      <c r="W61" s="773"/>
      <c r="X61" s="773"/>
      <c r="Y61" s="929"/>
      <c r="Z61" s="776"/>
      <c r="AA61" s="779"/>
      <c r="AB61" s="776"/>
      <c r="AC61" s="776"/>
      <c r="AD61" s="776"/>
    </row>
    <row r="62" spans="1:30" ht="9" customHeight="1">
      <c r="A62" s="775"/>
      <c r="B62" s="828">
        <v>45</v>
      </c>
      <c r="C62" s="773"/>
      <c r="D62" s="896" t="s">
        <v>2414</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90</v>
      </c>
      <c r="Q62" s="886"/>
      <c r="R62" s="886"/>
      <c r="S62" s="886"/>
      <c r="T62" s="773"/>
      <c r="U62" s="773" t="s">
        <v>2415</v>
      </c>
      <c r="V62" s="773"/>
      <c r="W62" s="773"/>
      <c r="X62" s="773"/>
      <c r="Y62" s="929"/>
      <c r="Z62" s="776"/>
      <c r="AA62" s="779"/>
      <c r="AB62" s="776"/>
      <c r="AC62" s="776"/>
      <c r="AD62" s="776"/>
    </row>
    <row r="63" spans="1:30" ht="18" customHeight="1">
      <c r="A63" s="775"/>
      <c r="B63" s="828">
        <v>46</v>
      </c>
      <c r="C63" s="773"/>
      <c r="D63" s="896" t="s">
        <v>2416</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128</v>
      </c>
      <c r="Q63" s="886"/>
      <c r="R63" s="886"/>
      <c r="S63" s="886"/>
      <c r="T63" s="773"/>
      <c r="U63" s="773" t="s">
        <v>2417</v>
      </c>
      <c r="V63" s="773"/>
      <c r="W63" s="773"/>
      <c r="X63" s="773"/>
      <c r="Y63" s="929"/>
      <c r="Z63" s="776"/>
      <c r="AA63" s="779"/>
      <c r="AB63" s="776"/>
      <c r="AC63" s="776"/>
      <c r="AD63" s="776"/>
    </row>
    <row r="64" spans="1:30" ht="18" customHeight="1">
      <c r="A64" s="775"/>
      <c r="B64" s="828">
        <v>47</v>
      </c>
      <c r="C64" s="773"/>
      <c r="D64" s="896" t="s">
        <v>2418</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133</v>
      </c>
      <c r="Q64" s="886"/>
      <c r="R64" s="886"/>
      <c r="S64" s="886"/>
      <c r="T64" s="773"/>
      <c r="U64" s="773" t="s">
        <v>2419</v>
      </c>
      <c r="V64" s="773"/>
      <c r="W64" s="773"/>
      <c r="X64" s="773"/>
      <c r="Y64" s="929"/>
      <c r="Z64" s="776"/>
      <c r="AA64" s="779" t="s">
        <v>2420</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2333</v>
      </c>
      <c r="Q65" s="886"/>
      <c r="R65" s="886"/>
      <c r="S65" s="886"/>
      <c r="T65" s="773"/>
      <c r="U65" s="773" t="s">
        <v>2421</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2337</v>
      </c>
      <c r="Q66" s="886"/>
      <c r="R66" s="886"/>
      <c r="S66" s="886"/>
      <c r="T66" s="773"/>
      <c r="U66" s="773" t="s">
        <v>2422</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2423</v>
      </c>
      <c r="Q67" s="886"/>
      <c r="R67" s="886"/>
      <c r="S67" s="886"/>
      <c r="T67" s="773"/>
      <c r="U67" s="773" t="s">
        <v>2424</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2425</v>
      </c>
      <c r="Q68" s="886"/>
      <c r="R68" s="886"/>
      <c r="S68" s="886"/>
      <c r="T68" s="773"/>
      <c r="U68" s="773" t="s">
        <v>2426</v>
      </c>
      <c r="V68" s="773"/>
      <c r="W68" s="773"/>
      <c r="X68" s="773"/>
      <c r="Y68" s="929"/>
      <c r="Z68" s="776"/>
      <c r="AA68" s="779"/>
      <c r="AB68" s="776"/>
      <c r="AC68" s="776"/>
      <c r="AD68" s="776"/>
    </row>
    <row r="69" spans="1:30" ht="9" customHeight="1">
      <c r="A69" s="775"/>
      <c r="B69" s="828">
        <v>52</v>
      </c>
      <c r="C69" s="773"/>
      <c r="D69" s="896" t="s">
        <v>2427</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138</v>
      </c>
      <c r="Q69" s="886"/>
      <c r="R69" s="886"/>
      <c r="S69" s="886"/>
      <c r="T69" s="773"/>
      <c r="U69" s="773" t="s">
        <v>2428</v>
      </c>
      <c r="V69" s="773"/>
      <c r="W69" s="773"/>
      <c r="X69" s="773"/>
      <c r="Y69" s="929"/>
      <c r="Z69" s="776"/>
      <c r="AA69" s="779"/>
      <c r="AB69" s="776"/>
      <c r="AC69" s="776"/>
      <c r="AD69" s="776"/>
    </row>
    <row r="70" spans="1:30" ht="27" customHeight="1">
      <c r="A70" s="775"/>
      <c r="B70" s="828">
        <v>53</v>
      </c>
      <c r="C70" s="773"/>
      <c r="D70" s="896"/>
      <c r="E70" s="773" t="s">
        <v>2412</v>
      </c>
      <c r="F70" s="773"/>
      <c r="G70" s="773"/>
      <c r="H70" s="820"/>
      <c r="I70" s="934" t="str">
        <f t="shared" si="7"/>
        <v>7</v>
      </c>
      <c r="J70" s="934" t="str">
        <f t="shared" si="8"/>
        <v>Объём приобретаемой холодной воды, используемой для горячего водоснабжения</v>
      </c>
      <c r="K70" s="934">
        <f t="shared" si="9"/>
        <v>0</v>
      </c>
      <c r="L70" s="774" t="str">
        <f t="shared" si="10"/>
        <v>7</v>
      </c>
      <c r="M70" s="774" t="str">
        <f t="shared" si="11"/>
        <v>Объём приобретаемой холодной воды, используемой для горячего водоснабжения</v>
      </c>
      <c r="N70" s="774" t="str">
        <f t="shared" si="12"/>
        <v/>
      </c>
      <c r="O70" s="886"/>
      <c r="P70" s="886"/>
      <c r="Q70" s="886" t="s">
        <v>84</v>
      </c>
      <c r="R70" s="886"/>
      <c r="S70" s="886"/>
      <c r="T70" s="773"/>
      <c r="U70" s="773"/>
      <c r="V70" s="773" t="s">
        <v>2429</v>
      </c>
      <c r="W70" s="773"/>
      <c r="X70" s="773"/>
      <c r="Y70" s="929"/>
      <c r="Z70" s="776"/>
      <c r="AA70" s="779"/>
      <c r="AB70" s="776"/>
      <c r="AC70" s="776"/>
      <c r="AD70" s="776"/>
    </row>
    <row r="71" spans="1:30" ht="36" customHeight="1">
      <c r="A71" s="775"/>
      <c r="B71" s="828">
        <v>54</v>
      </c>
      <c r="C71" s="773"/>
      <c r="D71" s="896"/>
      <c r="E71" s="773" t="s">
        <v>2414</v>
      </c>
      <c r="F71" s="773"/>
      <c r="G71" s="773"/>
      <c r="H71" s="820"/>
      <c r="I71" s="934" t="str">
        <f t="shared" si="7"/>
        <v>8</v>
      </c>
      <c r="J71" s="934" t="str">
        <f t="shared" si="8"/>
        <v>Объём холодной воды, получаемой с применением собственных источников водозабора (скважин) и используемой для горячего водоснабжения</v>
      </c>
      <c r="K71" s="934">
        <f t="shared" si="9"/>
        <v>0</v>
      </c>
      <c r="L71" s="774" t="str">
        <f t="shared" si="10"/>
        <v>8</v>
      </c>
      <c r="M71" s="774" t="str">
        <f t="shared" si="11"/>
        <v>Объём холодной воды, получаемой с применением собственных источников водозабора (скважин) и используемой для горячего водоснабжения</v>
      </c>
      <c r="N71" s="774" t="str">
        <f t="shared" si="12"/>
        <v/>
      </c>
      <c r="O71" s="886"/>
      <c r="P71" s="886"/>
      <c r="Q71" s="886" t="s">
        <v>90</v>
      </c>
      <c r="R71" s="886"/>
      <c r="S71" s="886"/>
      <c r="T71" s="773"/>
      <c r="U71" s="773"/>
      <c r="V71" s="773" t="s">
        <v>2430</v>
      </c>
      <c r="W71" s="773"/>
      <c r="X71" s="773"/>
      <c r="Y71" s="929"/>
      <c r="Z71" s="776"/>
      <c r="AA71" s="779"/>
      <c r="AB71" s="776"/>
      <c r="AC71" s="776"/>
      <c r="AD71" s="776"/>
    </row>
    <row r="72" spans="1:30" ht="27" customHeight="1">
      <c r="A72" s="775"/>
      <c r="B72" s="828">
        <v>55</v>
      </c>
      <c r="C72" s="773"/>
      <c r="D72" s="896"/>
      <c r="E72" s="773" t="s">
        <v>2416</v>
      </c>
      <c r="F72" s="773"/>
      <c r="G72" s="773"/>
      <c r="H72" s="820"/>
      <c r="I72" s="934" t="str">
        <f t="shared" si="7"/>
        <v>9</v>
      </c>
      <c r="J72" s="934" t="str">
        <f t="shared" si="8"/>
        <v>Объём приобретаемой тепловой энергии (мощности), используемой для горячего водоснабжения</v>
      </c>
      <c r="K72" s="934">
        <f t="shared" si="9"/>
        <v>0</v>
      </c>
      <c r="L72" s="774" t="str">
        <f t="shared" si="10"/>
        <v>9</v>
      </c>
      <c r="M72" s="774" t="str">
        <f t="shared" si="11"/>
        <v>Объём приобретаемой тепловой энергии (мощности), используемой для горячего водоснабжения</v>
      </c>
      <c r="N72" s="774" t="str">
        <f t="shared" si="12"/>
        <v/>
      </c>
      <c r="O72" s="886"/>
      <c r="P72" s="886"/>
      <c r="Q72" s="886" t="s">
        <v>128</v>
      </c>
      <c r="R72" s="886"/>
      <c r="S72" s="886"/>
      <c r="T72" s="773"/>
      <c r="U72" s="773"/>
      <c r="V72" s="773" t="s">
        <v>2431</v>
      </c>
      <c r="W72" s="773"/>
      <c r="X72" s="773"/>
      <c r="Y72" s="929"/>
      <c r="Z72" s="776"/>
      <c r="AA72" s="779"/>
      <c r="AB72" s="776"/>
      <c r="AC72" s="776"/>
      <c r="AD72" s="776"/>
    </row>
    <row r="73" spans="1:30" ht="36" customHeight="1">
      <c r="A73" s="775"/>
      <c r="B73" s="828">
        <v>56</v>
      </c>
      <c r="C73" s="773"/>
      <c r="D73" s="896"/>
      <c r="E73" s="773" t="s">
        <v>2418</v>
      </c>
      <c r="F73" s="773"/>
      <c r="G73" s="773"/>
      <c r="H73" s="820"/>
      <c r="I73" s="934" t="str">
        <f t="shared" si="7"/>
        <v>10</v>
      </c>
      <c r="J73" s="934" t="str">
        <f t="shared" si="8"/>
        <v>Объём тепловой энергии, производимой с применением собственных источников и используемой для горячего водоснабжения</v>
      </c>
      <c r="K73" s="934">
        <f t="shared" si="9"/>
        <v>0</v>
      </c>
      <c r="L73" s="774" t="str">
        <f t="shared" si="10"/>
        <v>10</v>
      </c>
      <c r="M73" s="774" t="str">
        <f t="shared" si="11"/>
        <v>Объём тепловой энергии, производимой с применением собственных источников и используемой для горячего водоснабжения</v>
      </c>
      <c r="N73" s="774" t="str">
        <f t="shared" si="12"/>
        <v/>
      </c>
      <c r="O73" s="886"/>
      <c r="P73" s="886"/>
      <c r="Q73" s="886" t="s">
        <v>133</v>
      </c>
      <c r="R73" s="886"/>
      <c r="S73" s="886"/>
      <c r="T73" s="773"/>
      <c r="U73" s="773"/>
      <c r="V73" s="773" t="s">
        <v>2432</v>
      </c>
      <c r="W73" s="773"/>
      <c r="X73" s="773"/>
      <c r="Y73" s="929"/>
      <c r="Z73" s="776"/>
      <c r="AA73" s="779"/>
      <c r="AB73" s="776"/>
      <c r="AC73" s="776"/>
      <c r="AD73" s="776"/>
    </row>
    <row r="74" spans="1:30" ht="18" customHeight="1">
      <c r="A74" s="775"/>
      <c r="B74" s="828">
        <v>57</v>
      </c>
      <c r="C74" s="773"/>
      <c r="D74" s="896"/>
      <c r="E74" s="773" t="s">
        <v>2427</v>
      </c>
      <c r="F74" s="773"/>
      <c r="G74" s="773"/>
      <c r="H74" s="820"/>
      <c r="I74" s="934" t="str">
        <f t="shared" si="7"/>
        <v>11</v>
      </c>
      <c r="J74" s="934" t="str">
        <f t="shared" si="8"/>
        <v>Потери горячей воды в сетях (процентов)</v>
      </c>
      <c r="K74" s="934">
        <f t="shared" si="9"/>
        <v>0</v>
      </c>
      <c r="L74" s="774" t="str">
        <f t="shared" si="10"/>
        <v>11</v>
      </c>
      <c r="M74" s="774" t="str">
        <f t="shared" si="11"/>
        <v>Потери горячей воды в сетях (процентов)</v>
      </c>
      <c r="N74" s="774" t="str">
        <f t="shared" si="12"/>
        <v/>
      </c>
      <c r="O74" s="886"/>
      <c r="P74" s="886"/>
      <c r="Q74" s="886" t="s">
        <v>138</v>
      </c>
      <c r="R74" s="886"/>
      <c r="S74" s="886"/>
      <c r="T74" s="773"/>
      <c r="U74" s="773"/>
      <c r="V74" s="773" t="s">
        <v>2433</v>
      </c>
      <c r="W74" s="773"/>
      <c r="X74" s="773"/>
      <c r="Y74" s="929"/>
      <c r="Z74" s="776"/>
      <c r="AA74" s="779"/>
      <c r="AB74" s="776"/>
      <c r="AC74" s="776"/>
      <c r="AD74" s="776"/>
    </row>
    <row r="75" spans="1:30" ht="18" customHeight="1">
      <c r="A75" s="775"/>
      <c r="B75" s="828">
        <v>58</v>
      </c>
      <c r="C75" s="773"/>
      <c r="D75" s="896"/>
      <c r="E75" s="773"/>
      <c r="F75" s="773" t="s">
        <v>2412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84</v>
      </c>
      <c r="S75" s="886"/>
      <c r="T75" s="773"/>
      <c r="U75" s="773"/>
      <c r="V75" s="773"/>
      <c r="W75" s="773" t="s">
        <v>2434</v>
      </c>
      <c r="X75" s="773"/>
      <c r="Y75" s="929"/>
      <c r="Z75" s="776"/>
      <c r="AA75" s="779"/>
      <c r="AB75" s="776"/>
      <c r="AC75" s="776"/>
      <c r="AD75" s="776"/>
    </row>
    <row r="76" spans="1:30" ht="36" customHeight="1">
      <c r="A76" s="775"/>
      <c r="B76" s="828">
        <v>59</v>
      </c>
      <c r="C76" s="773"/>
      <c r="D76" s="896"/>
      <c r="E76" s="773"/>
      <c r="F76" s="773" t="s">
        <v>2414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90</v>
      </c>
      <c r="S76" s="886"/>
      <c r="T76" s="773"/>
      <c r="U76" s="773"/>
      <c r="V76" s="773"/>
      <c r="W76" s="773" t="s">
        <v>2435</v>
      </c>
      <c r="X76" s="773"/>
      <c r="Y76" s="929"/>
      <c r="Z76" s="776"/>
      <c r="AA76" s="779"/>
      <c r="AB76" s="776"/>
      <c r="AC76" s="776"/>
      <c r="AD76" s="776"/>
    </row>
    <row r="77" spans="1:30" ht="18" customHeight="1">
      <c r="A77" s="775"/>
      <c r="B77" s="828">
        <v>60</v>
      </c>
      <c r="C77" s="773"/>
      <c r="D77" s="896"/>
      <c r="E77" s="773"/>
      <c r="F77" s="773" t="s">
        <v>2416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128</v>
      </c>
      <c r="S77" s="886"/>
      <c r="T77" s="773"/>
      <c r="U77" s="773"/>
      <c r="V77" s="773"/>
      <c r="W77" s="773" t="s">
        <v>2436</v>
      </c>
      <c r="X77" s="773"/>
      <c r="Y77" s="929"/>
      <c r="Z77" s="776"/>
      <c r="AA77" s="779"/>
      <c r="AB77" s="776"/>
      <c r="AC77" s="776"/>
      <c r="AD77" s="776"/>
    </row>
    <row r="78" spans="1:30" ht="72" customHeight="1">
      <c r="A78" s="775"/>
      <c r="B78" s="828">
        <v>61</v>
      </c>
      <c r="C78" s="773" t="s">
        <v>2412</v>
      </c>
      <c r="D78" s="896"/>
      <c r="E78" s="773"/>
      <c r="F78" s="773"/>
      <c r="G78" s="773"/>
      <c r="H78" s="820"/>
      <c r="I78" s="934">
        <f t="shared" si="7"/>
        <v>0</v>
      </c>
      <c r="J78" s="934">
        <f t="shared" si="8"/>
        <v>0</v>
      </c>
      <c r="K78" s="934">
        <f t="shared" si="9"/>
        <v>0</v>
      </c>
      <c r="L78" s="774" t="str">
        <f t="shared" si="10"/>
        <v/>
      </c>
      <c r="M78" s="774" t="str">
        <f t="shared" si="11"/>
        <v/>
      </c>
      <c r="N78" s="774" t="str">
        <f t="shared" si="12"/>
        <v/>
      </c>
      <c r="O78" s="886" t="s">
        <v>84</v>
      </c>
      <c r="P78" s="886"/>
      <c r="Q78" s="886"/>
      <c r="R78" s="886"/>
      <c r="S78" s="886"/>
      <c r="T78" s="773" t="s">
        <v>884</v>
      </c>
      <c r="U78" s="773"/>
      <c r="V78" s="773"/>
      <c r="W78" s="773"/>
      <c r="X78" s="773"/>
      <c r="Y78" s="929"/>
      <c r="Z78" s="776" t="s">
        <v>2437</v>
      </c>
      <c r="AA78" s="779"/>
      <c r="AB78" s="776"/>
      <c r="AC78" s="776"/>
      <c r="AD78" s="776"/>
    </row>
    <row r="79" spans="1:30" ht="36" customHeight="1">
      <c r="A79" s="775"/>
      <c r="B79" s="828">
        <v>62</v>
      </c>
      <c r="C79" s="773" t="s">
        <v>2414</v>
      </c>
      <c r="D79" s="896"/>
      <c r="E79" s="773"/>
      <c r="F79" s="773"/>
      <c r="G79" s="773"/>
      <c r="H79" s="820"/>
      <c r="I79" s="934">
        <f t="shared" si="7"/>
        <v>0</v>
      </c>
      <c r="J79" s="934">
        <f t="shared" si="8"/>
        <v>0</v>
      </c>
      <c r="K79" s="934">
        <f t="shared" si="9"/>
        <v>0</v>
      </c>
      <c r="L79" s="774" t="str">
        <f t="shared" si="10"/>
        <v/>
      </c>
      <c r="M79" s="774" t="str">
        <f t="shared" si="11"/>
        <v/>
      </c>
      <c r="N79" s="774" t="str">
        <f t="shared" si="12"/>
        <v/>
      </c>
      <c r="O79" s="886" t="s">
        <v>90</v>
      </c>
      <c r="P79" s="886"/>
      <c r="Q79" s="886"/>
      <c r="R79" s="886"/>
      <c r="S79" s="886"/>
      <c r="T79" s="773" t="s">
        <v>2438</v>
      </c>
      <c r="U79" s="773"/>
      <c r="V79" s="773"/>
      <c r="W79" s="773"/>
      <c r="X79" s="773"/>
      <c r="Y79" s="929"/>
      <c r="Z79" s="776" t="s">
        <v>2439</v>
      </c>
      <c r="AA79" s="779"/>
      <c r="AB79" s="776"/>
      <c r="AC79" s="776"/>
      <c r="AD79" s="776"/>
    </row>
    <row r="80" spans="1:30" ht="45" customHeight="1">
      <c r="A80" s="775"/>
      <c r="B80" s="828">
        <v>63</v>
      </c>
      <c r="C80" s="773" t="s">
        <v>2416</v>
      </c>
      <c r="D80" s="896"/>
      <c r="E80" s="773"/>
      <c r="F80" s="773"/>
      <c r="G80" s="773"/>
      <c r="H80" s="820"/>
      <c r="I80" s="934">
        <f t="shared" si="7"/>
        <v>0</v>
      </c>
      <c r="J80" s="934">
        <f t="shared" si="8"/>
        <v>0</v>
      </c>
      <c r="K80" s="934">
        <f t="shared" si="9"/>
        <v>0</v>
      </c>
      <c r="L80" s="774" t="str">
        <f t="shared" si="10"/>
        <v/>
      </c>
      <c r="M80" s="774" t="str">
        <f t="shared" si="11"/>
        <v/>
      </c>
      <c r="N80" s="774" t="str">
        <f t="shared" si="12"/>
        <v/>
      </c>
      <c r="O80" s="886" t="s">
        <v>128</v>
      </c>
      <c r="P80" s="886"/>
      <c r="Q80" s="886"/>
      <c r="R80" s="886"/>
      <c r="S80" s="886"/>
      <c r="T80" s="773" t="s">
        <v>2440</v>
      </c>
      <c r="U80" s="773"/>
      <c r="V80" s="773"/>
      <c r="W80" s="773"/>
      <c r="X80" s="773"/>
      <c r="Y80" s="929"/>
      <c r="Z80" s="776" t="s">
        <v>2441</v>
      </c>
      <c r="AA80" s="779"/>
      <c r="AB80" s="776"/>
      <c r="AC80" s="776"/>
      <c r="AD80" s="776"/>
    </row>
    <row r="81" spans="1:30" ht="36" customHeight="1">
      <c r="A81" s="775"/>
      <c r="B81" s="828">
        <v>64</v>
      </c>
      <c r="C81" s="773" t="s">
        <v>2418</v>
      </c>
      <c r="D81" s="896"/>
      <c r="E81" s="773"/>
      <c r="F81" s="773"/>
      <c r="G81" s="773"/>
      <c r="H81" s="820"/>
      <c r="I81" s="934">
        <f t="shared" si="7"/>
        <v>0</v>
      </c>
      <c r="J81" s="934">
        <f t="shared" si="8"/>
        <v>0</v>
      </c>
      <c r="K81" s="934">
        <f t="shared" si="9"/>
        <v>0</v>
      </c>
      <c r="L81" s="774" t="str">
        <f t="shared" si="10"/>
        <v/>
      </c>
      <c r="M81" s="774" t="str">
        <f t="shared" si="11"/>
        <v/>
      </c>
      <c r="N81" s="774" t="str">
        <f t="shared" si="12"/>
        <v/>
      </c>
      <c r="O81" s="886" t="s">
        <v>2324</v>
      </c>
      <c r="P81" s="886"/>
      <c r="Q81" s="886"/>
      <c r="R81" s="886"/>
      <c r="S81" s="886"/>
      <c r="T81" s="773" t="s">
        <v>2442</v>
      </c>
      <c r="U81" s="773"/>
      <c r="V81" s="773"/>
      <c r="W81" s="773"/>
      <c r="X81" s="773"/>
      <c r="Y81" s="929"/>
      <c r="Z81" s="776" t="s">
        <v>2443</v>
      </c>
      <c r="AA81" s="779"/>
      <c r="AB81" s="776"/>
      <c r="AC81" s="776"/>
      <c r="AD81" s="776"/>
    </row>
    <row r="82" spans="1:30" ht="90" customHeight="1">
      <c r="A82" s="775"/>
      <c r="B82" s="828">
        <v>65</v>
      </c>
      <c r="C82" s="773" t="s">
        <v>2427</v>
      </c>
      <c r="D82" s="896"/>
      <c r="E82" s="773"/>
      <c r="F82" s="773"/>
      <c r="G82" s="773"/>
      <c r="H82" s="820"/>
      <c r="I82" s="934">
        <f t="shared" ref="I82:I101" si="13">INDEX(TEMPLATE_NUMBER_POINT_FHD,B82,MATCH(TEMPLATE_SPHERE,TEMPLATE_SPHERE_LIST_FOR_NOTE,0))</f>
        <v>0</v>
      </c>
      <c r="J82" s="934">
        <f t="shared" ref="J82:J101" si="14">INDEX(TEMPLATE_DATA_POINT_FHD,B82,MATCH(TEMPLATE_SPHERE,TEMPLATE_SPHERE_LIST_FOR_NOTE,0))</f>
        <v>0</v>
      </c>
      <c r="K82" s="934">
        <f t="shared" ref="K82:K101" si="15">INDEX(TEMPLATE_NOTE_POINT_FHD,B82,MATCH(TEMPLATE_SPHERE,TEMPLATE_SPHERE_LIST_FOR_NOTE,0))</f>
        <v>0</v>
      </c>
      <c r="L82" s="774" t="str">
        <f t="shared" ref="L82:L101" si="16">IF(I82=0,"",I82)</f>
        <v/>
      </c>
      <c r="M82" s="774" t="str">
        <f t="shared" ref="M82:M101" si="17">IF(J82=0,"",J82)</f>
        <v/>
      </c>
      <c r="N82" s="774" t="str">
        <f t="shared" ref="N82:N101" si="18">IF(K82=0,"",K82)</f>
        <v/>
      </c>
      <c r="O82" s="886" t="s">
        <v>133</v>
      </c>
      <c r="P82" s="886"/>
      <c r="Q82" s="886"/>
      <c r="R82" s="886"/>
      <c r="S82" s="886"/>
      <c r="T82" s="773" t="s">
        <v>2444</v>
      </c>
      <c r="U82" s="773"/>
      <c r="V82" s="773"/>
      <c r="W82" s="773"/>
      <c r="X82" s="773"/>
      <c r="Y82" s="929"/>
      <c r="Z82" s="776" t="s">
        <v>2445</v>
      </c>
      <c r="AA82" s="779"/>
      <c r="AB82" s="776"/>
      <c r="AC82" s="776"/>
      <c r="AD82" s="776"/>
    </row>
    <row r="83" spans="1:30" ht="9" customHeight="1">
      <c r="A83" s="775"/>
      <c r="B83" s="828">
        <v>66</v>
      </c>
      <c r="C83" s="773"/>
      <c r="D83" s="896"/>
      <c r="E83" s="773"/>
      <c r="F83" s="773"/>
      <c r="G83" s="773"/>
      <c r="H83" s="820"/>
      <c r="I83" s="934">
        <f t="shared" si="13"/>
        <v>0</v>
      </c>
      <c r="J83" s="934">
        <f t="shared" si="14"/>
        <v>0</v>
      </c>
      <c r="K83" s="934">
        <f t="shared" si="15"/>
        <v>0</v>
      </c>
      <c r="L83" s="774" t="str">
        <f t="shared" si="16"/>
        <v/>
      </c>
      <c r="M83" s="774" t="str">
        <f t="shared" si="17"/>
        <v/>
      </c>
      <c r="N83" s="774" t="str">
        <f t="shared" si="18"/>
        <v/>
      </c>
      <c r="O83" s="886" t="s">
        <v>2333</v>
      </c>
      <c r="P83" s="886"/>
      <c r="Q83" s="886"/>
      <c r="R83" s="886"/>
      <c r="S83" s="886"/>
      <c r="T83" s="773" t="s">
        <v>2446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f t="shared" si="13"/>
        <v>0</v>
      </c>
      <c r="J84" s="934">
        <f t="shared" si="14"/>
        <v>0</v>
      </c>
      <c r="K84" s="934">
        <f t="shared" si="15"/>
        <v>0</v>
      </c>
      <c r="L84" s="774" t="str">
        <f t="shared" si="16"/>
        <v/>
      </c>
      <c r="M84" s="774" t="str">
        <f t="shared" si="17"/>
        <v/>
      </c>
      <c r="N84" s="774" t="str">
        <f t="shared" si="18"/>
        <v/>
      </c>
      <c r="O84" s="886" t="s">
        <v>2447</v>
      </c>
      <c r="P84" s="886"/>
      <c r="Q84" s="886"/>
      <c r="R84" s="886"/>
      <c r="S84" s="886"/>
      <c r="T84" s="773" t="s">
        <v>2448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f t="shared" si="13"/>
        <v>0</v>
      </c>
      <c r="J85" s="934">
        <f t="shared" si="14"/>
        <v>0</v>
      </c>
      <c r="K85" s="934">
        <f t="shared" si="15"/>
        <v>0</v>
      </c>
      <c r="L85" s="774" t="str">
        <f t="shared" si="16"/>
        <v/>
      </c>
      <c r="M85" s="774" t="str">
        <f t="shared" si="17"/>
        <v/>
      </c>
      <c r="N85" s="774" t="str">
        <f t="shared" si="18"/>
        <v/>
      </c>
      <c r="O85" s="886" t="s">
        <v>2337</v>
      </c>
      <c r="P85" s="886"/>
      <c r="Q85" s="886"/>
      <c r="R85" s="886"/>
      <c r="S85" s="886"/>
      <c r="T85" s="773" t="s">
        <v>2449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f t="shared" si="13"/>
        <v>0</v>
      </c>
      <c r="J86" s="934">
        <f t="shared" si="14"/>
        <v>0</v>
      </c>
      <c r="K86" s="934">
        <f t="shared" si="15"/>
        <v>0</v>
      </c>
      <c r="L86" s="774" t="str">
        <f t="shared" si="16"/>
        <v/>
      </c>
      <c r="M86" s="774" t="str">
        <f t="shared" si="17"/>
        <v/>
      </c>
      <c r="N86" s="774" t="str">
        <f t="shared" si="18"/>
        <v/>
      </c>
      <c r="O86" s="886" t="s">
        <v>2450</v>
      </c>
      <c r="P86" s="886"/>
      <c r="Q86" s="886"/>
      <c r="R86" s="886"/>
      <c r="S86" s="886"/>
      <c r="T86" s="773" t="s">
        <v>2451</v>
      </c>
      <c r="U86" s="773"/>
      <c r="V86" s="773"/>
      <c r="W86" s="773"/>
      <c r="X86" s="773"/>
      <c r="Y86" s="929"/>
      <c r="Z86" s="776"/>
      <c r="AA86" s="779"/>
      <c r="AB86" s="776"/>
      <c r="AC86" s="776"/>
      <c r="AD86" s="776"/>
    </row>
    <row r="87" spans="1:30" ht="36" customHeight="1">
      <c r="A87" s="775"/>
      <c r="B87" s="828">
        <v>70</v>
      </c>
      <c r="C87" s="773" t="s">
        <v>2452</v>
      </c>
      <c r="D87" s="896"/>
      <c r="E87" s="773"/>
      <c r="F87" s="773"/>
      <c r="G87" s="773"/>
      <c r="H87" s="820"/>
      <c r="I87" s="934">
        <f t="shared" si="13"/>
        <v>0</v>
      </c>
      <c r="J87" s="934">
        <f t="shared" si="14"/>
        <v>0</v>
      </c>
      <c r="K87" s="934">
        <f t="shared" si="15"/>
        <v>0</v>
      </c>
      <c r="L87" s="774" t="str">
        <f t="shared" si="16"/>
        <v/>
      </c>
      <c r="M87" s="774" t="str">
        <f t="shared" si="17"/>
        <v/>
      </c>
      <c r="N87" s="774" t="str">
        <f t="shared" si="18"/>
        <v/>
      </c>
      <c r="O87" s="886" t="s">
        <v>138</v>
      </c>
      <c r="P87" s="886"/>
      <c r="Q87" s="886"/>
      <c r="R87" s="886"/>
      <c r="S87" s="886"/>
      <c r="T87" s="773" t="s">
        <v>2453</v>
      </c>
      <c r="U87" s="773"/>
      <c r="V87" s="773"/>
      <c r="W87" s="773"/>
      <c r="X87" s="773"/>
      <c r="Y87" s="929"/>
      <c r="Z87" s="776"/>
      <c r="AA87" s="779"/>
      <c r="AB87" s="776"/>
      <c r="AC87" s="776"/>
      <c r="AD87" s="776"/>
    </row>
    <row r="88" spans="1:30" ht="18" customHeight="1">
      <c r="A88" s="775"/>
      <c r="B88" s="828">
        <v>71</v>
      </c>
      <c r="C88" s="773" t="s">
        <v>2454</v>
      </c>
      <c r="D88" s="896"/>
      <c r="E88" s="773"/>
      <c r="F88" s="773"/>
      <c r="G88" s="773"/>
      <c r="H88" s="820"/>
      <c r="I88" s="934">
        <f t="shared" si="13"/>
        <v>0</v>
      </c>
      <c r="J88" s="934">
        <f t="shared" si="14"/>
        <v>0</v>
      </c>
      <c r="K88" s="934">
        <f t="shared" si="15"/>
        <v>0</v>
      </c>
      <c r="L88" s="774" t="str">
        <f t="shared" si="16"/>
        <v/>
      </c>
      <c r="M88" s="774" t="str">
        <f t="shared" si="17"/>
        <v/>
      </c>
      <c r="N88" s="774" t="str">
        <f t="shared" si="18"/>
        <v/>
      </c>
      <c r="O88" s="886" t="s">
        <v>147</v>
      </c>
      <c r="P88" s="886"/>
      <c r="Q88" s="886"/>
      <c r="R88" s="886"/>
      <c r="S88" s="886"/>
      <c r="T88" s="773" t="s">
        <v>916</v>
      </c>
      <c r="U88" s="773"/>
      <c r="V88" s="773"/>
      <c r="W88" s="773"/>
      <c r="X88" s="773"/>
      <c r="Y88" s="929"/>
      <c r="Z88" s="776"/>
      <c r="AA88" s="779"/>
      <c r="AB88" s="776"/>
      <c r="AC88" s="776"/>
      <c r="AD88" s="776"/>
    </row>
    <row r="89" spans="1:30" ht="18" customHeight="1">
      <c r="A89" s="775"/>
      <c r="B89" s="828">
        <v>72</v>
      </c>
      <c r="C89" s="773" t="s">
        <v>2455</v>
      </c>
      <c r="D89" s="896" t="s">
        <v>2452</v>
      </c>
      <c r="E89" s="773" t="s">
        <v>2452</v>
      </c>
      <c r="F89" s="773" t="s">
        <v>2418</v>
      </c>
      <c r="G89" s="773"/>
      <c r="H89" s="820"/>
      <c r="I89" s="934" t="str">
        <f t="shared" si="13"/>
        <v>12</v>
      </c>
      <c r="J89" s="934" t="str">
        <f t="shared" si="14"/>
        <v>Среднесписочная численность основного производственного персонала</v>
      </c>
      <c r="K89" s="934">
        <f t="shared" si="15"/>
        <v>0</v>
      </c>
      <c r="L89" s="774" t="str">
        <f t="shared" si="16"/>
        <v>12</v>
      </c>
      <c r="M89" s="774" t="str">
        <f t="shared" si="17"/>
        <v>Среднесписочная численность основного производственного персонала</v>
      </c>
      <c r="N89" s="774" t="str">
        <f t="shared" si="18"/>
        <v/>
      </c>
      <c r="O89" s="886" t="s">
        <v>101</v>
      </c>
      <c r="P89" s="886" t="s">
        <v>147</v>
      </c>
      <c r="Q89" s="886" t="s">
        <v>147</v>
      </c>
      <c r="R89" s="886" t="s">
        <v>133</v>
      </c>
      <c r="S89" s="886"/>
      <c r="T89" s="773" t="s">
        <v>924</v>
      </c>
      <c r="U89" s="773" t="s">
        <v>924</v>
      </c>
      <c r="V89" s="773" t="s">
        <v>924</v>
      </c>
      <c r="W89" s="773" t="s">
        <v>924</v>
      </c>
      <c r="X89" s="773"/>
      <c r="Y89" s="929"/>
      <c r="Z89" s="776"/>
      <c r="AA89" s="779"/>
      <c r="AB89" s="776"/>
      <c r="AC89" s="776"/>
      <c r="AD89" s="776"/>
    </row>
    <row r="90" spans="1:30" ht="27" customHeight="1">
      <c r="A90" s="775"/>
      <c r="B90" s="828">
        <v>73</v>
      </c>
      <c r="C90" s="773" t="s">
        <v>2456</v>
      </c>
      <c r="D90" s="896"/>
      <c r="E90" s="773"/>
      <c r="F90" s="773"/>
      <c r="G90" s="773"/>
      <c r="H90" s="820"/>
      <c r="I90" s="934">
        <f t="shared" si="13"/>
        <v>0</v>
      </c>
      <c r="J90" s="934">
        <f t="shared" si="14"/>
        <v>0</v>
      </c>
      <c r="K90" s="934">
        <f t="shared" si="15"/>
        <v>0</v>
      </c>
      <c r="L90" s="774" t="str">
        <f t="shared" si="16"/>
        <v/>
      </c>
      <c r="M90" s="774" t="str">
        <f t="shared" si="17"/>
        <v/>
      </c>
      <c r="N90" s="774" t="str">
        <f t="shared" si="18"/>
        <v/>
      </c>
      <c r="O90" s="886" t="s">
        <v>154</v>
      </c>
      <c r="P90" s="886"/>
      <c r="Q90" s="886"/>
      <c r="R90" s="886"/>
      <c r="S90" s="886"/>
      <c r="T90" s="773" t="s">
        <v>926</v>
      </c>
      <c r="U90" s="773"/>
      <c r="V90" s="773"/>
      <c r="W90" s="773"/>
      <c r="X90" s="773"/>
      <c r="Y90" s="929"/>
      <c r="Z90" s="776"/>
      <c r="AA90" s="779"/>
      <c r="AB90" s="776"/>
      <c r="AC90" s="776"/>
      <c r="AD90" s="776"/>
    </row>
    <row r="91" spans="1:30" ht="18" customHeight="1">
      <c r="A91" s="775"/>
      <c r="B91" s="828">
        <v>74</v>
      </c>
      <c r="C91" s="773"/>
      <c r="D91" s="896" t="s">
        <v>2454</v>
      </c>
      <c r="E91" s="773" t="s">
        <v>2454</v>
      </c>
      <c r="F91" s="773"/>
      <c r="G91" s="773"/>
      <c r="H91" s="820"/>
      <c r="I91" s="934" t="str">
        <f t="shared" si="13"/>
        <v>13</v>
      </c>
      <c r="J91" s="934" t="str">
        <f t="shared" si="14"/>
        <v>Удельный расход электрической энергии на подачу воды в сеть</v>
      </c>
      <c r="K91" s="934">
        <f t="shared" si="15"/>
        <v>0</v>
      </c>
      <c r="L91" s="774" t="str">
        <f t="shared" si="16"/>
        <v>13</v>
      </c>
      <c r="M91" s="774" t="str">
        <f t="shared" si="17"/>
        <v>Удельный расход электрической энергии на подачу воды в сеть</v>
      </c>
      <c r="N91" s="774" t="str">
        <f t="shared" si="18"/>
        <v/>
      </c>
      <c r="O91" s="886"/>
      <c r="P91" s="886" t="s">
        <v>101</v>
      </c>
      <c r="Q91" s="886" t="s">
        <v>101</v>
      </c>
      <c r="R91" s="886"/>
      <c r="S91" s="886"/>
      <c r="T91" s="773"/>
      <c r="U91" s="773" t="s">
        <v>2457</v>
      </c>
      <c r="V91" s="773" t="s">
        <v>2457</v>
      </c>
      <c r="W91" s="773"/>
      <c r="X91" s="773"/>
      <c r="Y91" s="929"/>
      <c r="Z91" s="776"/>
      <c r="AA91" s="779"/>
      <c r="AB91" s="776"/>
      <c r="AC91" s="776"/>
      <c r="AD91" s="776"/>
    </row>
    <row r="92" spans="1:30" ht="27" customHeight="1">
      <c r="A92" s="775"/>
      <c r="B92" s="828">
        <v>75</v>
      </c>
      <c r="C92" s="773"/>
      <c r="D92" s="896" t="s">
        <v>2455</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154</v>
      </c>
      <c r="Q92" s="886"/>
      <c r="R92" s="886"/>
      <c r="S92" s="886"/>
      <c r="T92" s="773"/>
      <c r="U92" s="773" t="s">
        <v>2458</v>
      </c>
      <c r="V92" s="773"/>
      <c r="W92" s="773"/>
      <c r="X92" s="773"/>
      <c r="Y92" s="929"/>
      <c r="Z92" s="776"/>
      <c r="AA92" s="779" t="s">
        <v>2459</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2365</v>
      </c>
      <c r="Q93" s="886"/>
      <c r="R93" s="886"/>
      <c r="S93" s="886"/>
      <c r="T93" s="773"/>
      <c r="U93" s="773" t="s">
        <v>2460</v>
      </c>
      <c r="V93" s="773"/>
      <c r="W93" s="773"/>
      <c r="X93" s="773"/>
      <c r="Y93" s="929"/>
      <c r="Z93" s="776"/>
      <c r="AA93" s="779" t="s">
        <v>2461</v>
      </c>
      <c r="AB93" s="776"/>
      <c r="AC93" s="776"/>
      <c r="AD93" s="776"/>
    </row>
    <row r="94" spans="1:30" ht="45" customHeight="1">
      <c r="A94" s="775"/>
      <c r="B94" s="828">
        <v>77</v>
      </c>
      <c r="C94" s="773"/>
      <c r="D94" s="896" t="s">
        <v>2456</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160</v>
      </c>
      <c r="Q94" s="886"/>
      <c r="R94" s="886"/>
      <c r="S94" s="886"/>
      <c r="T94" s="773"/>
      <c r="U94" s="773" t="s">
        <v>2462</v>
      </c>
      <c r="V94" s="773"/>
      <c r="W94" s="773"/>
      <c r="X94" s="773"/>
      <c r="Y94" s="929"/>
      <c r="Z94" s="776"/>
      <c r="AA94" s="779" t="s">
        <v>2463</v>
      </c>
      <c r="AB94" s="776"/>
      <c r="AC94" s="776"/>
      <c r="AD94" s="776"/>
    </row>
    <row r="95" spans="1:30" ht="99" customHeight="1">
      <c r="A95" s="775"/>
      <c r="B95" s="828">
        <v>78</v>
      </c>
      <c r="C95" s="773" t="s">
        <v>2464</v>
      </c>
      <c r="D95" s="896"/>
      <c r="E95" s="773"/>
      <c r="F95" s="773"/>
      <c r="G95" s="773"/>
      <c r="H95" s="820"/>
      <c r="I95" s="934">
        <f t="shared" si="13"/>
        <v>0</v>
      </c>
      <c r="J95" s="934">
        <f t="shared" si="14"/>
        <v>0</v>
      </c>
      <c r="K95" s="934">
        <f t="shared" si="15"/>
        <v>0</v>
      </c>
      <c r="L95" s="774" t="str">
        <f t="shared" si="16"/>
        <v/>
      </c>
      <c r="M95" s="774" t="str">
        <f t="shared" si="17"/>
        <v/>
      </c>
      <c r="N95" s="774" t="str">
        <f t="shared" si="18"/>
        <v/>
      </c>
      <c r="O95" s="886" t="s">
        <v>160</v>
      </c>
      <c r="P95" s="886"/>
      <c r="Q95" s="886"/>
      <c r="R95" s="886"/>
      <c r="S95" s="886"/>
      <c r="T95" s="773" t="s">
        <v>2465</v>
      </c>
      <c r="U95" s="773"/>
      <c r="V95" s="773"/>
      <c r="W95" s="773"/>
      <c r="X95" s="773"/>
      <c r="Y95" s="929"/>
      <c r="Z95" s="776"/>
      <c r="AA95" s="779"/>
      <c r="AB95" s="776"/>
      <c r="AC95" s="776"/>
      <c r="AD95" s="776"/>
    </row>
    <row r="96" spans="1:30" ht="99" customHeight="1">
      <c r="A96" s="775"/>
      <c r="B96" s="828">
        <v>79</v>
      </c>
      <c r="C96" s="773" t="s">
        <v>1397</v>
      </c>
      <c r="D96" s="896"/>
      <c r="E96" s="773"/>
      <c r="F96" s="773"/>
      <c r="G96" s="773"/>
      <c r="H96" s="820"/>
      <c r="I96" s="934">
        <f t="shared" si="13"/>
        <v>0</v>
      </c>
      <c r="J96" s="934">
        <f t="shared" si="14"/>
        <v>0</v>
      </c>
      <c r="K96" s="934">
        <f t="shared" si="15"/>
        <v>0</v>
      </c>
      <c r="L96" s="774" t="str">
        <f t="shared" si="16"/>
        <v/>
      </c>
      <c r="M96" s="774" t="str">
        <f t="shared" si="17"/>
        <v/>
      </c>
      <c r="N96" s="774" t="str">
        <f t="shared" si="18"/>
        <v/>
      </c>
      <c r="O96" s="886" t="s">
        <v>105</v>
      </c>
      <c r="P96" s="886"/>
      <c r="Q96" s="886"/>
      <c r="R96" s="886"/>
      <c r="S96" s="886"/>
      <c r="T96" s="773" t="s">
        <v>2466</v>
      </c>
      <c r="U96" s="773"/>
      <c r="V96" s="773"/>
      <c r="W96" s="773"/>
      <c r="X96" s="773"/>
      <c r="Y96" s="929"/>
      <c r="Z96" s="776" t="s">
        <v>2467</v>
      </c>
      <c r="AA96" s="779"/>
      <c r="AB96" s="776"/>
      <c r="AC96" s="776"/>
      <c r="AD96" s="776"/>
    </row>
    <row r="97" spans="1:30" ht="63" customHeight="1">
      <c r="A97" s="775"/>
      <c r="B97" s="828">
        <v>80</v>
      </c>
      <c r="C97" s="773" t="s">
        <v>2468</v>
      </c>
      <c r="D97" s="896"/>
      <c r="E97" s="773"/>
      <c r="F97" s="773"/>
      <c r="G97" s="773"/>
      <c r="H97" s="820"/>
      <c r="I97" s="934">
        <f t="shared" si="13"/>
        <v>0</v>
      </c>
      <c r="J97" s="934">
        <f t="shared" si="14"/>
        <v>0</v>
      </c>
      <c r="K97" s="934">
        <f t="shared" si="15"/>
        <v>0</v>
      </c>
      <c r="L97" s="774" t="str">
        <f t="shared" si="16"/>
        <v/>
      </c>
      <c r="M97" s="774" t="str">
        <f t="shared" si="17"/>
        <v/>
      </c>
      <c r="N97" s="774" t="str">
        <f t="shared" si="18"/>
        <v/>
      </c>
      <c r="O97" s="886" t="s">
        <v>171</v>
      </c>
      <c r="P97" s="886"/>
      <c r="Q97" s="886"/>
      <c r="R97" s="886"/>
      <c r="S97" s="886"/>
      <c r="T97" s="773" t="s">
        <v>2469</v>
      </c>
      <c r="U97" s="773"/>
      <c r="V97" s="773"/>
      <c r="W97" s="773"/>
      <c r="X97" s="773"/>
      <c r="Y97" s="929"/>
      <c r="Z97" s="776" t="s">
        <v>2470</v>
      </c>
      <c r="AA97" s="779"/>
      <c r="AB97" s="776"/>
      <c r="AC97" s="776"/>
      <c r="AD97" s="776"/>
    </row>
    <row r="98" spans="1:30" ht="63" customHeight="1">
      <c r="A98" s="775"/>
      <c r="B98" s="828">
        <v>81</v>
      </c>
      <c r="C98" s="773" t="s">
        <v>2471</v>
      </c>
      <c r="D98" s="896"/>
      <c r="E98" s="773"/>
      <c r="F98" s="773"/>
      <c r="G98" s="773"/>
      <c r="H98" s="820"/>
      <c r="I98" s="934">
        <f t="shared" si="13"/>
        <v>0</v>
      </c>
      <c r="J98" s="934">
        <f t="shared" si="14"/>
        <v>0</v>
      </c>
      <c r="K98" s="934">
        <f t="shared" si="15"/>
        <v>0</v>
      </c>
      <c r="L98" s="774" t="str">
        <f t="shared" si="16"/>
        <v/>
      </c>
      <c r="M98" s="774" t="str">
        <f t="shared" si="17"/>
        <v/>
      </c>
      <c r="N98" s="774" t="str">
        <f t="shared" si="18"/>
        <v/>
      </c>
      <c r="O98" s="886" t="s">
        <v>111</v>
      </c>
      <c r="P98" s="886"/>
      <c r="Q98" s="886"/>
      <c r="R98" s="886"/>
      <c r="S98" s="886"/>
      <c r="T98" s="773" t="s">
        <v>2472</v>
      </c>
      <c r="U98" s="773"/>
      <c r="V98" s="773"/>
      <c r="W98" s="773"/>
      <c r="X98" s="773"/>
      <c r="Y98" s="929"/>
      <c r="Z98" s="776" t="s">
        <v>2470</v>
      </c>
      <c r="AA98" s="779"/>
      <c r="AB98" s="776"/>
      <c r="AC98" s="776"/>
      <c r="AD98" s="776"/>
    </row>
    <row r="99" spans="1:30" ht="90" customHeight="1">
      <c r="A99" s="775"/>
      <c r="B99" s="828">
        <v>82</v>
      </c>
      <c r="C99" s="773" t="s">
        <v>2473</v>
      </c>
      <c r="D99" s="896"/>
      <c r="E99" s="773"/>
      <c r="F99" s="773"/>
      <c r="G99" s="773"/>
      <c r="H99" s="820"/>
      <c r="I99" s="934">
        <f t="shared" si="13"/>
        <v>0</v>
      </c>
      <c r="J99" s="934">
        <f t="shared" si="14"/>
        <v>0</v>
      </c>
      <c r="K99" s="934">
        <f t="shared" si="15"/>
        <v>0</v>
      </c>
      <c r="L99" s="774" t="str">
        <f t="shared" si="16"/>
        <v/>
      </c>
      <c r="M99" s="774" t="str">
        <f t="shared" si="17"/>
        <v/>
      </c>
      <c r="N99" s="774" t="str">
        <f t="shared" si="18"/>
        <v/>
      </c>
      <c r="O99" s="886" t="s">
        <v>182</v>
      </c>
      <c r="P99" s="886"/>
      <c r="Q99" s="886"/>
      <c r="R99" s="886"/>
      <c r="S99" s="886"/>
      <c r="T99" s="773" t="s">
        <v>2474</v>
      </c>
      <c r="U99" s="773"/>
      <c r="V99" s="773"/>
      <c r="W99" s="773"/>
      <c r="X99" s="773"/>
      <c r="Y99" s="929"/>
      <c r="Z99" s="776" t="s">
        <v>881</v>
      </c>
      <c r="AA99" s="779"/>
      <c r="AB99" s="776"/>
      <c r="AC99" s="776"/>
      <c r="AD99" s="776"/>
    </row>
    <row r="100" spans="1:30" ht="27" customHeight="1">
      <c r="A100" s="775"/>
      <c r="B100" s="828">
        <v>83</v>
      </c>
      <c r="C100" s="773"/>
      <c r="D100" s="896"/>
      <c r="E100" s="773"/>
      <c r="F100" s="773"/>
      <c r="G100" s="773"/>
      <c r="H100" s="820"/>
      <c r="I100" s="934">
        <f t="shared" si="13"/>
        <v>0</v>
      </c>
      <c r="J100" s="934">
        <f t="shared" si="14"/>
        <v>0</v>
      </c>
      <c r="K100" s="934">
        <f t="shared" si="15"/>
        <v>0</v>
      </c>
      <c r="L100" s="774" t="str">
        <f t="shared" si="16"/>
        <v/>
      </c>
      <c r="M100" s="774" t="str">
        <f t="shared" si="17"/>
        <v/>
      </c>
      <c r="N100" s="774" t="str">
        <f t="shared" si="18"/>
        <v/>
      </c>
      <c r="O100" s="886" t="s">
        <v>2475</v>
      </c>
      <c r="P100" s="886"/>
      <c r="Q100" s="886"/>
      <c r="R100" s="886"/>
      <c r="S100" s="886"/>
      <c r="T100" s="773" t="s">
        <v>2476</v>
      </c>
      <c r="U100" s="773"/>
      <c r="V100" s="773"/>
      <c r="W100" s="773"/>
      <c r="X100" s="773"/>
      <c r="Y100" s="929"/>
      <c r="Z100" s="776" t="s">
        <v>881</v>
      </c>
      <c r="AA100" s="779"/>
      <c r="AB100" s="776"/>
      <c r="AC100" s="776"/>
      <c r="AD100" s="776"/>
    </row>
    <row r="101" spans="1:30" ht="27" customHeight="1">
      <c r="A101" s="775"/>
      <c r="B101" s="828">
        <v>84</v>
      </c>
      <c r="C101" s="773"/>
      <c r="D101" s="896"/>
      <c r="E101" s="773"/>
      <c r="F101" s="773"/>
      <c r="G101" s="773"/>
      <c r="H101" s="820"/>
      <c r="I101" s="934">
        <f t="shared" si="13"/>
        <v>0</v>
      </c>
      <c r="J101" s="934">
        <f t="shared" si="14"/>
        <v>0</v>
      </c>
      <c r="K101" s="934">
        <f t="shared" si="15"/>
        <v>0</v>
      </c>
      <c r="L101" s="774" t="str">
        <f t="shared" si="16"/>
        <v/>
      </c>
      <c r="M101" s="774" t="str">
        <f t="shared" si="17"/>
        <v/>
      </c>
      <c r="N101" s="774" t="str">
        <f t="shared" si="18"/>
        <v/>
      </c>
      <c r="O101" s="886" t="s">
        <v>2477</v>
      </c>
      <c r="P101" s="886"/>
      <c r="Q101" s="886"/>
      <c r="R101" s="886"/>
      <c r="S101" s="886"/>
      <c r="T101" s="773" t="s">
        <v>2478</v>
      </c>
      <c r="U101" s="773"/>
      <c r="V101" s="773"/>
      <c r="W101" s="773"/>
      <c r="X101" s="773"/>
      <c r="Y101" s="929"/>
      <c r="Z101" s="776" t="s">
        <v>881</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1897</v>
      </c>
      <c r="B148" s="775"/>
      <c r="C148" s="773" t="s">
        <v>2479</v>
      </c>
      <c r="D148" s="773" t="s">
        <v>1801</v>
      </c>
      <c r="E148" s="773" t="s">
        <v>150</v>
      </c>
      <c r="F148" s="773" t="s">
        <v>2480</v>
      </c>
      <c r="G148" s="773"/>
      <c r="H148" s="773"/>
      <c r="I148" s="892"/>
      <c r="J148" s="892"/>
      <c r="K148" s="892"/>
      <c r="L148" s="892"/>
      <c r="M148" s="82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8"/>
      <c r="O148" s="773"/>
      <c r="P148" s="774"/>
      <c r="Q148" s="774"/>
      <c r="R148" s="774"/>
      <c r="S148" s="773"/>
      <c r="T148" s="773" t="s">
        <v>2481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4"/>
      <c r="W148" s="774"/>
      <c r="X148" s="773" t="s">
        <v>2482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1900</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1903</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1908</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674" hidden="1" customWidth="1"/>
    <col min="9" max="9" width="3" style="1979" customWidth="1"/>
    <col min="10" max="11" width="3" style="280" customWidth="1"/>
    <col min="12" max="12" width="12" style="1981"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3"/>
      <c r="S1" s="263"/>
      <c r="AD1" s="1081" t="s">
        <v>1</v>
      </c>
    </row>
    <row r="2" spans="1:30" ht="14.25" hidden="1" customHeight="1">
      <c r="V2" s="263"/>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4396" t="s">
        <v>2483</v>
      </c>
      <c r="M5" s="24396"/>
      <c r="N5" s="24396"/>
      <c r="O5" s="24396"/>
      <c r="P5" s="24396"/>
      <c r="Q5" s="24396"/>
      <c r="R5" s="24396"/>
      <c r="S5" s="24396"/>
      <c r="T5" s="24396"/>
      <c r="U5" s="24396"/>
      <c r="V5" s="1169"/>
      <c r="AD5" s="1081">
        <v>64</v>
      </c>
    </row>
    <row r="6" spans="1:30" ht="14.65" customHeight="1">
      <c r="J6" s="312"/>
      <c r="K6" s="312"/>
      <c r="L6" s="24397" t="str">
        <f>IF(org=0,"Не определено",org)</f>
        <v>ООО "Смоленскрегионтеплоэнерго"</v>
      </c>
      <c r="M6" s="24397"/>
      <c r="N6" s="24397"/>
      <c r="O6" s="24397"/>
      <c r="P6" s="24397"/>
      <c r="Q6" s="24397"/>
      <c r="R6" s="24397"/>
      <c r="S6" s="24397"/>
      <c r="T6" s="24397"/>
      <c r="U6" s="24397"/>
      <c r="V6" s="1169"/>
      <c r="AD6" s="1081">
        <v>14</v>
      </c>
    </row>
    <row r="7" spans="1:30" ht="14.65" customHeight="1">
      <c r="J7" s="312"/>
      <c r="K7" s="312"/>
      <c r="L7" s="1201"/>
      <c r="M7" s="299"/>
      <c r="N7" s="299"/>
      <c r="O7" s="258"/>
      <c r="P7" s="258"/>
      <c r="Q7" s="258"/>
      <c r="R7" s="258"/>
      <c r="S7" s="258"/>
      <c r="T7" s="258"/>
      <c r="U7" s="258"/>
      <c r="V7" s="258"/>
      <c r="W7" s="445"/>
      <c r="AD7" s="1081">
        <v>14</v>
      </c>
    </row>
    <row r="8" spans="1:30" s="1750" customFormat="1" ht="48.2" customHeight="1">
      <c r="A8" s="1294"/>
      <c r="B8" s="1294"/>
      <c r="C8" s="1294"/>
      <c r="D8" s="1294"/>
      <c r="E8" s="1294"/>
      <c r="F8" s="1294"/>
      <c r="G8" s="1294"/>
      <c r="H8" s="1294"/>
      <c r="L8" s="1202"/>
      <c r="M8" s="231" t="s">
        <v>31</v>
      </c>
      <c r="N8" s="240"/>
      <c r="O8" s="24081" t="str">
        <f>IF(TITLE_NAME_OR_PR_CHANGE="",IF(TITLE_NAME_OR_PR="","",TITLE_NAME_OR_PR),TITLE_NAME_OR_PR_CHANGE)</f>
        <v>Министерство жилищно-коммунального хозяйства , энергетики и тарифной политики Смоленской области</v>
      </c>
      <c r="P8" s="24081"/>
      <c r="Q8" s="24081"/>
      <c r="R8" s="24081"/>
      <c r="S8" s="24081"/>
      <c r="T8" s="24081"/>
      <c r="U8" s="24081"/>
      <c r="V8" s="262"/>
      <c r="W8" s="262"/>
      <c r="X8" s="216"/>
      <c r="Y8" s="304"/>
      <c r="Z8" s="304"/>
      <c r="AA8" s="304"/>
      <c r="AB8" s="304"/>
      <c r="AC8" s="304"/>
      <c r="AD8" s="354">
        <v>46</v>
      </c>
    </row>
    <row r="9" spans="1:30" s="1750" customFormat="1" ht="24" customHeight="1">
      <c r="A9" s="1294"/>
      <c r="B9" s="1294"/>
      <c r="C9" s="1294"/>
      <c r="D9" s="1294"/>
      <c r="E9" s="1294"/>
      <c r="F9" s="1294"/>
      <c r="G9" s="1294"/>
      <c r="H9" s="1294"/>
      <c r="L9" s="1202"/>
      <c r="M9" s="231" t="s">
        <v>650</v>
      </c>
      <c r="N9" s="240"/>
      <c r="O9" s="24081">
        <f>IF(TITLE_DATE_CHANGE_PERIOD="",IF(TITLE_DATE_PR="","",TITLE_DATE_PR),TITLE_DATE_CHANGE_PERIOD)</f>
        <v>46023</v>
      </c>
      <c r="P9" s="24081"/>
      <c r="Q9" s="24081"/>
      <c r="R9" s="24081"/>
      <c r="S9" s="24081"/>
      <c r="T9" s="24081"/>
      <c r="U9" s="24081"/>
      <c r="V9" s="262"/>
      <c r="W9" s="262"/>
      <c r="X9" s="216"/>
      <c r="Y9" s="304"/>
      <c r="Z9" s="304"/>
      <c r="AA9" s="304"/>
      <c r="AB9" s="304"/>
      <c r="AC9" s="304"/>
      <c r="AD9" s="354">
        <v>23</v>
      </c>
    </row>
    <row r="10" spans="1:30" s="1750" customFormat="1" ht="24" customHeight="1">
      <c r="A10" s="1294"/>
      <c r="B10" s="1294"/>
      <c r="C10" s="1294"/>
      <c r="D10" s="1294"/>
      <c r="E10" s="1294"/>
      <c r="F10" s="1294"/>
      <c r="G10" s="1294"/>
      <c r="H10" s="1294"/>
      <c r="L10" s="1176"/>
      <c r="M10" s="231" t="s">
        <v>651</v>
      </c>
      <c r="N10" s="240"/>
      <c r="O10" s="24081" t="str">
        <f>IF(TITLE_NUMBER_PR_CHANGE="",IF(TITLE_NUMBER_PR="","",TITLE_NUMBER_PR),TITLE_NUMBER_PR_CHANGE)</f>
        <v>403, 404</v>
      </c>
      <c r="P10" s="24081"/>
      <c r="Q10" s="24081"/>
      <c r="R10" s="24081"/>
      <c r="S10" s="24081"/>
      <c r="T10" s="24081"/>
      <c r="U10" s="24081"/>
      <c r="V10" s="262"/>
      <c r="W10" s="262"/>
      <c r="X10" s="216"/>
      <c r="Y10" s="304"/>
      <c r="Z10" s="304"/>
      <c r="AA10" s="304"/>
      <c r="AB10" s="304"/>
      <c r="AC10" s="304"/>
      <c r="AD10" s="354">
        <v>23</v>
      </c>
    </row>
    <row r="11" spans="1:30" s="1750" customFormat="1" ht="24" customHeight="1">
      <c r="A11" s="1294"/>
      <c r="B11" s="1294"/>
      <c r="C11" s="1294"/>
      <c r="D11" s="1294"/>
      <c r="E11" s="1294"/>
      <c r="F11" s="1294"/>
      <c r="G11" s="1294"/>
      <c r="H11" s="1294"/>
      <c r="L11" s="1176"/>
      <c r="M11" s="231" t="s">
        <v>33</v>
      </c>
      <c r="N11" s="240"/>
      <c r="O11" s="24081" t="str">
        <f>IF(TITLE_IST_PUB_CHANGE="",IF(TITLE_IST_PUB="","",TITLE_IST_PUB),TITLE_IST_PUB_CHANGE)</f>
        <v>Смоленская газета</v>
      </c>
      <c r="P11" s="24081"/>
      <c r="Q11" s="24081"/>
      <c r="R11" s="24081"/>
      <c r="S11" s="24081"/>
      <c r="T11" s="24081"/>
      <c r="U11" s="24081"/>
      <c r="V11" s="262"/>
      <c r="W11" s="262"/>
      <c r="X11" s="216"/>
      <c r="Y11" s="304"/>
      <c r="Z11" s="304"/>
      <c r="AA11" s="304"/>
      <c r="AB11" s="304"/>
      <c r="AC11" s="304"/>
      <c r="AD11" s="354">
        <v>23</v>
      </c>
    </row>
    <row r="12" spans="1:30" s="1750" customFormat="1" ht="11.25" hidden="1" customHeight="1">
      <c r="A12" s="1294"/>
      <c r="B12" s="1294"/>
      <c r="C12" s="1294"/>
      <c r="D12" s="1294"/>
      <c r="E12" s="1294"/>
      <c r="F12" s="1294"/>
      <c r="G12" s="1294"/>
      <c r="H12" s="1294"/>
      <c r="L12" s="24395"/>
      <c r="M12" s="24395"/>
      <c r="N12" s="1213"/>
      <c r="O12" s="262"/>
      <c r="P12" s="262"/>
      <c r="Q12" s="262"/>
      <c r="R12" s="262"/>
      <c r="S12" s="262"/>
      <c r="T12" s="262"/>
      <c r="U12" s="262"/>
      <c r="V12" s="214" t="s">
        <v>654</v>
      </c>
      <c r="Y12" s="304"/>
      <c r="Z12" s="304"/>
      <c r="AA12" s="304"/>
      <c r="AB12" s="304"/>
      <c r="AC12" s="304"/>
      <c r="AD12" s="354">
        <v>0</v>
      </c>
    </row>
    <row r="13" spans="1:30" ht="14.65" customHeight="1">
      <c r="J13" s="312"/>
      <c r="K13" s="312"/>
      <c r="L13" s="1201"/>
      <c r="M13" s="299"/>
      <c r="N13" s="1170"/>
      <c r="O13" s="24100"/>
      <c r="P13" s="24100"/>
      <c r="Q13" s="24100"/>
      <c r="R13" s="24100"/>
      <c r="S13" s="24100"/>
      <c r="T13" s="24100"/>
      <c r="U13" s="24100"/>
      <c r="V13" s="24100"/>
      <c r="AD13" s="1081">
        <v>14</v>
      </c>
    </row>
    <row r="14" spans="1:30" ht="14.65" customHeight="1">
      <c r="J14" s="312"/>
      <c r="K14" s="312"/>
      <c r="L14" s="23947" t="s">
        <v>529</v>
      </c>
      <c r="M14" s="23947"/>
      <c r="N14" s="23947"/>
      <c r="O14" s="23947"/>
      <c r="P14" s="23947"/>
      <c r="Q14" s="23947"/>
      <c r="R14" s="23947"/>
      <c r="S14" s="23947"/>
      <c r="T14" s="23947"/>
      <c r="U14" s="23947"/>
      <c r="V14" s="23947"/>
      <c r="W14" s="23947"/>
      <c r="X14" s="23947" t="s">
        <v>530</v>
      </c>
      <c r="AD14" s="1081">
        <v>14</v>
      </c>
    </row>
    <row r="15" spans="1:30" ht="14.65" customHeight="1">
      <c r="J15" s="312"/>
      <c r="K15" s="312"/>
      <c r="L15" s="24101" t="s">
        <v>79</v>
      </c>
      <c r="M15" s="24050" t="s">
        <v>655</v>
      </c>
      <c r="N15" s="237"/>
      <c r="O15" s="24102" t="s">
        <v>2484</v>
      </c>
      <c r="P15" s="24103"/>
      <c r="Q15" s="24103"/>
      <c r="R15" s="24103"/>
      <c r="S15" s="24103"/>
      <c r="T15" s="24103"/>
      <c r="U15" s="24104"/>
      <c r="V15" s="24105" t="s">
        <v>657</v>
      </c>
      <c r="W15" s="24108" t="s">
        <v>1394</v>
      </c>
      <c r="X15" s="23947"/>
      <c r="AD15" s="1081">
        <v>14</v>
      </c>
    </row>
    <row r="16" spans="1:30" ht="35.65" customHeight="1">
      <c r="J16" s="312"/>
      <c r="K16" s="312"/>
      <c r="L16" s="24101"/>
      <c r="M16" s="24050"/>
      <c r="N16" s="960"/>
      <c r="O16" s="24022" t="s">
        <v>660</v>
      </c>
      <c r="P16" s="24022" t="s">
        <v>661</v>
      </c>
      <c r="Q16" s="23928" t="s">
        <v>662</v>
      </c>
      <c r="R16" s="23927"/>
      <c r="S16" s="23928" t="s">
        <v>675</v>
      </c>
      <c r="T16" s="23933"/>
      <c r="U16" s="23927"/>
      <c r="V16" s="24106"/>
      <c r="W16" s="24109"/>
      <c r="X16" s="23947"/>
      <c r="AD16" s="1081">
        <v>34</v>
      </c>
    </row>
    <row r="17" spans="1:30" ht="35.65" customHeight="1">
      <c r="A17" s="1296" t="s">
        <v>240</v>
      </c>
      <c r="B17" s="1296" t="s">
        <v>241</v>
      </c>
      <c r="C17" s="1296" t="s">
        <v>242</v>
      </c>
      <c r="D17" s="1296" t="s">
        <v>243</v>
      </c>
      <c r="E17" s="1296"/>
      <c r="J17" s="312"/>
      <c r="K17" s="312"/>
      <c r="L17" s="24101"/>
      <c r="M17" s="24050"/>
      <c r="N17" s="238"/>
      <c r="O17" s="24074"/>
      <c r="P17" s="24074"/>
      <c r="Q17" s="1148" t="s">
        <v>671</v>
      </c>
      <c r="R17" s="1148" t="s">
        <v>672</v>
      </c>
      <c r="S17" s="1218" t="s">
        <v>673</v>
      </c>
      <c r="T17" s="24055" t="s">
        <v>674</v>
      </c>
      <c r="U17" s="24068"/>
      <c r="V17" s="24107"/>
      <c r="W17" s="24110"/>
      <c r="X17" s="23947"/>
      <c r="AD17" s="1081">
        <v>34</v>
      </c>
    </row>
    <row r="18" spans="1:30" s="1567" customFormat="1" ht="11.45" customHeight="1">
      <c r="A18" s="1296"/>
      <c r="B18" s="1296"/>
      <c r="C18" s="1296"/>
      <c r="D18" s="1296"/>
      <c r="E18" s="1296"/>
      <c r="F18" s="1288"/>
      <c r="G18" s="1288"/>
      <c r="H18" s="1288"/>
      <c r="I18" s="1172"/>
      <c r="J18" s="1173"/>
      <c r="K18" s="1180">
        <v>1</v>
      </c>
      <c r="L18" s="1203" t="s">
        <v>218</v>
      </c>
      <c r="M18" s="1181" t="s">
        <v>95</v>
      </c>
      <c r="N18" s="1171" t="str">
        <f ca="1">OFFSET(N18,0,-1)</f>
        <v>2</v>
      </c>
      <c r="O18" s="1215">
        <f ca="1">OFFSET(O18,0,-1)+1</f>
        <v>3</v>
      </c>
      <c r="P18" s="1215"/>
      <c r="Q18" s="1215">
        <f ca="1">OFFSET(Q18,0,-1)+1</f>
        <v>1</v>
      </c>
      <c r="R18" s="1215">
        <f ca="1">OFFSET(R18,0,-1)+1</f>
        <v>2</v>
      </c>
      <c r="S18" s="1215">
        <f ca="1">OFFSET(S18,0,-1)+1</f>
        <v>3</v>
      </c>
      <c r="T18" s="24099">
        <f ca="1">OFFSET(T18,0,-1)+1</f>
        <v>4</v>
      </c>
      <c r="U18" s="24099"/>
      <c r="V18" s="1215">
        <f ca="1">OFFSET(V18,0,-2)+1</f>
        <v>5</v>
      </c>
      <c r="W18" s="1171">
        <f ca="1">OFFSET(W18,0,-1)</f>
        <v>5</v>
      </c>
      <c r="X18" s="1215">
        <f ca="1">OFFSET(X18,0,-1)+1</f>
        <v>6</v>
      </c>
      <c r="Y18" s="447"/>
      <c r="Z18" s="447"/>
      <c r="AA18" s="447"/>
      <c r="AB18" s="447"/>
      <c r="AC18" s="447"/>
      <c r="AD18" s="432">
        <v>11</v>
      </c>
    </row>
    <row r="19" spans="1:30" ht="21" customHeight="1">
      <c r="A19" s="1289" t="s">
        <v>268</v>
      </c>
      <c r="B19" s="1289" t="s">
        <v>269</v>
      </c>
      <c r="C19" s="1289" t="s">
        <v>270</v>
      </c>
      <c r="D19" s="1289" t="s">
        <v>271</v>
      </c>
      <c r="E19" s="1289"/>
      <c r="F19" s="1291"/>
      <c r="G19" s="1291"/>
      <c r="H19" s="1291"/>
      <c r="I19" s="297"/>
      <c r="J19" s="296"/>
      <c r="K19" s="291"/>
      <c r="L19" s="1219">
        <f>INDEX(PT_DIFFERENTIATION_NUM_NTAR,MATCH(A19,PT_DIFFERENTIATION_NTAR_ID,0))</f>
        <v>0</v>
      </c>
      <c r="M19" s="234" t="s">
        <v>229</v>
      </c>
      <c r="N19" s="236"/>
      <c r="O19" s="24394" t="str">
        <f>INDEX(PT_DIFFERENTIATION_NTAR,MATCH(A19,PT_DIFFERENTIATION_NTAR_ID,0))</f>
        <v/>
      </c>
      <c r="P19" s="24394"/>
      <c r="Q19" s="24394"/>
      <c r="R19" s="24394"/>
      <c r="S19" s="24394"/>
      <c r="T19" s="24394"/>
      <c r="U19" s="24394"/>
      <c r="V19" s="24394"/>
      <c r="W19" s="24394"/>
      <c r="X19" s="1184" t="s">
        <v>625</v>
      </c>
      <c r="Z19" s="436"/>
      <c r="AA19" s="436" t="str">
        <f t="shared" ref="AA19:AA32" si="0">IF(M19="","",M19)</f>
        <v>Наименование тарифа</v>
      </c>
      <c r="AB19" s="436"/>
      <c r="AC19" s="436"/>
      <c r="AD19" s="1081">
        <v>20</v>
      </c>
    </row>
    <row r="20" spans="1:30" ht="21" customHeight="1">
      <c r="A20" s="1289" t="s">
        <v>268</v>
      </c>
      <c r="B20" s="1289" t="s">
        <v>269</v>
      </c>
      <c r="C20" s="1289" t="s">
        <v>270</v>
      </c>
      <c r="D20" s="1289" t="s">
        <v>271</v>
      </c>
      <c r="E20" s="1289"/>
      <c r="F20" s="1291"/>
      <c r="G20" s="1291"/>
      <c r="H20" s="1291"/>
      <c r="I20" s="1216"/>
      <c r="J20" s="288"/>
      <c r="K20" s="289"/>
      <c r="L20" s="1219" t="str">
        <f>INDEX(PT_DIFFERENTIATION_NUM_TER,MATCH(B19,PT_DIFFERENTIATION_TER_ID,0))</f>
        <v>.</v>
      </c>
      <c r="M20" s="244" t="s">
        <v>626</v>
      </c>
      <c r="N20" s="236"/>
      <c r="O20" s="24394" t="str">
        <f>INDEX(PT_DIFFERENTIATION_TER,MATCH(B19,PT_DIFFERENTIATION_TER_ID,0))</f>
        <v/>
      </c>
      <c r="P20" s="24394"/>
      <c r="Q20" s="24394"/>
      <c r="R20" s="24394"/>
      <c r="S20" s="24394"/>
      <c r="T20" s="24394"/>
      <c r="U20" s="24394"/>
      <c r="V20" s="24394"/>
      <c r="W20" s="24394"/>
      <c r="X20" s="1184" t="s">
        <v>627</v>
      </c>
      <c r="Z20" s="436"/>
      <c r="AA20" s="436" t="str">
        <f t="shared" si="0"/>
        <v>Территория действия тарифа</v>
      </c>
      <c r="AB20" s="436"/>
      <c r="AC20" s="436"/>
      <c r="AD20" s="1081">
        <v>20</v>
      </c>
    </row>
    <row r="21" spans="1:30" ht="24" customHeight="1">
      <c r="A21" s="1289" t="s">
        <v>268</v>
      </c>
      <c r="B21" s="1289" t="s">
        <v>269</v>
      </c>
      <c r="C21" s="1289" t="s">
        <v>270</v>
      </c>
      <c r="D21" s="1289" t="s">
        <v>271</v>
      </c>
      <c r="E21" s="1289"/>
      <c r="F21" s="1291"/>
      <c r="G21" s="1291"/>
      <c r="H21" s="1291"/>
      <c r="I21" s="290"/>
      <c r="J21" s="288"/>
      <c r="K21" s="289"/>
      <c r="L21" s="1219" t="str">
        <f>INDEX(PT_DIFFERENTIATION_NUM_CS,MATCH(C19,PT_DIFFERENTIATION_CS_ID,0))</f>
        <v>..</v>
      </c>
      <c r="M21" s="245" t="s">
        <v>628</v>
      </c>
      <c r="N21" s="236"/>
      <c r="O21" s="24394" t="str">
        <f>INDEX(PT_DIFFERENTIATION_CS,MATCH(C19,PT_DIFFERENTIATION_CS_ID,0))</f>
        <v/>
      </c>
      <c r="P21" s="24394"/>
      <c r="Q21" s="24394"/>
      <c r="R21" s="24394"/>
      <c r="S21" s="24394"/>
      <c r="T21" s="24394"/>
      <c r="U21" s="24394"/>
      <c r="V21" s="24394"/>
      <c r="W21" s="24394"/>
      <c r="X21" s="1184" t="s">
        <v>629</v>
      </c>
      <c r="Z21" s="436"/>
      <c r="AA21" s="436" t="str">
        <f t="shared" si="0"/>
        <v xml:space="preserve">Наименование системы теплоснабжения </v>
      </c>
      <c r="AB21" s="436"/>
      <c r="AC21" s="436"/>
      <c r="AD21" s="1081">
        <v>23</v>
      </c>
    </row>
    <row r="22" spans="1:30" ht="21" customHeight="1">
      <c r="A22" s="1289" t="s">
        <v>268</v>
      </c>
      <c r="B22" s="1289" t="s">
        <v>269</v>
      </c>
      <c r="C22" s="1289" t="s">
        <v>270</v>
      </c>
      <c r="D22" s="1289" t="s">
        <v>271</v>
      </c>
      <c r="E22" s="1289"/>
      <c r="F22" s="1291"/>
      <c r="G22" s="1291"/>
      <c r="H22" s="1291"/>
      <c r="I22" s="290"/>
      <c r="J22" s="288"/>
      <c r="K22" s="289"/>
      <c r="L22" s="1219" t="str">
        <f>INDEX(PT_DIFFERENTIATION_NUM_IST_TE,MATCH(D19,PT_DIFFERENTIATION_IST_TE_ID,0))</f>
        <v>...</v>
      </c>
      <c r="M22" s="246" t="s">
        <v>630</v>
      </c>
      <c r="N22" s="236"/>
      <c r="O22" s="24394" t="str">
        <f>INDEX(PT_DIFFERENTIATION_IST_TE,MATCH(D19,PT_DIFFERENTIATION_IST_TE_ID,0))</f>
        <v/>
      </c>
      <c r="P22" s="24394"/>
      <c r="Q22" s="24394"/>
      <c r="R22" s="24394"/>
      <c r="S22" s="24394"/>
      <c r="T22" s="24394"/>
      <c r="U22" s="24394"/>
      <c r="V22" s="24394"/>
      <c r="W22" s="24394"/>
      <c r="X22" s="1184" t="s">
        <v>631</v>
      </c>
      <c r="Z22" s="436"/>
      <c r="AA22" s="436" t="str">
        <f t="shared" si="0"/>
        <v xml:space="preserve">Источник тепловой энергии  </v>
      </c>
      <c r="AB22" s="436"/>
      <c r="AC22" s="436"/>
      <c r="AD22" s="1081">
        <v>20</v>
      </c>
    </row>
    <row r="23" spans="1:30" ht="96.75" customHeight="1">
      <c r="A23" s="1289" t="s">
        <v>268</v>
      </c>
      <c r="B23" s="1289" t="s">
        <v>269</v>
      </c>
      <c r="C23" s="1289" t="s">
        <v>270</v>
      </c>
      <c r="D23" s="1289" t="s">
        <v>271</v>
      </c>
      <c r="E23" s="1289"/>
      <c r="F23" s="23935" t="str">
        <f>L22&amp;".1"</f>
        <v>....1</v>
      </c>
      <c r="I23" s="24092">
        <v>1</v>
      </c>
      <c r="J23" s="1217"/>
      <c r="K23" s="292"/>
      <c r="L23" s="1219" t="str">
        <f>$F$23</f>
        <v>....1</v>
      </c>
      <c r="M23" s="221" t="s">
        <v>633</v>
      </c>
      <c r="N23" s="236"/>
      <c r="O23" s="24122"/>
      <c r="P23" s="24122"/>
      <c r="Q23" s="24122"/>
      <c r="R23" s="24122"/>
      <c r="S23" s="24122"/>
      <c r="T23" s="24122"/>
      <c r="U23" s="24122"/>
      <c r="V23" s="24122"/>
      <c r="W23" s="24122"/>
      <c r="X23" s="1184" t="s">
        <v>634</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268</v>
      </c>
      <c r="B24" s="1289" t="s">
        <v>269</v>
      </c>
      <c r="C24" s="1289" t="s">
        <v>270</v>
      </c>
      <c r="D24" s="1289" t="s">
        <v>271</v>
      </c>
      <c r="E24" s="1289"/>
      <c r="F24" s="23935"/>
      <c r="G24" s="23935" t="str">
        <f>F23&amp;".1"</f>
        <v>....1.1</v>
      </c>
      <c r="I24" s="24092"/>
      <c r="J24" s="24092">
        <v>1</v>
      </c>
      <c r="K24" s="293"/>
      <c r="L24" s="1219" t="str">
        <f>$G$24</f>
        <v>....1.1</v>
      </c>
      <c r="M24" s="222" t="s">
        <v>636</v>
      </c>
      <c r="N24" s="236"/>
      <c r="O24" s="24076"/>
      <c r="P24" s="24077"/>
      <c r="Q24" s="24077"/>
      <c r="R24" s="24077"/>
      <c r="S24" s="24077"/>
      <c r="T24" s="24077"/>
      <c r="U24" s="24077"/>
      <c r="V24" s="24077"/>
      <c r="W24" s="24078"/>
      <c r="X24" s="1184" t="s">
        <v>637</v>
      </c>
      <c r="Z24" s="436"/>
      <c r="AA24" s="436" t="str">
        <f t="shared" si="0"/>
        <v>Группа потребителей</v>
      </c>
      <c r="AB24" s="436"/>
      <c r="AC24" s="436"/>
      <c r="AD24" s="1081">
        <v>82</v>
      </c>
    </row>
    <row r="25" spans="1:30" ht="11.45" customHeight="1">
      <c r="A25" s="1289" t="s">
        <v>268</v>
      </c>
      <c r="B25" s="1289" t="s">
        <v>269</v>
      </c>
      <c r="C25" s="1289" t="s">
        <v>270</v>
      </c>
      <c r="D25" s="1289" t="s">
        <v>271</v>
      </c>
      <c r="E25" s="1289"/>
      <c r="F25" s="23935"/>
      <c r="G25" s="23935"/>
      <c r="H25" s="23935" t="str">
        <f>G24&amp;".1"</f>
        <v>....1.1.1</v>
      </c>
      <c r="I25" s="24092"/>
      <c r="J25" s="24092"/>
      <c r="K25" s="293">
        <v>1</v>
      </c>
      <c r="L25" s="1219" t="str">
        <f>$H$25</f>
        <v>....1.1.1</v>
      </c>
      <c r="M25" s="1273"/>
      <c r="N25" s="236"/>
      <c r="O25" s="687"/>
      <c r="P25" s="261"/>
      <c r="Q25" s="687"/>
      <c r="R25" s="1183"/>
      <c r="S25" s="24093"/>
      <c r="T25" s="23957" t="s">
        <v>59</v>
      </c>
      <c r="U25" s="24093"/>
      <c r="V25" s="23957" t="s">
        <v>6</v>
      </c>
      <c r="W25" s="261"/>
      <c r="X25" s="24111" t="s">
        <v>639</v>
      </c>
      <c r="Y25" s="447" t="e">
        <f ca="1">STRCHECKDATE(O26:W26)</f>
        <v>#NAME?</v>
      </c>
      <c r="Z25" s="436"/>
      <c r="AA25" s="436" t="str">
        <f t="shared" si="0"/>
        <v/>
      </c>
      <c r="AB25" s="436"/>
      <c r="AC25" s="436"/>
      <c r="AD25" s="1081">
        <v>11</v>
      </c>
    </row>
    <row r="26" spans="1:30" ht="11.45" customHeight="1">
      <c r="A26" s="1289" t="s">
        <v>268</v>
      </c>
      <c r="B26" s="1289" t="s">
        <v>269</v>
      </c>
      <c r="C26" s="1289" t="s">
        <v>270</v>
      </c>
      <c r="D26" s="1289" t="s">
        <v>271</v>
      </c>
      <c r="E26" s="1289"/>
      <c r="F26" s="23935"/>
      <c r="G26" s="23935"/>
      <c r="H26" s="23935"/>
      <c r="I26" s="24092"/>
      <c r="J26" s="24092"/>
      <c r="K26" s="293"/>
      <c r="L26" s="1220"/>
      <c r="M26" s="236"/>
      <c r="N26" s="236"/>
      <c r="O26" s="261"/>
      <c r="P26" s="261"/>
      <c r="Q26" s="261"/>
      <c r="R26" s="264" t="str">
        <f>S25&amp;"-"&amp;U25</f>
        <v>-</v>
      </c>
      <c r="S26" s="24094"/>
      <c r="T26" s="23957"/>
      <c r="U26" s="24094"/>
      <c r="V26" s="23957"/>
      <c r="W26" s="261"/>
      <c r="X26" s="24112"/>
      <c r="Z26" s="436"/>
      <c r="AA26" s="436" t="str">
        <f t="shared" si="0"/>
        <v/>
      </c>
      <c r="AB26" s="436"/>
      <c r="AC26" s="436"/>
      <c r="AD26" s="1081">
        <v>11</v>
      </c>
    </row>
    <row r="27" spans="1:30" ht="15.75" customHeight="1">
      <c r="A27" s="1289" t="s">
        <v>268</v>
      </c>
      <c r="B27" s="1289" t="s">
        <v>269</v>
      </c>
      <c r="C27" s="1289" t="s">
        <v>270</v>
      </c>
      <c r="D27" s="1289" t="s">
        <v>271</v>
      </c>
      <c r="E27" s="1289"/>
      <c r="F27" s="23935"/>
      <c r="G27" s="23935"/>
      <c r="I27" s="24092"/>
      <c r="J27" s="24092"/>
      <c r="K27" s="292"/>
      <c r="L27" s="1204"/>
      <c r="M27" s="224" t="s">
        <v>640</v>
      </c>
      <c r="N27" s="303"/>
      <c r="O27" s="303"/>
      <c r="P27" s="303"/>
      <c r="Q27" s="303"/>
      <c r="R27" s="303"/>
      <c r="S27" s="303"/>
      <c r="T27" s="303"/>
      <c r="U27" s="303"/>
      <c r="V27" s="303"/>
      <c r="W27" s="260"/>
      <c r="X27" s="24113"/>
      <c r="Z27" s="436"/>
      <c r="AA27" s="436" t="str">
        <f t="shared" si="0"/>
        <v>Добавить вид теплоносителя (параметры теплоносителя)</v>
      </c>
      <c r="AB27" s="436"/>
      <c r="AC27" s="436"/>
      <c r="AD27" s="1081">
        <v>15</v>
      </c>
    </row>
    <row r="28" spans="1:30" ht="15.75" customHeight="1">
      <c r="A28" s="1289" t="s">
        <v>268</v>
      </c>
      <c r="B28" s="1289" t="s">
        <v>269</v>
      </c>
      <c r="C28" s="1289" t="s">
        <v>270</v>
      </c>
      <c r="D28" s="1289" t="s">
        <v>271</v>
      </c>
      <c r="E28" s="1289"/>
      <c r="F28" s="23935"/>
      <c r="I28" s="24092"/>
      <c r="J28" s="1217"/>
      <c r="K28" s="292"/>
      <c r="L28" s="1204"/>
      <c r="M28" s="223" t="s">
        <v>641</v>
      </c>
      <c r="N28" s="303"/>
      <c r="O28" s="303"/>
      <c r="P28" s="303"/>
      <c r="Q28" s="303"/>
      <c r="R28" s="303"/>
      <c r="S28" s="303"/>
      <c r="T28" s="303"/>
      <c r="U28" s="303"/>
      <c r="V28" s="302"/>
      <c r="W28" s="303"/>
      <c r="X28" s="239"/>
      <c r="Z28" s="436"/>
      <c r="AA28" s="436" t="str">
        <f t="shared" si="0"/>
        <v>Добавить группу потребителей</v>
      </c>
      <c r="AB28" s="436"/>
      <c r="AC28" s="436"/>
      <c r="AD28" s="1081">
        <v>15</v>
      </c>
    </row>
    <row r="29" spans="1:30" ht="14.65" customHeight="1">
      <c r="A29" s="1289" t="s">
        <v>268</v>
      </c>
      <c r="B29" s="1289" t="s">
        <v>269</v>
      </c>
      <c r="C29" s="1289" t="s">
        <v>270</v>
      </c>
      <c r="D29" s="1289" t="s">
        <v>271</v>
      </c>
      <c r="E29" s="1289"/>
      <c r="F29" s="1291"/>
      <c r="G29" s="1291"/>
      <c r="H29" s="473"/>
      <c r="I29" s="296"/>
      <c r="J29" s="311"/>
      <c r="K29" s="291"/>
      <c r="L29" s="1204"/>
      <c r="M29" s="301" t="s">
        <v>642</v>
      </c>
      <c r="N29" s="303"/>
      <c r="O29" s="303"/>
      <c r="P29" s="303"/>
      <c r="Q29" s="303"/>
      <c r="R29" s="303"/>
      <c r="S29" s="303"/>
      <c r="T29" s="303"/>
      <c r="U29" s="303"/>
      <c r="V29" s="302"/>
      <c r="W29" s="303"/>
      <c r="X29" s="239"/>
      <c r="Z29" s="436"/>
      <c r="AA29" s="436" t="str">
        <f t="shared" si="0"/>
        <v>Добавить схему подключения</v>
      </c>
      <c r="AB29" s="436"/>
      <c r="AC29" s="436"/>
      <c r="AD29" s="1081">
        <v>14</v>
      </c>
    </row>
    <row r="30" spans="1:30" ht="14.65" customHeight="1">
      <c r="A30" s="1289" t="s">
        <v>268</v>
      </c>
      <c r="B30" s="1289" t="s">
        <v>269</v>
      </c>
      <c r="C30" s="1289" t="s">
        <v>270</v>
      </c>
      <c r="D30" s="1289"/>
      <c r="E30" s="1289" t="s">
        <v>836</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268</v>
      </c>
      <c r="B31" s="1289" t="s">
        <v>269</v>
      </c>
      <c r="C31" s="1289"/>
      <c r="D31" s="1289"/>
      <c r="E31" s="1289" t="s">
        <v>2485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2486</v>
      </c>
      <c r="B32" s="1289"/>
      <c r="C32" s="1289"/>
      <c r="D32" s="1289"/>
      <c r="E32" s="1289" t="s">
        <v>213</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47" customFormat="1" ht="11.45" customHeight="1">
      <c r="A33" s="1289"/>
      <c r="B33" s="1289"/>
      <c r="C33" s="1289"/>
      <c r="D33" s="1289"/>
      <c r="E33" s="1289" t="s">
        <v>482</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1053</v>
      </c>
      <c r="M35" s="24087" t="s">
        <v>2487</v>
      </c>
      <c r="N35" s="24087"/>
      <c r="O35" s="24087"/>
      <c r="P35" s="24087"/>
      <c r="Q35" s="24087"/>
      <c r="R35" s="24087"/>
      <c r="S35" s="24087"/>
      <c r="T35" s="24087"/>
      <c r="U35" s="24087"/>
      <c r="V35" s="24087"/>
      <c r="W35" s="24087"/>
      <c r="X35" s="24087"/>
      <c r="AD35" s="1081">
        <v>27</v>
      </c>
    </row>
    <row r="36" spans="1:30" ht="109.15" customHeight="1">
      <c r="H36" s="473"/>
      <c r="I36" s="1229"/>
      <c r="M36" s="24087" t="s">
        <v>2488</v>
      </c>
      <c r="N36" s="24087"/>
      <c r="O36" s="24087"/>
      <c r="P36" s="24087"/>
      <c r="Q36" s="24087"/>
      <c r="R36" s="24087"/>
      <c r="S36" s="24087"/>
      <c r="T36" s="24087"/>
      <c r="U36" s="24087"/>
      <c r="V36" s="24087"/>
      <c r="W36" s="24087"/>
      <c r="X36" s="2408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73</v>
      </c>
      <c r="B41" s="1086">
        <v>0</v>
      </c>
      <c r="C41" s="1086">
        <v>0</v>
      </c>
      <c r="D41" s="1086">
        <v>0</v>
      </c>
      <c r="E41" s="1086">
        <v>0</v>
      </c>
      <c r="F41" s="1288">
        <v>0</v>
      </c>
      <c r="G41" s="1288">
        <v>0</v>
      </c>
      <c r="H41" s="1288">
        <v>0</v>
      </c>
      <c r="I41" s="1212">
        <v>3</v>
      </c>
      <c r="J41" s="280">
        <v>3</v>
      </c>
      <c r="K41" s="280">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48" style="1561" customWidth="1"/>
    <col min="6" max="6" width="38" style="1561" customWidth="1"/>
    <col min="7" max="7" width="1.7109375" style="1561" hidden="1" customWidth="1"/>
    <col min="8" max="11" width="19.85546875" style="1561" hidden="1" customWidth="1"/>
    <col min="12" max="12" width="9.7109375" style="1561" hidden="1" customWidth="1"/>
    <col min="13" max="18" width="19.85546875" style="1561" hidden="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customWidth="1"/>
    <col min="30" max="30" width="1.7109375" style="1561" hidden="1" customWidth="1"/>
    <col min="31" max="33" width="103.7109375" style="1561" hidden="1" customWidth="1"/>
    <col min="34" max="34" width="103.7109375" style="1561" customWidth="1"/>
    <col min="35" max="35" width="3" style="1717"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3935" t="s">
        <v>581</v>
      </c>
      <c r="I1" s="23935"/>
      <c r="J1" s="23935"/>
      <c r="K1" s="23935"/>
      <c r="L1" s="23935"/>
      <c r="M1" s="23935"/>
      <c r="N1" s="23935"/>
      <c r="O1" s="23935"/>
      <c r="P1" s="23935"/>
      <c r="Q1" s="23935"/>
      <c r="R1" s="23935"/>
      <c r="T1" s="23935" t="s">
        <v>582</v>
      </c>
      <c r="U1" s="23935"/>
      <c r="V1" s="23935"/>
      <c r="X1" s="23935" t="s">
        <v>583</v>
      </c>
      <c r="Y1" s="23935"/>
      <c r="Z1" s="23935"/>
      <c r="AB1" s="23935" t="s">
        <v>584</v>
      </c>
      <c r="AC1" s="23935"/>
      <c r="AT1" s="383" t="s">
        <v>1</v>
      </c>
    </row>
    <row r="2" spans="1:46" ht="14.25" hidden="1" customHeight="1">
      <c r="AT2" s="383">
        <v>0</v>
      </c>
    </row>
    <row r="3" spans="1:46" s="1539" customFormat="1" ht="5.25" customHeight="1">
      <c r="C3" s="637"/>
      <c r="D3" s="638"/>
      <c r="E3" s="638"/>
      <c r="F3" s="638"/>
      <c r="G3" s="638"/>
      <c r="H3" s="638" t="s">
        <v>585</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002" t="str">
        <f>ORG_VD_NAME_FORM</f>
        <v>Форма 1. Информация об организации, осуществляющей горячее водоснабжение (общая информация)</v>
      </c>
      <c r="E4" s="24003"/>
      <c r="F4" s="24003"/>
      <c r="G4" s="24003"/>
      <c r="H4" s="24003"/>
      <c r="I4" s="24003"/>
      <c r="J4" s="24003"/>
      <c r="K4" s="24003"/>
      <c r="L4" s="24003"/>
      <c r="M4" s="24003"/>
      <c r="N4" s="24003"/>
      <c r="O4" s="24003"/>
      <c r="P4" s="24003"/>
      <c r="Q4" s="24003"/>
      <c r="R4" s="24004"/>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4064" t="str">
        <f>IF(org=0,"Не определено",org)</f>
        <v>ООО "Смоленскрегионтеплоэнерго"</v>
      </c>
      <c r="E5" s="24065"/>
      <c r="F5" s="24065"/>
      <c r="G5" s="24065"/>
      <c r="H5" s="24065"/>
      <c r="I5" s="24065"/>
      <c r="J5" s="24065"/>
      <c r="K5" s="24065"/>
      <c r="L5" s="24065"/>
      <c r="M5" s="24065"/>
      <c r="N5" s="24065"/>
      <c r="O5" s="24065"/>
      <c r="P5" s="24065"/>
      <c r="Q5" s="24065"/>
      <c r="R5" s="24066"/>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4055" t="s">
        <v>529</v>
      </c>
      <c r="E7" s="24067"/>
      <c r="F7" s="24067"/>
      <c r="G7" s="24067"/>
      <c r="H7" s="24067"/>
      <c r="I7" s="24067"/>
      <c r="J7" s="24067"/>
      <c r="K7" s="24067"/>
      <c r="L7" s="24067"/>
      <c r="M7" s="24067"/>
      <c r="N7" s="24067"/>
      <c r="O7" s="24067"/>
      <c r="P7" s="24067"/>
      <c r="Q7" s="24067"/>
      <c r="R7" s="24067"/>
      <c r="S7" s="24067"/>
      <c r="T7" s="24067"/>
      <c r="U7" s="24067"/>
      <c r="V7" s="24067"/>
      <c r="W7" s="24067"/>
      <c r="X7" s="24067"/>
      <c r="Y7" s="24067"/>
      <c r="Z7" s="24067"/>
      <c r="AA7" s="24067"/>
      <c r="AB7" s="24067"/>
      <c r="AC7" s="24067"/>
      <c r="AD7" s="24068"/>
      <c r="AE7" s="24009" t="s">
        <v>530</v>
      </c>
      <c r="AF7" s="24009" t="s">
        <v>530</v>
      </c>
      <c r="AG7" s="24009" t="s">
        <v>530</v>
      </c>
      <c r="AH7" s="24009" t="s">
        <v>530</v>
      </c>
      <c r="AT7" s="383">
        <v>14</v>
      </c>
    </row>
    <row r="8" spans="1:46" ht="27.4" customHeight="1">
      <c r="C8" s="386"/>
      <c r="D8" s="23947" t="s">
        <v>79</v>
      </c>
      <c r="E8" s="24009" t="str">
        <f>"Наименование "&amp;IF(TEMPLATE_SPHERE&lt;&gt;"HEAT","централизованной ","")&amp;"системы "&amp;TEMPLATE_SPHERE_RUS</f>
        <v>Наименование централизованной системы горячего водоснабжения</v>
      </c>
      <c r="F8" s="24009" t="str">
        <f>IF(TEMPLATE_SPHERE&lt;&gt;"HEAT","Регулируемый вид деятельности","Вид регулируемой деятельности")</f>
        <v>Регулируемый вид деятельности</v>
      </c>
      <c r="G8" s="758"/>
      <c r="H8" s="24056" t="s">
        <v>586</v>
      </c>
      <c r="I8" s="24060" t="s">
        <v>587</v>
      </c>
      <c r="J8" s="24009" t="s">
        <v>588</v>
      </c>
      <c r="K8" s="24009"/>
      <c r="L8" s="24009"/>
      <c r="M8" s="24055"/>
      <c r="N8" s="24009" t="s">
        <v>589</v>
      </c>
      <c r="O8" s="24009"/>
      <c r="P8" s="24009" t="s">
        <v>590</v>
      </c>
      <c r="Q8" s="24009"/>
      <c r="R8" s="24058" t="s">
        <v>591</v>
      </c>
      <c r="S8" s="754"/>
      <c r="T8" s="24056" t="s">
        <v>592</v>
      </c>
      <c r="U8" s="24056" t="s">
        <v>593</v>
      </c>
      <c r="V8" s="24056" t="s">
        <v>594</v>
      </c>
      <c r="W8" s="756"/>
      <c r="X8" s="24056" t="s">
        <v>595</v>
      </c>
      <c r="Y8" s="24056" t="s">
        <v>596</v>
      </c>
      <c r="Z8" s="24056" t="s">
        <v>597</v>
      </c>
      <c r="AA8" s="756"/>
      <c r="AB8" s="24056" t="s">
        <v>598</v>
      </c>
      <c r="AC8" s="24056" t="s">
        <v>591</v>
      </c>
      <c r="AD8" s="756"/>
      <c r="AE8" s="24009"/>
      <c r="AF8" s="24009"/>
      <c r="AG8" s="24009"/>
      <c r="AH8" s="24009"/>
      <c r="AT8" s="383">
        <v>26</v>
      </c>
    </row>
    <row r="9" spans="1:46" ht="46.15" customHeight="1">
      <c r="C9" s="386"/>
      <c r="D9" s="23947"/>
      <c r="E9" s="24009"/>
      <c r="F9" s="24009"/>
      <c r="G9" s="759"/>
      <c r="H9" s="24057"/>
      <c r="I9" s="24061"/>
      <c r="J9" s="361" t="s">
        <v>599</v>
      </c>
      <c r="K9" s="361" t="s">
        <v>600</v>
      </c>
      <c r="L9" s="361" t="s">
        <v>601</v>
      </c>
      <c r="M9" s="367" t="s">
        <v>602</v>
      </c>
      <c r="N9" s="361" t="s">
        <v>603</v>
      </c>
      <c r="O9" s="361" t="s">
        <v>602</v>
      </c>
      <c r="P9" s="361" t="s">
        <v>604</v>
      </c>
      <c r="Q9" s="361" t="s">
        <v>602</v>
      </c>
      <c r="R9" s="24059"/>
      <c r="S9" s="755"/>
      <c r="T9" s="24057"/>
      <c r="U9" s="24057"/>
      <c r="V9" s="24057"/>
      <c r="W9" s="757"/>
      <c r="X9" s="24057"/>
      <c r="Y9" s="24057"/>
      <c r="Z9" s="24057"/>
      <c r="AA9" s="757"/>
      <c r="AB9" s="24057"/>
      <c r="AC9" s="24057"/>
      <c r="AD9" s="757"/>
      <c r="AE9" s="24009"/>
      <c r="AF9" s="24009"/>
      <c r="AG9" s="24009"/>
      <c r="AH9" s="2400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605</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218</v>
      </c>
      <c r="E12" s="1675" t="s">
        <v>17</v>
      </c>
      <c r="F12" s="785"/>
      <c r="G12" s="786"/>
      <c r="H12" s="1676"/>
      <c r="I12" s="1676"/>
      <c r="J12" s="369"/>
      <c r="K12" s="1760"/>
      <c r="L12" s="368"/>
      <c r="M12" s="1760"/>
      <c r="N12" s="369"/>
      <c r="O12" s="1760"/>
      <c r="P12" s="369"/>
      <c r="Q12" s="1760"/>
      <c r="R12" s="369"/>
      <c r="S12" s="784"/>
      <c r="T12" s="1676"/>
      <c r="U12" s="369"/>
      <c r="V12" s="369"/>
      <c r="W12" s="757"/>
      <c r="X12" s="1676"/>
      <c r="Y12" s="369"/>
      <c r="Z12" s="369"/>
      <c r="AA12" s="757"/>
      <c r="AB12" s="1676"/>
      <c r="AC12" s="369"/>
      <c r="AD12" s="757"/>
      <c r="AE12" s="24062" t="s">
        <v>606</v>
      </c>
      <c r="AF12" s="24062" t="s">
        <v>607</v>
      </c>
      <c r="AG12" s="24062" t="s">
        <v>608</v>
      </c>
      <c r="AH12" s="24062" t="s">
        <v>609</v>
      </c>
      <c r="AI12" s="383"/>
      <c r="AM12" s="447"/>
      <c r="AP12" s="436" t="s">
        <v>610</v>
      </c>
      <c r="AQ12" s="436" t="s">
        <v>610</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4063"/>
      <c r="AF13" s="24063"/>
      <c r="AG13" s="24063"/>
      <c r="AH13" s="24063"/>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73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88" t="s">
        <v>2489</v>
      </c>
      <c r="B1" s="1989" t="s">
        <v>2490</v>
      </c>
      <c r="C1" s="24398" t="s">
        <v>2491</v>
      </c>
      <c r="D1" s="24399"/>
      <c r="E1" s="766" t="s">
        <v>2492</v>
      </c>
    </row>
    <row r="2" spans="1:5" ht="11.25" customHeight="1">
      <c r="A2" s="1990"/>
      <c r="B2" s="699" t="s">
        <v>15</v>
      </c>
      <c r="C2" s="689"/>
      <c r="D2" s="698"/>
      <c r="E2" s="766"/>
    </row>
    <row r="3" spans="1:5" ht="11.25" customHeight="1">
      <c r="A3" s="1991"/>
      <c r="B3" s="1992" t="s">
        <v>22</v>
      </c>
      <c r="C3" s="689"/>
      <c r="D3" s="698"/>
      <c r="E3" s="766"/>
    </row>
    <row r="4" spans="1:5" ht="11.25" customHeight="1">
      <c r="A4" s="1993"/>
      <c r="B4" s="700" t="s">
        <v>1897</v>
      </c>
      <c r="C4" s="689"/>
      <c r="D4" s="698"/>
      <c r="E4" s="766"/>
    </row>
    <row r="5" spans="1:5" ht="11.25" customHeight="1">
      <c r="A5" s="1994"/>
      <c r="B5" s="700" t="s">
        <v>1891</v>
      </c>
      <c r="C5" s="1995" t="s">
        <v>2256</v>
      </c>
      <c r="D5" s="1996" t="s">
        <v>2493</v>
      </c>
      <c r="E5" s="766"/>
    </row>
    <row r="6" spans="1:5" s="1747" customFormat="1" ht="11.25" customHeight="1">
      <c r="A6" s="1997"/>
      <c r="B6" s="700" t="s">
        <v>1900</v>
      </c>
      <c r="C6" s="689"/>
      <c r="D6" s="698"/>
      <c r="E6" s="766"/>
    </row>
    <row r="7" spans="1:5" ht="11.25" customHeight="1">
      <c r="A7" s="1998"/>
      <c r="B7" s="700" t="s">
        <v>1908</v>
      </c>
      <c r="C7" s="689"/>
      <c r="D7" s="698"/>
      <c r="E7" s="766"/>
    </row>
    <row r="8" spans="1:5" ht="11.25" customHeight="1">
      <c r="A8" s="691"/>
      <c r="B8" s="700" t="s">
        <v>1903</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28"/>
  <sheetViews>
    <sheetView showGridLines="0" workbookViewId="0"/>
  </sheetViews>
  <sheetFormatPr defaultColWidth="9.140625" defaultRowHeight="11.25" customHeight="1"/>
  <cols>
    <col min="1" max="2" width="9.140625" style="1747"/>
    <col min="3" max="3" width="20.7109375" style="1747" customWidth="1"/>
    <col min="4" max="4" width="25.140625" style="1747" customWidth="1"/>
    <col min="5" max="9" width="9.140625" style="1747"/>
  </cols>
  <sheetData>
    <row r="1" spans="1:9" ht="11.25" customHeight="1">
      <c r="A1" s="7" t="s">
        <v>2494</v>
      </c>
      <c r="B1" s="7" t="s">
        <v>2495</v>
      </c>
      <c r="C1" s="7" t="s">
        <v>2496</v>
      </c>
      <c r="D1" s="7" t="s">
        <v>2497</v>
      </c>
      <c r="E1" s="7" t="s">
        <v>2498</v>
      </c>
      <c r="F1" s="7" t="s">
        <v>2499</v>
      </c>
      <c r="G1" s="7" t="s">
        <v>2500</v>
      </c>
      <c r="H1" s="7" t="s">
        <v>2501</v>
      </c>
      <c r="I1" s="7" t="s">
        <v>2502</v>
      </c>
    </row>
    <row r="2" spans="1:9" ht="11.25" customHeight="1">
      <c r="A2" s="1747" t="s">
        <v>2503</v>
      </c>
      <c r="B2" s="1747" t="s">
        <v>3</v>
      </c>
      <c r="C2" s="1747" t="s">
        <v>2504</v>
      </c>
      <c r="D2" s="1747" t="s">
        <v>2505</v>
      </c>
      <c r="E2" s="1747" t="s">
        <v>2506</v>
      </c>
      <c r="F2" s="1747" t="s">
        <v>2507</v>
      </c>
      <c r="G2" s="1747" t="s">
        <v>17</v>
      </c>
      <c r="H2" s="1747" t="s">
        <v>17</v>
      </c>
      <c r="I2" s="1747" t="s">
        <v>1057</v>
      </c>
    </row>
    <row r="3" spans="1:9" ht="11.25" customHeight="1">
      <c r="A3" s="1747" t="s">
        <v>2503</v>
      </c>
      <c r="B3" s="1747" t="s">
        <v>3</v>
      </c>
      <c r="C3" s="1747" t="s">
        <v>2508</v>
      </c>
      <c r="D3" s="1747" t="s">
        <v>2505</v>
      </c>
      <c r="E3" s="1747" t="s">
        <v>2506</v>
      </c>
      <c r="F3" s="1747" t="s">
        <v>2509</v>
      </c>
      <c r="G3" s="1747" t="s">
        <v>17</v>
      </c>
      <c r="H3" s="1747" t="s">
        <v>17</v>
      </c>
      <c r="I3" s="1747" t="s">
        <v>1057</v>
      </c>
    </row>
    <row r="4" spans="1:9" ht="11.25" customHeight="1">
      <c r="A4" s="1747" t="s">
        <v>2503</v>
      </c>
      <c r="B4" s="1747" t="s">
        <v>3</v>
      </c>
      <c r="C4" s="1747" t="s">
        <v>2510</v>
      </c>
      <c r="D4" s="1747" t="s">
        <v>2511</v>
      </c>
      <c r="E4" s="1747" t="s">
        <v>2512</v>
      </c>
      <c r="F4" s="1747" t="s">
        <v>2513</v>
      </c>
      <c r="G4" s="1747" t="s">
        <v>17</v>
      </c>
      <c r="H4" s="1747" t="s">
        <v>17</v>
      </c>
      <c r="I4" s="1747" t="s">
        <v>1057</v>
      </c>
    </row>
    <row r="5" spans="1:9" ht="11.25" customHeight="1">
      <c r="A5" s="1747" t="s">
        <v>2503</v>
      </c>
      <c r="B5" s="1747" t="s">
        <v>3</v>
      </c>
      <c r="C5" s="1747" t="s">
        <v>2514</v>
      </c>
      <c r="D5" s="1747" t="s">
        <v>2515</v>
      </c>
      <c r="E5" s="1747" t="s">
        <v>2516</v>
      </c>
      <c r="F5" s="1747" t="s">
        <v>2517</v>
      </c>
      <c r="G5" s="1747" t="s">
        <v>17</v>
      </c>
      <c r="H5" s="1747" t="s">
        <v>17</v>
      </c>
      <c r="I5" s="1747" t="s">
        <v>1057</v>
      </c>
    </row>
    <row r="6" spans="1:9" ht="11.25" customHeight="1">
      <c r="A6" s="1747" t="s">
        <v>2503</v>
      </c>
      <c r="B6" s="1747" t="s">
        <v>3</v>
      </c>
      <c r="C6" s="1747" t="s">
        <v>2518</v>
      </c>
      <c r="D6" s="1747" t="s">
        <v>2519</v>
      </c>
      <c r="E6" s="1747" t="s">
        <v>2520</v>
      </c>
      <c r="F6" s="1747" t="s">
        <v>2521</v>
      </c>
      <c r="G6" s="1747" t="s">
        <v>17</v>
      </c>
      <c r="H6" s="1747" t="s">
        <v>17</v>
      </c>
      <c r="I6" s="1747" t="s">
        <v>1057</v>
      </c>
    </row>
    <row r="7" spans="1:9" ht="11.25" customHeight="1">
      <c r="A7" s="1747" t="s">
        <v>2503</v>
      </c>
      <c r="B7" s="1747" t="s">
        <v>3</v>
      </c>
      <c r="C7" s="1747" t="s">
        <v>2522</v>
      </c>
      <c r="D7" s="1747" t="s">
        <v>2523</v>
      </c>
      <c r="E7" s="1747" t="s">
        <v>2524</v>
      </c>
      <c r="F7" s="1747" t="s">
        <v>2525</v>
      </c>
      <c r="G7" s="1747" t="s">
        <v>17</v>
      </c>
      <c r="H7" s="1747" t="s">
        <v>17</v>
      </c>
      <c r="I7" s="1747" t="s">
        <v>1057</v>
      </c>
    </row>
    <row r="8" spans="1:9" ht="11.25" customHeight="1">
      <c r="A8" s="1747" t="s">
        <v>2503</v>
      </c>
      <c r="B8" s="1747" t="s">
        <v>3</v>
      </c>
      <c r="C8" s="1747" t="s">
        <v>2526</v>
      </c>
      <c r="D8" s="1747" t="s">
        <v>2527</v>
      </c>
      <c r="E8" s="1747" t="s">
        <v>2528</v>
      </c>
      <c r="F8" s="1747" t="s">
        <v>45</v>
      </c>
      <c r="G8" s="1747" t="s">
        <v>17</v>
      </c>
      <c r="H8" s="1747" t="s">
        <v>17</v>
      </c>
      <c r="I8" s="1747" t="s">
        <v>1057</v>
      </c>
    </row>
    <row r="9" spans="1:9" ht="11.25" customHeight="1">
      <c r="A9" s="1747" t="s">
        <v>2503</v>
      </c>
      <c r="B9" s="1747" t="s">
        <v>3</v>
      </c>
      <c r="C9" s="1747" t="s">
        <v>2529</v>
      </c>
      <c r="D9" s="1747" t="s">
        <v>2530</v>
      </c>
      <c r="E9" s="1747" t="s">
        <v>2531</v>
      </c>
      <c r="F9" s="1747" t="s">
        <v>2509</v>
      </c>
      <c r="G9" s="1747" t="s">
        <v>17</v>
      </c>
      <c r="H9" s="1747" t="s">
        <v>17</v>
      </c>
      <c r="I9" s="1747" t="s">
        <v>1057</v>
      </c>
    </row>
    <row r="10" spans="1:9" ht="11.25" customHeight="1">
      <c r="A10" s="1747" t="s">
        <v>2503</v>
      </c>
      <c r="B10" s="1747" t="s">
        <v>3</v>
      </c>
      <c r="C10" s="1747" t="s">
        <v>2532</v>
      </c>
      <c r="D10" s="1747" t="s">
        <v>2533</v>
      </c>
      <c r="E10" s="1747" t="s">
        <v>2534</v>
      </c>
      <c r="F10" s="1747" t="s">
        <v>2535</v>
      </c>
      <c r="G10" s="1747" t="s">
        <v>17</v>
      </c>
      <c r="H10" s="1747" t="s">
        <v>17</v>
      </c>
      <c r="I10" s="1747" t="s">
        <v>1057</v>
      </c>
    </row>
    <row r="11" spans="1:9" ht="11.25" customHeight="1">
      <c r="A11" s="1747" t="s">
        <v>2503</v>
      </c>
      <c r="B11" s="1747" t="s">
        <v>3</v>
      </c>
      <c r="C11" s="1747" t="s">
        <v>2536</v>
      </c>
      <c r="D11" s="1747" t="s">
        <v>2537</v>
      </c>
      <c r="E11" s="1747" t="s">
        <v>2538</v>
      </c>
      <c r="F11" s="1747" t="s">
        <v>2539</v>
      </c>
      <c r="G11" s="1747" t="s">
        <v>17</v>
      </c>
      <c r="H11" s="1747" t="s">
        <v>17</v>
      </c>
      <c r="I11" s="1747" t="s">
        <v>1057</v>
      </c>
    </row>
    <row r="12" spans="1:9" ht="11.25" customHeight="1">
      <c r="A12" s="1747" t="s">
        <v>2503</v>
      </c>
      <c r="B12" s="1747" t="s">
        <v>3</v>
      </c>
      <c r="C12" s="1747" t="s">
        <v>2540</v>
      </c>
      <c r="D12" s="1747" t="s">
        <v>2541</v>
      </c>
      <c r="E12" s="1747" t="s">
        <v>2542</v>
      </c>
      <c r="F12" s="1747" t="s">
        <v>2543</v>
      </c>
      <c r="G12" s="1747" t="s">
        <v>17</v>
      </c>
      <c r="H12" s="1747" t="s">
        <v>17</v>
      </c>
      <c r="I12" s="1747" t="s">
        <v>1057</v>
      </c>
    </row>
    <row r="13" spans="1:9" ht="11.25" customHeight="1">
      <c r="A13" s="1747" t="s">
        <v>2503</v>
      </c>
      <c r="B13" s="1747" t="s">
        <v>3</v>
      </c>
      <c r="C13" s="1747" t="s">
        <v>2544</v>
      </c>
      <c r="D13" s="1747" t="s">
        <v>2545</v>
      </c>
      <c r="E13" s="1747" t="s">
        <v>2546</v>
      </c>
      <c r="F13" s="1747" t="s">
        <v>2517</v>
      </c>
      <c r="G13" s="1747" t="s">
        <v>17</v>
      </c>
      <c r="H13" s="1747" t="s">
        <v>17</v>
      </c>
      <c r="I13" s="1747" t="s">
        <v>1057</v>
      </c>
    </row>
    <row r="14" spans="1:9" ht="11.25" customHeight="1">
      <c r="A14" s="1747" t="s">
        <v>2503</v>
      </c>
      <c r="B14" s="1747" t="s">
        <v>3</v>
      </c>
      <c r="C14" s="1747" t="s">
        <v>2547</v>
      </c>
      <c r="D14" s="1747" t="s">
        <v>2548</v>
      </c>
      <c r="E14" s="1747" t="s">
        <v>2549</v>
      </c>
      <c r="F14" s="1747" t="s">
        <v>2550</v>
      </c>
      <c r="G14" s="1747" t="s">
        <v>2551</v>
      </c>
      <c r="H14" s="1747" t="s">
        <v>17</v>
      </c>
      <c r="I14" s="1747" t="s">
        <v>1057</v>
      </c>
    </row>
    <row r="15" spans="1:9" ht="11.25" customHeight="1">
      <c r="A15" s="1747" t="s">
        <v>2503</v>
      </c>
      <c r="B15" s="1747" t="s">
        <v>3</v>
      </c>
      <c r="C15" s="1747" t="s">
        <v>2552</v>
      </c>
      <c r="D15" s="1747" t="s">
        <v>2553</v>
      </c>
      <c r="E15" s="1747" t="s">
        <v>2554</v>
      </c>
      <c r="F15" s="1747" t="s">
        <v>2555</v>
      </c>
      <c r="G15" s="1747" t="s">
        <v>17</v>
      </c>
      <c r="H15" s="1747" t="s">
        <v>17</v>
      </c>
      <c r="I15" s="1747" t="s">
        <v>1057</v>
      </c>
    </row>
    <row r="16" spans="1:9" ht="11.25" customHeight="1">
      <c r="A16" s="1747" t="s">
        <v>2503</v>
      </c>
      <c r="B16" s="1747" t="s">
        <v>3</v>
      </c>
      <c r="C16" s="1747" t="s">
        <v>2556</v>
      </c>
      <c r="D16" s="1747" t="s">
        <v>2557</v>
      </c>
      <c r="E16" s="1747" t="s">
        <v>2558</v>
      </c>
      <c r="F16" s="1747" t="s">
        <v>2559</v>
      </c>
      <c r="G16" s="1747" t="s">
        <v>17</v>
      </c>
      <c r="H16" s="1747" t="s">
        <v>17</v>
      </c>
      <c r="I16" s="1747" t="s">
        <v>1057</v>
      </c>
    </row>
    <row r="17" spans="1:9" ht="11.25" customHeight="1">
      <c r="A17" s="1747" t="s">
        <v>2503</v>
      </c>
      <c r="B17" s="1747" t="s">
        <v>3</v>
      </c>
      <c r="C17" s="1747" t="s">
        <v>2560</v>
      </c>
      <c r="D17" s="1747" t="s">
        <v>2561</v>
      </c>
      <c r="E17" s="1747" t="s">
        <v>2562</v>
      </c>
      <c r="F17" s="1747" t="s">
        <v>2563</v>
      </c>
      <c r="G17" s="1747" t="s">
        <v>17</v>
      </c>
      <c r="H17" s="1747" t="s">
        <v>17</v>
      </c>
      <c r="I17" s="1747" t="s">
        <v>1057</v>
      </c>
    </row>
    <row r="18" spans="1:9" ht="11.25" customHeight="1">
      <c r="A18" s="1747" t="s">
        <v>2503</v>
      </c>
      <c r="B18" s="1747" t="s">
        <v>3</v>
      </c>
      <c r="C18" s="1747" t="s">
        <v>2564</v>
      </c>
      <c r="D18" s="1747" t="s">
        <v>2565</v>
      </c>
      <c r="E18" s="1747" t="s">
        <v>2566</v>
      </c>
      <c r="F18" s="1747" t="s">
        <v>2567</v>
      </c>
      <c r="G18" s="1747" t="s">
        <v>17</v>
      </c>
      <c r="H18" s="1747" t="s">
        <v>17</v>
      </c>
      <c r="I18" s="1747" t="s">
        <v>1057</v>
      </c>
    </row>
    <row r="19" spans="1:9" ht="11.25" customHeight="1">
      <c r="A19" s="1747" t="s">
        <v>2503</v>
      </c>
      <c r="B19" s="1747" t="s">
        <v>3</v>
      </c>
      <c r="C19" s="1747" t="s">
        <v>2568</v>
      </c>
      <c r="D19" s="1747" t="s">
        <v>2569</v>
      </c>
      <c r="E19" s="1747" t="s">
        <v>2570</v>
      </c>
      <c r="F19" s="1747" t="s">
        <v>45</v>
      </c>
      <c r="G19" s="1747" t="s">
        <v>17</v>
      </c>
      <c r="H19" s="1747" t="s">
        <v>17</v>
      </c>
      <c r="I19" s="1747" t="s">
        <v>1057</v>
      </c>
    </row>
    <row r="20" spans="1:9" ht="11.25" customHeight="1">
      <c r="A20" s="1747" t="s">
        <v>2503</v>
      </c>
      <c r="B20" s="1747" t="s">
        <v>3</v>
      </c>
      <c r="C20" s="1747" t="s">
        <v>2571</v>
      </c>
      <c r="D20" s="1747" t="s">
        <v>2572</v>
      </c>
      <c r="E20" s="1747" t="s">
        <v>2573</v>
      </c>
      <c r="F20" s="1747" t="s">
        <v>45</v>
      </c>
      <c r="G20" s="1747" t="s">
        <v>17</v>
      </c>
      <c r="H20" s="1747" t="s">
        <v>17</v>
      </c>
      <c r="I20" s="1747" t="s">
        <v>1057</v>
      </c>
    </row>
    <row r="21" spans="1:9" ht="11.25" customHeight="1">
      <c r="A21" s="1747" t="s">
        <v>2503</v>
      </c>
      <c r="B21" s="1747" t="s">
        <v>3</v>
      </c>
      <c r="C21" s="1747" t="s">
        <v>2574</v>
      </c>
      <c r="D21" s="1747" t="s">
        <v>2575</v>
      </c>
      <c r="E21" s="1747" t="s">
        <v>2576</v>
      </c>
      <c r="F21" s="1747" t="s">
        <v>825</v>
      </c>
      <c r="G21" s="1747" t="s">
        <v>17</v>
      </c>
      <c r="H21" s="1747" t="s">
        <v>17</v>
      </c>
      <c r="I21" s="1747" t="s">
        <v>1057</v>
      </c>
    </row>
    <row r="22" spans="1:9" ht="11.25" customHeight="1">
      <c r="A22" s="1747" t="s">
        <v>2503</v>
      </c>
      <c r="B22" s="1747" t="s">
        <v>3</v>
      </c>
      <c r="C22" s="1747" t="s">
        <v>2577</v>
      </c>
      <c r="D22" s="1747" t="s">
        <v>2578</v>
      </c>
      <c r="E22" s="1747" t="s">
        <v>2579</v>
      </c>
      <c r="F22" s="1747" t="s">
        <v>825</v>
      </c>
      <c r="G22" s="1747" t="s">
        <v>17</v>
      </c>
      <c r="H22" s="1747" t="s">
        <v>17</v>
      </c>
      <c r="I22" s="1747" t="s">
        <v>1057</v>
      </c>
    </row>
    <row r="23" spans="1:9" ht="11.25" customHeight="1">
      <c r="A23" s="1747" t="s">
        <v>2503</v>
      </c>
      <c r="B23" s="1747" t="s">
        <v>3</v>
      </c>
      <c r="C23" s="1747" t="s">
        <v>2580</v>
      </c>
      <c r="D23" s="1747" t="s">
        <v>2581</v>
      </c>
      <c r="E23" s="1747" t="s">
        <v>2582</v>
      </c>
      <c r="F23" s="1747" t="s">
        <v>825</v>
      </c>
      <c r="G23" s="1747" t="s">
        <v>17</v>
      </c>
      <c r="H23" s="1747" t="s">
        <v>17</v>
      </c>
      <c r="I23" s="1747" t="s">
        <v>1057</v>
      </c>
    </row>
    <row r="24" spans="1:9" ht="11.25" customHeight="1">
      <c r="A24" s="1747" t="s">
        <v>2503</v>
      </c>
      <c r="B24" s="1747" t="s">
        <v>3</v>
      </c>
      <c r="C24" s="1747" t="s">
        <v>2583</v>
      </c>
      <c r="D24" s="1747" t="s">
        <v>2584</v>
      </c>
      <c r="E24" s="1747" t="s">
        <v>2585</v>
      </c>
      <c r="F24" s="1747" t="s">
        <v>825</v>
      </c>
      <c r="G24" s="1747" t="s">
        <v>17</v>
      </c>
      <c r="H24" s="1747" t="s">
        <v>17</v>
      </c>
      <c r="I24" s="1747" t="s">
        <v>1057</v>
      </c>
    </row>
    <row r="25" spans="1:9" ht="11.25" customHeight="1">
      <c r="A25" s="1747" t="s">
        <v>2503</v>
      </c>
      <c r="B25" s="1747" t="s">
        <v>3</v>
      </c>
      <c r="C25" s="1747" t="s">
        <v>2586</v>
      </c>
      <c r="D25" s="1747" t="s">
        <v>2587</v>
      </c>
      <c r="E25" s="1747" t="s">
        <v>2588</v>
      </c>
      <c r="F25" s="1747" t="s">
        <v>825</v>
      </c>
      <c r="G25" s="1747" t="s">
        <v>17</v>
      </c>
      <c r="H25" s="1747" t="s">
        <v>17</v>
      </c>
      <c r="I25" s="1747" t="s">
        <v>1057</v>
      </c>
    </row>
    <row r="26" spans="1:9" ht="11.25" customHeight="1">
      <c r="A26" s="1747" t="s">
        <v>2503</v>
      </c>
      <c r="B26" s="1747" t="s">
        <v>3</v>
      </c>
      <c r="C26" s="1747" t="s">
        <v>2589</v>
      </c>
      <c r="D26" s="1747" t="s">
        <v>2590</v>
      </c>
      <c r="E26" s="1747" t="s">
        <v>2591</v>
      </c>
      <c r="F26" s="1747" t="s">
        <v>2592</v>
      </c>
      <c r="G26" s="1747" t="s">
        <v>17</v>
      </c>
      <c r="H26" s="1747" t="s">
        <v>17</v>
      </c>
      <c r="I26" s="1747" t="s">
        <v>1057</v>
      </c>
    </row>
    <row r="27" spans="1:9" ht="11.25" customHeight="1">
      <c r="A27" s="1747" t="s">
        <v>2503</v>
      </c>
      <c r="B27" s="1747" t="s">
        <v>3</v>
      </c>
      <c r="C27" s="1747" t="s">
        <v>2593</v>
      </c>
      <c r="D27" s="1747" t="s">
        <v>2594</v>
      </c>
      <c r="E27" s="1747" t="s">
        <v>2595</v>
      </c>
      <c r="F27" s="1747" t="s">
        <v>2592</v>
      </c>
      <c r="G27" s="1747" t="s">
        <v>17</v>
      </c>
      <c r="H27" s="1747" t="s">
        <v>17</v>
      </c>
      <c r="I27" s="1747" t="s">
        <v>1057</v>
      </c>
    </row>
    <row r="28" spans="1:9" ht="11.25" customHeight="1">
      <c r="A28" s="1747" t="s">
        <v>2503</v>
      </c>
      <c r="B28" s="1747" t="s">
        <v>3</v>
      </c>
      <c r="C28" s="1747" t="s">
        <v>2596</v>
      </c>
      <c r="D28" s="1747" t="s">
        <v>2597</v>
      </c>
      <c r="E28" s="1747" t="s">
        <v>2598</v>
      </c>
      <c r="F28" s="1747" t="s">
        <v>2599</v>
      </c>
      <c r="G28" s="1747" t="s">
        <v>17</v>
      </c>
      <c r="H28" s="1747" t="s">
        <v>17</v>
      </c>
      <c r="I28" s="1747" t="s">
        <v>1057</v>
      </c>
    </row>
    <row r="29" spans="1:9" ht="11.25" customHeight="1">
      <c r="A29" s="1747" t="s">
        <v>2503</v>
      </c>
      <c r="B29" s="1747" t="s">
        <v>3</v>
      </c>
      <c r="C29" s="1747" t="s">
        <v>2600</v>
      </c>
      <c r="D29" s="1747" t="s">
        <v>2601</v>
      </c>
      <c r="E29" s="1747" t="s">
        <v>2602</v>
      </c>
      <c r="F29" s="1747" t="s">
        <v>2603</v>
      </c>
      <c r="G29" s="1747" t="s">
        <v>2604</v>
      </c>
      <c r="H29" s="1747" t="s">
        <v>17</v>
      </c>
      <c r="I29" s="1747" t="s">
        <v>1057</v>
      </c>
    </row>
    <row r="30" spans="1:9" ht="11.25" customHeight="1">
      <c r="A30" s="1747" t="s">
        <v>2503</v>
      </c>
      <c r="B30" s="1747" t="s">
        <v>3</v>
      </c>
      <c r="C30" s="1747" t="s">
        <v>17</v>
      </c>
      <c r="D30" s="1747" t="s">
        <v>2605</v>
      </c>
      <c r="E30" s="1747" t="s">
        <v>2606</v>
      </c>
      <c r="F30" s="1747" t="s">
        <v>2550</v>
      </c>
      <c r="G30" s="1747" t="s">
        <v>17</v>
      </c>
      <c r="H30" s="1747" t="s">
        <v>17</v>
      </c>
      <c r="I30" s="1747" t="s">
        <v>1057</v>
      </c>
    </row>
    <row r="31" spans="1:9" ht="11.25" customHeight="1">
      <c r="A31" s="1747" t="s">
        <v>2503</v>
      </c>
      <c r="B31" s="1747" t="s">
        <v>3</v>
      </c>
      <c r="C31" s="1747" t="s">
        <v>2607</v>
      </c>
      <c r="D31" s="1747" t="s">
        <v>2608</v>
      </c>
      <c r="E31" s="1747" t="s">
        <v>2609</v>
      </c>
      <c r="F31" s="1747" t="s">
        <v>2610</v>
      </c>
      <c r="G31" s="1747" t="s">
        <v>17</v>
      </c>
      <c r="H31" s="1747" t="s">
        <v>17</v>
      </c>
      <c r="I31" s="1747" t="s">
        <v>1057</v>
      </c>
    </row>
    <row r="32" spans="1:9" ht="11.25" customHeight="1">
      <c r="A32" s="1747" t="s">
        <v>2503</v>
      </c>
      <c r="B32" s="1747" t="s">
        <v>3</v>
      </c>
      <c r="C32" s="1747" t="s">
        <v>2611</v>
      </c>
      <c r="D32" s="1747" t="s">
        <v>2612</v>
      </c>
      <c r="E32" s="1747" t="s">
        <v>2613</v>
      </c>
      <c r="F32" s="1747" t="s">
        <v>2614</v>
      </c>
      <c r="G32" s="1747" t="s">
        <v>17</v>
      </c>
      <c r="H32" s="1747" t="s">
        <v>17</v>
      </c>
      <c r="I32" s="1747" t="s">
        <v>1057</v>
      </c>
    </row>
    <row r="33" spans="1:9" ht="11.25" customHeight="1">
      <c r="A33" s="1747" t="s">
        <v>2503</v>
      </c>
      <c r="B33" s="1747" t="s">
        <v>3</v>
      </c>
      <c r="C33" s="1747" t="s">
        <v>2615</v>
      </c>
      <c r="D33" s="1747" t="s">
        <v>2616</v>
      </c>
      <c r="E33" s="1747" t="s">
        <v>2617</v>
      </c>
      <c r="F33" s="1747" t="s">
        <v>2535</v>
      </c>
      <c r="G33" s="1747" t="s">
        <v>17</v>
      </c>
      <c r="H33" s="1747" t="s">
        <v>17</v>
      </c>
      <c r="I33" s="1747" t="s">
        <v>1057</v>
      </c>
    </row>
    <row r="34" spans="1:9" ht="11.25" customHeight="1">
      <c r="A34" s="1747" t="s">
        <v>2503</v>
      </c>
      <c r="B34" s="1747" t="s">
        <v>3</v>
      </c>
      <c r="C34" s="1747" t="s">
        <v>2618</v>
      </c>
      <c r="D34" s="1747" t="s">
        <v>2619</v>
      </c>
      <c r="E34" s="1747" t="s">
        <v>2620</v>
      </c>
      <c r="F34" s="1747" t="s">
        <v>2621</v>
      </c>
      <c r="G34" s="1747" t="s">
        <v>17</v>
      </c>
      <c r="H34" s="1747" t="s">
        <v>17</v>
      </c>
      <c r="I34" s="1747" t="s">
        <v>1057</v>
      </c>
    </row>
    <row r="35" spans="1:9" ht="11.25" customHeight="1">
      <c r="A35" s="1747" t="s">
        <v>2503</v>
      </c>
      <c r="B35" s="1747" t="s">
        <v>3</v>
      </c>
      <c r="C35" s="1747" t="s">
        <v>2622</v>
      </c>
      <c r="D35" s="1747" t="s">
        <v>2623</v>
      </c>
      <c r="E35" s="1747" t="s">
        <v>2624</v>
      </c>
      <c r="F35" s="1747" t="s">
        <v>2625</v>
      </c>
      <c r="G35" s="1747" t="s">
        <v>17</v>
      </c>
      <c r="H35" s="1747" t="s">
        <v>17</v>
      </c>
      <c r="I35" s="1747" t="s">
        <v>1057</v>
      </c>
    </row>
    <row r="36" spans="1:9" ht="11.25" customHeight="1">
      <c r="A36" s="1747" t="s">
        <v>2503</v>
      </c>
      <c r="B36" s="1747" t="s">
        <v>3</v>
      </c>
      <c r="C36" s="1747" t="s">
        <v>2626</v>
      </c>
      <c r="D36" s="1747" t="s">
        <v>2627</v>
      </c>
      <c r="E36" s="1747" t="s">
        <v>2628</v>
      </c>
      <c r="F36" s="1747" t="s">
        <v>2629</v>
      </c>
      <c r="G36" s="1747" t="s">
        <v>17</v>
      </c>
      <c r="H36" s="1747" t="s">
        <v>17</v>
      </c>
      <c r="I36" s="1747" t="s">
        <v>1057</v>
      </c>
    </row>
    <row r="37" spans="1:9" ht="11.25" customHeight="1">
      <c r="A37" s="1747" t="s">
        <v>2503</v>
      </c>
      <c r="B37" s="1747" t="s">
        <v>3</v>
      </c>
      <c r="C37" s="1747" t="s">
        <v>2630</v>
      </c>
      <c r="D37" s="1747" t="s">
        <v>2631</v>
      </c>
      <c r="E37" s="1747" t="s">
        <v>2632</v>
      </c>
      <c r="F37" s="1747" t="s">
        <v>2625</v>
      </c>
      <c r="G37" s="1747" t="s">
        <v>17</v>
      </c>
      <c r="H37" s="1747" t="s">
        <v>17</v>
      </c>
      <c r="I37" s="1747" t="s">
        <v>1057</v>
      </c>
    </row>
    <row r="38" spans="1:9" ht="11.25" customHeight="1">
      <c r="A38" s="1747" t="s">
        <v>2503</v>
      </c>
      <c r="B38" s="1747" t="s">
        <v>3</v>
      </c>
      <c r="C38" s="1747" t="s">
        <v>2633</v>
      </c>
      <c r="D38" s="1747" t="s">
        <v>2634</v>
      </c>
      <c r="E38" s="1747" t="s">
        <v>2635</v>
      </c>
      <c r="F38" s="1747" t="s">
        <v>2525</v>
      </c>
      <c r="G38" s="1747" t="s">
        <v>17</v>
      </c>
      <c r="H38" s="1747" t="s">
        <v>17</v>
      </c>
      <c r="I38" s="1747" t="s">
        <v>1057</v>
      </c>
    </row>
    <row r="39" spans="1:9" ht="11.25" customHeight="1">
      <c r="A39" s="1747" t="s">
        <v>2503</v>
      </c>
      <c r="B39" s="1747" t="s">
        <v>3</v>
      </c>
      <c r="C39" s="1747" t="s">
        <v>2636</v>
      </c>
      <c r="D39" s="1747" t="s">
        <v>2637</v>
      </c>
      <c r="E39" s="1747" t="s">
        <v>2638</v>
      </c>
      <c r="F39" s="1747" t="s">
        <v>2639</v>
      </c>
      <c r="G39" s="1747" t="s">
        <v>2640</v>
      </c>
      <c r="H39" s="1747" t="s">
        <v>17</v>
      </c>
      <c r="I39" s="1747" t="s">
        <v>1057</v>
      </c>
    </row>
    <row r="40" spans="1:9" ht="11.25" customHeight="1">
      <c r="A40" s="1747" t="s">
        <v>2503</v>
      </c>
      <c r="B40" s="1747" t="s">
        <v>3</v>
      </c>
      <c r="C40" s="1747" t="s">
        <v>2641</v>
      </c>
      <c r="D40" s="1747" t="s">
        <v>2642</v>
      </c>
      <c r="E40" s="1747" t="s">
        <v>2643</v>
      </c>
      <c r="F40" s="1747" t="s">
        <v>2559</v>
      </c>
      <c r="G40" s="1747" t="s">
        <v>17</v>
      </c>
      <c r="H40" s="1747" t="s">
        <v>17</v>
      </c>
      <c r="I40" s="1747" t="s">
        <v>1057</v>
      </c>
    </row>
    <row r="41" spans="1:9" ht="11.25" customHeight="1">
      <c r="A41" s="1747" t="s">
        <v>2503</v>
      </c>
      <c r="B41" s="1747" t="s">
        <v>3</v>
      </c>
      <c r="C41" s="1747" t="s">
        <v>2644</v>
      </c>
      <c r="D41" s="1747" t="s">
        <v>2642</v>
      </c>
      <c r="E41" s="1747" t="s">
        <v>2645</v>
      </c>
      <c r="F41" s="1747" t="s">
        <v>2559</v>
      </c>
      <c r="G41" s="1747" t="s">
        <v>17</v>
      </c>
      <c r="H41" s="1747" t="s">
        <v>17</v>
      </c>
      <c r="I41" s="1747" t="s">
        <v>1057</v>
      </c>
    </row>
    <row r="42" spans="1:9" ht="11.25" customHeight="1">
      <c r="A42" s="1747" t="s">
        <v>2503</v>
      </c>
      <c r="B42" s="1747" t="s">
        <v>3</v>
      </c>
      <c r="C42" s="1747" t="s">
        <v>2646</v>
      </c>
      <c r="D42" s="1747" t="s">
        <v>2647</v>
      </c>
      <c r="E42" s="1747" t="s">
        <v>2648</v>
      </c>
      <c r="F42" s="1747" t="s">
        <v>2614</v>
      </c>
      <c r="G42" s="1747" t="s">
        <v>17</v>
      </c>
      <c r="H42" s="1747" t="s">
        <v>2649</v>
      </c>
      <c r="I42" s="1747" t="s">
        <v>1057</v>
      </c>
    </row>
    <row r="43" spans="1:9" ht="11.25" customHeight="1">
      <c r="A43" s="1747" t="s">
        <v>2503</v>
      </c>
      <c r="B43" s="1747" t="s">
        <v>3</v>
      </c>
      <c r="C43" s="1747" t="s">
        <v>2650</v>
      </c>
      <c r="D43" s="1747" t="s">
        <v>2647</v>
      </c>
      <c r="E43" s="1747" t="s">
        <v>2651</v>
      </c>
      <c r="F43" s="1747" t="s">
        <v>2652</v>
      </c>
      <c r="G43" s="1747" t="s">
        <v>17</v>
      </c>
      <c r="H43" s="1747" t="s">
        <v>17</v>
      </c>
      <c r="I43" s="1747" t="s">
        <v>1057</v>
      </c>
    </row>
    <row r="44" spans="1:9" ht="11.25" customHeight="1">
      <c r="A44" s="1747" t="s">
        <v>2503</v>
      </c>
      <c r="B44" s="1747" t="s">
        <v>3</v>
      </c>
      <c r="C44" s="1747" t="s">
        <v>2653</v>
      </c>
      <c r="D44" s="1747" t="s">
        <v>2647</v>
      </c>
      <c r="E44" s="1747" t="s">
        <v>2654</v>
      </c>
      <c r="F44" s="1747" t="s">
        <v>2655</v>
      </c>
      <c r="G44" s="1747" t="s">
        <v>17</v>
      </c>
      <c r="H44" s="1747" t="s">
        <v>17</v>
      </c>
      <c r="I44" s="1747" t="s">
        <v>1057</v>
      </c>
    </row>
    <row r="45" spans="1:9" ht="11.25" customHeight="1">
      <c r="A45" s="1747" t="s">
        <v>2503</v>
      </c>
      <c r="B45" s="1747" t="s">
        <v>3</v>
      </c>
      <c r="C45" s="1747" t="s">
        <v>2656</v>
      </c>
      <c r="D45" s="1747" t="s">
        <v>2647</v>
      </c>
      <c r="E45" s="1747" t="s">
        <v>2657</v>
      </c>
      <c r="F45" s="1747" t="s">
        <v>2658</v>
      </c>
      <c r="G45" s="1747" t="s">
        <v>17</v>
      </c>
      <c r="H45" s="1747" t="s">
        <v>17</v>
      </c>
      <c r="I45" s="1747" t="s">
        <v>1057</v>
      </c>
    </row>
    <row r="46" spans="1:9" ht="11.25" customHeight="1">
      <c r="A46" s="1747" t="s">
        <v>2503</v>
      </c>
      <c r="B46" s="1747" t="s">
        <v>3</v>
      </c>
      <c r="C46" s="1747" t="s">
        <v>2659</v>
      </c>
      <c r="D46" s="1747" t="s">
        <v>2647</v>
      </c>
      <c r="E46" s="1747" t="s">
        <v>2660</v>
      </c>
      <c r="F46" s="1747" t="s">
        <v>2629</v>
      </c>
      <c r="G46" s="1747" t="s">
        <v>17</v>
      </c>
      <c r="H46" s="1747" t="s">
        <v>17</v>
      </c>
      <c r="I46" s="1747" t="s">
        <v>1057</v>
      </c>
    </row>
    <row r="47" spans="1:9" ht="11.25" customHeight="1">
      <c r="A47" s="1747" t="s">
        <v>2503</v>
      </c>
      <c r="B47" s="1747" t="s">
        <v>3</v>
      </c>
      <c r="C47" s="1747" t="s">
        <v>2661</v>
      </c>
      <c r="D47" s="1747" t="s">
        <v>2662</v>
      </c>
      <c r="E47" s="1747" t="s">
        <v>2663</v>
      </c>
      <c r="F47" s="1747" t="s">
        <v>2559</v>
      </c>
      <c r="G47" s="1747" t="s">
        <v>17</v>
      </c>
      <c r="H47" s="1747" t="s">
        <v>17</v>
      </c>
      <c r="I47" s="1747" t="s">
        <v>1057</v>
      </c>
    </row>
    <row r="48" spans="1:9" ht="11.25" customHeight="1">
      <c r="A48" s="1747" t="s">
        <v>2503</v>
      </c>
      <c r="B48" s="1747" t="s">
        <v>3</v>
      </c>
      <c r="C48" s="1747" t="s">
        <v>2664</v>
      </c>
      <c r="D48" s="1747" t="s">
        <v>2665</v>
      </c>
      <c r="E48" s="1747" t="s">
        <v>2666</v>
      </c>
      <c r="F48" s="1747" t="s">
        <v>2525</v>
      </c>
      <c r="G48" s="1747" t="s">
        <v>17</v>
      </c>
      <c r="H48" s="1747" t="s">
        <v>17</v>
      </c>
      <c r="I48" s="1747" t="s">
        <v>1057</v>
      </c>
    </row>
    <row r="49" spans="1:9" ht="11.25" customHeight="1">
      <c r="A49" s="1747" t="s">
        <v>2503</v>
      </c>
      <c r="B49" s="1747" t="s">
        <v>3</v>
      </c>
      <c r="C49" s="1747" t="s">
        <v>2667</v>
      </c>
      <c r="D49" s="1747" t="s">
        <v>2668</v>
      </c>
      <c r="E49" s="1747" t="s">
        <v>2669</v>
      </c>
      <c r="F49" s="1747" t="s">
        <v>2535</v>
      </c>
      <c r="G49" s="1747" t="s">
        <v>17</v>
      </c>
      <c r="H49" s="1747" t="s">
        <v>17</v>
      </c>
      <c r="I49" s="1747" t="s">
        <v>1057</v>
      </c>
    </row>
    <row r="50" spans="1:9" ht="11.25" customHeight="1">
      <c r="A50" s="1747" t="s">
        <v>2503</v>
      </c>
      <c r="B50" s="1747" t="s">
        <v>3</v>
      </c>
      <c r="C50" s="1747" t="s">
        <v>2670</v>
      </c>
      <c r="D50" s="1747" t="s">
        <v>2671</v>
      </c>
      <c r="E50" s="1747" t="s">
        <v>2672</v>
      </c>
      <c r="F50" s="1747" t="s">
        <v>2525</v>
      </c>
      <c r="G50" s="1747" t="s">
        <v>2673</v>
      </c>
      <c r="H50" s="1747" t="s">
        <v>17</v>
      </c>
      <c r="I50" s="1747" t="s">
        <v>1057</v>
      </c>
    </row>
    <row r="51" spans="1:9" ht="11.25" customHeight="1">
      <c r="A51" s="1747" t="s">
        <v>2503</v>
      </c>
      <c r="B51" s="1747" t="s">
        <v>3</v>
      </c>
      <c r="C51" s="1747" t="s">
        <v>2674</v>
      </c>
      <c r="D51" s="1747" t="s">
        <v>2675</v>
      </c>
      <c r="E51" s="1747" t="s">
        <v>2676</v>
      </c>
      <c r="F51" s="1747" t="s">
        <v>2610</v>
      </c>
      <c r="G51" s="1747" t="s">
        <v>17</v>
      </c>
      <c r="H51" s="1747" t="s">
        <v>17</v>
      </c>
      <c r="I51" s="1747" t="s">
        <v>1057</v>
      </c>
    </row>
    <row r="52" spans="1:9" ht="11.25" customHeight="1">
      <c r="A52" s="1747" t="s">
        <v>2503</v>
      </c>
      <c r="B52" s="1747" t="s">
        <v>3</v>
      </c>
      <c r="C52" s="1747" t="s">
        <v>2677</v>
      </c>
      <c r="D52" s="1747" t="s">
        <v>2678</v>
      </c>
      <c r="E52" s="1747" t="s">
        <v>2679</v>
      </c>
      <c r="F52" s="1747" t="s">
        <v>2550</v>
      </c>
      <c r="G52" s="1747" t="s">
        <v>17</v>
      </c>
      <c r="H52" s="1747" t="s">
        <v>17</v>
      </c>
      <c r="I52" s="1747" t="s">
        <v>1057</v>
      </c>
    </row>
    <row r="53" spans="1:9" ht="11.25" customHeight="1">
      <c r="A53" s="1747" t="s">
        <v>2503</v>
      </c>
      <c r="B53" s="1747" t="s">
        <v>3</v>
      </c>
      <c r="C53" s="1747" t="s">
        <v>2680</v>
      </c>
      <c r="D53" s="1747" t="s">
        <v>2681</v>
      </c>
      <c r="E53" s="1747" t="s">
        <v>2682</v>
      </c>
      <c r="F53" s="1747" t="s">
        <v>2683</v>
      </c>
      <c r="G53" s="1747" t="s">
        <v>17</v>
      </c>
      <c r="H53" s="1747" t="s">
        <v>17</v>
      </c>
      <c r="I53" s="1747" t="s">
        <v>1057</v>
      </c>
    </row>
    <row r="54" spans="1:9" ht="11.25" customHeight="1">
      <c r="A54" s="1747" t="s">
        <v>2503</v>
      </c>
      <c r="B54" s="1747" t="s">
        <v>3</v>
      </c>
      <c r="C54" s="1747" t="s">
        <v>2684</v>
      </c>
      <c r="D54" s="1747" t="s">
        <v>2685</v>
      </c>
      <c r="E54" s="1747" t="s">
        <v>2686</v>
      </c>
      <c r="F54" s="1747" t="s">
        <v>2621</v>
      </c>
      <c r="G54" s="1747" t="s">
        <v>2687</v>
      </c>
      <c r="H54" s="1747" t="s">
        <v>17</v>
      </c>
      <c r="I54" s="1747" t="s">
        <v>1057</v>
      </c>
    </row>
    <row r="55" spans="1:9" ht="11.25" customHeight="1">
      <c r="A55" s="1747" t="s">
        <v>2503</v>
      </c>
      <c r="B55" s="1747" t="s">
        <v>3</v>
      </c>
      <c r="C55" s="1747" t="s">
        <v>2688</v>
      </c>
      <c r="D55" s="1747" t="s">
        <v>2689</v>
      </c>
      <c r="E55" s="1747" t="s">
        <v>2690</v>
      </c>
      <c r="F55" s="1747" t="s">
        <v>2525</v>
      </c>
      <c r="G55" s="1747" t="s">
        <v>17</v>
      </c>
      <c r="H55" s="1747" t="s">
        <v>17</v>
      </c>
      <c r="I55" s="1747" t="s">
        <v>1057</v>
      </c>
    </row>
    <row r="56" spans="1:9" ht="11.25" customHeight="1">
      <c r="A56" s="1747" t="s">
        <v>2503</v>
      </c>
      <c r="B56" s="1747" t="s">
        <v>3</v>
      </c>
      <c r="C56" s="1747" t="s">
        <v>2691</v>
      </c>
      <c r="D56" s="1747" t="s">
        <v>2692</v>
      </c>
      <c r="E56" s="1747" t="s">
        <v>2693</v>
      </c>
      <c r="F56" s="1747" t="s">
        <v>2694</v>
      </c>
      <c r="G56" s="1747" t="s">
        <v>2695</v>
      </c>
      <c r="H56" s="1747" t="s">
        <v>17</v>
      </c>
      <c r="I56" s="1747" t="s">
        <v>1057</v>
      </c>
    </row>
    <row r="57" spans="1:9" ht="11.25" customHeight="1">
      <c r="A57" s="1747" t="s">
        <v>2503</v>
      </c>
      <c r="B57" s="1747" t="s">
        <v>3</v>
      </c>
      <c r="C57" s="1747" t="s">
        <v>2696</v>
      </c>
      <c r="D57" s="1747" t="s">
        <v>2697</v>
      </c>
      <c r="E57" s="1747" t="s">
        <v>2698</v>
      </c>
      <c r="F57" s="1747" t="s">
        <v>2699</v>
      </c>
      <c r="G57" s="1747" t="s">
        <v>17</v>
      </c>
      <c r="H57" s="1747" t="s">
        <v>17</v>
      </c>
      <c r="I57" s="1747" t="s">
        <v>1057</v>
      </c>
    </row>
    <row r="58" spans="1:9" ht="11.25" customHeight="1">
      <c r="A58" s="1747" t="s">
        <v>2503</v>
      </c>
      <c r="B58" s="1747" t="s">
        <v>3</v>
      </c>
      <c r="C58" s="1747" t="s">
        <v>2700</v>
      </c>
      <c r="D58" s="1747" t="s">
        <v>2701</v>
      </c>
      <c r="E58" s="1747" t="s">
        <v>2702</v>
      </c>
      <c r="F58" s="1747" t="s">
        <v>2614</v>
      </c>
      <c r="G58" s="1747" t="s">
        <v>17</v>
      </c>
      <c r="H58" s="1747" t="s">
        <v>17</v>
      </c>
      <c r="I58" s="1747" t="s">
        <v>1057</v>
      </c>
    </row>
    <row r="59" spans="1:9" ht="11.25" customHeight="1">
      <c r="A59" s="1747" t="s">
        <v>2503</v>
      </c>
      <c r="B59" s="1747" t="s">
        <v>3</v>
      </c>
      <c r="C59" s="1747" t="s">
        <v>2703</v>
      </c>
      <c r="D59" s="1747" t="s">
        <v>2704</v>
      </c>
      <c r="E59" s="1747" t="s">
        <v>2705</v>
      </c>
      <c r="F59" s="1747" t="s">
        <v>2599</v>
      </c>
      <c r="G59" s="1747" t="s">
        <v>17</v>
      </c>
      <c r="H59" s="1747" t="s">
        <v>17</v>
      </c>
      <c r="I59" s="1747" t="s">
        <v>1057</v>
      </c>
    </row>
    <row r="60" spans="1:9" ht="11.25" customHeight="1">
      <c r="A60" s="1747" t="s">
        <v>2503</v>
      </c>
      <c r="B60" s="1747" t="s">
        <v>3</v>
      </c>
      <c r="C60" s="1747" t="s">
        <v>2706</v>
      </c>
      <c r="D60" s="1747" t="s">
        <v>2707</v>
      </c>
      <c r="E60" s="1747" t="s">
        <v>2708</v>
      </c>
      <c r="F60" s="1747" t="s">
        <v>2525</v>
      </c>
      <c r="G60" s="1747" t="s">
        <v>17</v>
      </c>
      <c r="H60" s="1747" t="s">
        <v>17</v>
      </c>
      <c r="I60" s="1747" t="s">
        <v>1057</v>
      </c>
    </row>
    <row r="61" spans="1:9" ht="11.25" customHeight="1">
      <c r="A61" s="1747" t="s">
        <v>2503</v>
      </c>
      <c r="B61" s="1747" t="s">
        <v>3</v>
      </c>
      <c r="C61" s="1747" t="s">
        <v>2709</v>
      </c>
      <c r="D61" s="1747" t="s">
        <v>2710</v>
      </c>
      <c r="E61" s="1747" t="s">
        <v>2711</v>
      </c>
      <c r="F61" s="1747" t="s">
        <v>2610</v>
      </c>
      <c r="G61" s="1747" t="s">
        <v>17</v>
      </c>
      <c r="H61" s="1747" t="s">
        <v>17</v>
      </c>
      <c r="I61" s="1747" t="s">
        <v>1057</v>
      </c>
    </row>
    <row r="62" spans="1:9" ht="11.25" customHeight="1">
      <c r="A62" s="1747" t="s">
        <v>2503</v>
      </c>
      <c r="B62" s="1747" t="s">
        <v>3</v>
      </c>
      <c r="C62" s="1747" t="s">
        <v>2712</v>
      </c>
      <c r="D62" s="1747" t="s">
        <v>2713</v>
      </c>
      <c r="E62" s="1747" t="s">
        <v>2714</v>
      </c>
      <c r="F62" s="1747" t="s">
        <v>2610</v>
      </c>
      <c r="G62" s="1747" t="s">
        <v>17</v>
      </c>
      <c r="H62" s="1747" t="s">
        <v>17</v>
      </c>
      <c r="I62" s="1747" t="s">
        <v>1057</v>
      </c>
    </row>
    <row r="63" spans="1:9" ht="11.25" customHeight="1">
      <c r="A63" s="1747" t="s">
        <v>2503</v>
      </c>
      <c r="B63" s="1747" t="s">
        <v>3</v>
      </c>
      <c r="C63" s="1747" t="s">
        <v>2715</v>
      </c>
      <c r="D63" s="1747" t="s">
        <v>2716</v>
      </c>
      <c r="E63" s="1747" t="s">
        <v>2717</v>
      </c>
      <c r="F63" s="1747" t="s">
        <v>2610</v>
      </c>
      <c r="G63" s="1747" t="s">
        <v>17</v>
      </c>
      <c r="H63" s="1747" t="s">
        <v>17</v>
      </c>
      <c r="I63" s="1747" t="s">
        <v>1057</v>
      </c>
    </row>
    <row r="64" spans="1:9" ht="11.25" customHeight="1">
      <c r="A64" s="1747" t="s">
        <v>2503</v>
      </c>
      <c r="B64" s="1747" t="s">
        <v>3</v>
      </c>
      <c r="C64" s="1747" t="s">
        <v>2718</v>
      </c>
      <c r="D64" s="1747" t="s">
        <v>2719</v>
      </c>
      <c r="E64" s="1747" t="s">
        <v>2720</v>
      </c>
      <c r="F64" s="1747" t="s">
        <v>2599</v>
      </c>
      <c r="G64" s="1747" t="s">
        <v>17</v>
      </c>
      <c r="H64" s="1747" t="s">
        <v>17</v>
      </c>
      <c r="I64" s="1747" t="s">
        <v>1057</v>
      </c>
    </row>
    <row r="65" spans="1:9" ht="11.25" customHeight="1">
      <c r="A65" s="1747" t="s">
        <v>2503</v>
      </c>
      <c r="B65" s="1747" t="s">
        <v>3</v>
      </c>
      <c r="C65" s="1747" t="s">
        <v>2721</v>
      </c>
      <c r="D65" s="1747" t="s">
        <v>2722</v>
      </c>
      <c r="E65" s="1747" t="s">
        <v>2723</v>
      </c>
      <c r="F65" s="1747" t="s">
        <v>2625</v>
      </c>
      <c r="G65" s="1747" t="s">
        <v>2724</v>
      </c>
      <c r="H65" s="1747" t="s">
        <v>17</v>
      </c>
      <c r="I65" s="1747" t="s">
        <v>1057</v>
      </c>
    </row>
    <row r="66" spans="1:9" ht="11.25" customHeight="1">
      <c r="A66" s="1747" t="s">
        <v>2503</v>
      </c>
      <c r="B66" s="1747" t="s">
        <v>3</v>
      </c>
      <c r="C66" s="1747" t="s">
        <v>2725</v>
      </c>
      <c r="D66" s="1747" t="s">
        <v>2726</v>
      </c>
      <c r="E66" s="1747" t="s">
        <v>2727</v>
      </c>
      <c r="F66" s="1747" t="s">
        <v>2525</v>
      </c>
      <c r="G66" s="1747" t="s">
        <v>17</v>
      </c>
      <c r="H66" s="1747" t="s">
        <v>17</v>
      </c>
      <c r="I66" s="1747" t="s">
        <v>1057</v>
      </c>
    </row>
    <row r="67" spans="1:9" ht="11.25" customHeight="1">
      <c r="A67" s="1747" t="s">
        <v>2503</v>
      </c>
      <c r="B67" s="1747" t="s">
        <v>3</v>
      </c>
      <c r="C67" s="1747" t="s">
        <v>2728</v>
      </c>
      <c r="D67" s="1747" t="s">
        <v>2729</v>
      </c>
      <c r="E67" s="1747" t="s">
        <v>2730</v>
      </c>
      <c r="F67" s="1747" t="s">
        <v>2731</v>
      </c>
      <c r="G67" s="1747" t="s">
        <v>17</v>
      </c>
      <c r="H67" s="1747" t="s">
        <v>17</v>
      </c>
      <c r="I67" s="1747" t="s">
        <v>1057</v>
      </c>
    </row>
    <row r="68" spans="1:9" ht="11.25" customHeight="1">
      <c r="A68" s="1747" t="s">
        <v>2503</v>
      </c>
      <c r="B68" s="1747" t="s">
        <v>3</v>
      </c>
      <c r="C68" s="1747" t="s">
        <v>2732</v>
      </c>
      <c r="D68" s="1747" t="s">
        <v>2733</v>
      </c>
      <c r="E68" s="1747" t="s">
        <v>2734</v>
      </c>
      <c r="F68" s="1747" t="s">
        <v>2735</v>
      </c>
      <c r="G68" s="1747" t="s">
        <v>17</v>
      </c>
      <c r="H68" s="1747" t="s">
        <v>17</v>
      </c>
      <c r="I68" s="1747" t="s">
        <v>1057</v>
      </c>
    </row>
    <row r="69" spans="1:9" ht="11.25" customHeight="1">
      <c r="A69" s="1747" t="s">
        <v>2503</v>
      </c>
      <c r="B69" s="1747" t="s">
        <v>3</v>
      </c>
      <c r="C69" s="1747" t="s">
        <v>2736</v>
      </c>
      <c r="D69" s="1747" t="s">
        <v>2737</v>
      </c>
      <c r="E69" s="1747" t="s">
        <v>2738</v>
      </c>
      <c r="F69" s="1747" t="s">
        <v>2683</v>
      </c>
      <c r="G69" s="1747" t="s">
        <v>17</v>
      </c>
      <c r="H69" s="1747" t="s">
        <v>17</v>
      </c>
      <c r="I69" s="1747" t="s">
        <v>1057</v>
      </c>
    </row>
    <row r="70" spans="1:9" ht="11.25" customHeight="1">
      <c r="A70" s="1747" t="s">
        <v>2503</v>
      </c>
      <c r="B70" s="1747" t="s">
        <v>3</v>
      </c>
      <c r="C70" s="1747" t="s">
        <v>2739</v>
      </c>
      <c r="D70" s="1747" t="s">
        <v>2740</v>
      </c>
      <c r="E70" s="1747" t="s">
        <v>2741</v>
      </c>
      <c r="F70" s="1747" t="s">
        <v>2563</v>
      </c>
      <c r="G70" s="1747" t="s">
        <v>17</v>
      </c>
      <c r="H70" s="1747" t="s">
        <v>17</v>
      </c>
      <c r="I70" s="1747" t="s">
        <v>1057</v>
      </c>
    </row>
    <row r="71" spans="1:9" ht="11.25" customHeight="1">
      <c r="A71" s="1747" t="s">
        <v>2503</v>
      </c>
      <c r="B71" s="1747" t="s">
        <v>3</v>
      </c>
      <c r="C71" s="1747" t="s">
        <v>2742</v>
      </c>
      <c r="D71" s="1747" t="s">
        <v>2743</v>
      </c>
      <c r="E71" s="1747" t="s">
        <v>2744</v>
      </c>
      <c r="F71" s="1747" t="s">
        <v>2683</v>
      </c>
      <c r="G71" s="1747" t="s">
        <v>17</v>
      </c>
      <c r="H71" s="1747" t="s">
        <v>17</v>
      </c>
      <c r="I71" s="1747" t="s">
        <v>1057</v>
      </c>
    </row>
    <row r="72" spans="1:9" ht="11.25" customHeight="1">
      <c r="A72" s="1747" t="s">
        <v>2503</v>
      </c>
      <c r="B72" s="1747" t="s">
        <v>3</v>
      </c>
      <c r="C72" s="1747" t="s">
        <v>2745</v>
      </c>
      <c r="D72" s="1747" t="s">
        <v>2746</v>
      </c>
      <c r="E72" s="1747" t="s">
        <v>2747</v>
      </c>
      <c r="F72" s="1747" t="s">
        <v>2735</v>
      </c>
      <c r="G72" s="1747" t="s">
        <v>17</v>
      </c>
      <c r="H72" s="1747" t="s">
        <v>17</v>
      </c>
      <c r="I72" s="1747" t="s">
        <v>1057</v>
      </c>
    </row>
    <row r="73" spans="1:9" ht="11.25" customHeight="1">
      <c r="A73" s="1747" t="s">
        <v>2503</v>
      </c>
      <c r="B73" s="1747" t="s">
        <v>3</v>
      </c>
      <c r="C73" s="1747" t="s">
        <v>2748</v>
      </c>
      <c r="D73" s="1747" t="s">
        <v>2749</v>
      </c>
      <c r="E73" s="1747" t="s">
        <v>2750</v>
      </c>
      <c r="F73" s="1747" t="s">
        <v>2751</v>
      </c>
      <c r="G73" s="1747" t="s">
        <v>17</v>
      </c>
      <c r="H73" s="1747" t="s">
        <v>17</v>
      </c>
      <c r="I73" s="1747" t="s">
        <v>1057</v>
      </c>
    </row>
    <row r="74" spans="1:9" ht="11.25" customHeight="1">
      <c r="A74" s="1747" t="s">
        <v>2503</v>
      </c>
      <c r="B74" s="1747" t="s">
        <v>3</v>
      </c>
      <c r="C74" s="1747" t="s">
        <v>2752</v>
      </c>
      <c r="D74" s="1747" t="s">
        <v>2753</v>
      </c>
      <c r="E74" s="1747" t="s">
        <v>2754</v>
      </c>
      <c r="F74" s="1747" t="s">
        <v>2550</v>
      </c>
      <c r="G74" s="1747" t="s">
        <v>17</v>
      </c>
      <c r="H74" s="1747" t="s">
        <v>17</v>
      </c>
      <c r="I74" s="1747" t="s">
        <v>1057</v>
      </c>
    </row>
    <row r="75" spans="1:9" ht="11.25" customHeight="1">
      <c r="A75" s="1747" t="s">
        <v>2503</v>
      </c>
      <c r="B75" s="1747" t="s">
        <v>3</v>
      </c>
      <c r="C75" s="1747" t="s">
        <v>2755</v>
      </c>
      <c r="D75" s="1747" t="s">
        <v>2756</v>
      </c>
      <c r="E75" s="1747" t="s">
        <v>2757</v>
      </c>
      <c r="F75" s="1747" t="s">
        <v>2550</v>
      </c>
      <c r="G75" s="1747" t="s">
        <v>17</v>
      </c>
      <c r="H75" s="1747" t="s">
        <v>17</v>
      </c>
      <c r="I75" s="1747" t="s">
        <v>1057</v>
      </c>
    </row>
    <row r="76" spans="1:9" ht="11.25" customHeight="1">
      <c r="A76" s="1747" t="s">
        <v>2503</v>
      </c>
      <c r="B76" s="1747" t="s">
        <v>3</v>
      </c>
      <c r="C76" s="1747" t="s">
        <v>2758</v>
      </c>
      <c r="D76" s="1747" t="s">
        <v>2759</v>
      </c>
      <c r="E76" s="1747" t="s">
        <v>2760</v>
      </c>
      <c r="F76" s="1747" t="s">
        <v>2599</v>
      </c>
      <c r="G76" s="1747" t="s">
        <v>17</v>
      </c>
      <c r="H76" s="1747" t="s">
        <v>17</v>
      </c>
      <c r="I76" s="1747" t="s">
        <v>1057</v>
      </c>
    </row>
    <row r="77" spans="1:9" ht="11.25" customHeight="1">
      <c r="A77" s="1747" t="s">
        <v>2503</v>
      </c>
      <c r="B77" s="1747" t="s">
        <v>3</v>
      </c>
      <c r="C77" s="1747" t="s">
        <v>2761</v>
      </c>
      <c r="D77" s="1747" t="s">
        <v>2762</v>
      </c>
      <c r="E77" s="1747" t="s">
        <v>2763</v>
      </c>
      <c r="F77" s="1747" t="s">
        <v>45</v>
      </c>
      <c r="G77" s="1747" t="s">
        <v>17</v>
      </c>
      <c r="H77" s="1747" t="s">
        <v>17</v>
      </c>
      <c r="I77" s="1747" t="s">
        <v>1057</v>
      </c>
    </row>
    <row r="78" spans="1:9" ht="11.25" customHeight="1">
      <c r="A78" s="1747" t="s">
        <v>2503</v>
      </c>
      <c r="B78" s="1747" t="s">
        <v>3</v>
      </c>
      <c r="C78" s="1747" t="s">
        <v>2764</v>
      </c>
      <c r="D78" s="1747" t="s">
        <v>2765</v>
      </c>
      <c r="E78" s="1747" t="s">
        <v>2766</v>
      </c>
      <c r="F78" s="1747" t="s">
        <v>2767</v>
      </c>
      <c r="G78" s="1747" t="s">
        <v>17</v>
      </c>
      <c r="H78" s="1747" t="s">
        <v>17</v>
      </c>
      <c r="I78" s="1747" t="s">
        <v>1057</v>
      </c>
    </row>
    <row r="79" spans="1:9" ht="11.25" customHeight="1">
      <c r="A79" s="1747" t="s">
        <v>2503</v>
      </c>
      <c r="B79" s="1747" t="s">
        <v>3</v>
      </c>
      <c r="C79" s="1747" t="s">
        <v>2768</v>
      </c>
      <c r="D79" s="1747" t="s">
        <v>2769</v>
      </c>
      <c r="E79" s="1747" t="s">
        <v>2770</v>
      </c>
      <c r="F79" s="1747" t="s">
        <v>2563</v>
      </c>
      <c r="G79" s="1747" t="s">
        <v>2640</v>
      </c>
      <c r="H79" s="1747" t="s">
        <v>17</v>
      </c>
      <c r="I79" s="1747" t="s">
        <v>1057</v>
      </c>
    </row>
    <row r="80" spans="1:9" ht="11.25" customHeight="1">
      <c r="A80" s="1747" t="s">
        <v>2503</v>
      </c>
      <c r="B80" s="1747" t="s">
        <v>3</v>
      </c>
      <c r="C80" s="1747" t="s">
        <v>2771</v>
      </c>
      <c r="D80" s="1747" t="s">
        <v>2772</v>
      </c>
      <c r="E80" s="1747" t="s">
        <v>2773</v>
      </c>
      <c r="F80" s="1747" t="s">
        <v>2694</v>
      </c>
      <c r="G80" s="1747" t="s">
        <v>17</v>
      </c>
      <c r="H80" s="1747" t="s">
        <v>17</v>
      </c>
      <c r="I80" s="1747" t="s">
        <v>1057</v>
      </c>
    </row>
    <row r="81" spans="1:9" ht="11.25" customHeight="1">
      <c r="A81" s="1747" t="s">
        <v>2503</v>
      </c>
      <c r="B81" s="1747" t="s">
        <v>3</v>
      </c>
      <c r="C81" s="1747" t="s">
        <v>2774</v>
      </c>
      <c r="D81" s="1747" t="s">
        <v>2775</v>
      </c>
      <c r="E81" s="1747" t="s">
        <v>2776</v>
      </c>
      <c r="F81" s="1747" t="s">
        <v>45</v>
      </c>
      <c r="G81" s="1747" t="s">
        <v>17</v>
      </c>
      <c r="H81" s="1747" t="s">
        <v>17</v>
      </c>
      <c r="I81" s="1747" t="s">
        <v>1057</v>
      </c>
    </row>
    <row r="82" spans="1:9" ht="11.25" customHeight="1">
      <c r="A82" s="1747" t="s">
        <v>2503</v>
      </c>
      <c r="B82" s="1747" t="s">
        <v>3</v>
      </c>
      <c r="C82" s="1747" t="s">
        <v>2777</v>
      </c>
      <c r="D82" s="1747" t="s">
        <v>2778</v>
      </c>
      <c r="E82" s="1747" t="s">
        <v>2779</v>
      </c>
      <c r="F82" s="1747" t="s">
        <v>2621</v>
      </c>
      <c r="G82" s="1747" t="s">
        <v>17</v>
      </c>
      <c r="H82" s="1747" t="s">
        <v>17</v>
      </c>
      <c r="I82" s="1747" t="s">
        <v>1057</v>
      </c>
    </row>
    <row r="83" spans="1:9" ht="11.25" customHeight="1">
      <c r="A83" s="1747" t="s">
        <v>2503</v>
      </c>
      <c r="B83" s="1747" t="s">
        <v>3</v>
      </c>
      <c r="C83" s="1747" t="s">
        <v>2780</v>
      </c>
      <c r="D83" s="1747" t="s">
        <v>2781</v>
      </c>
      <c r="E83" s="1747" t="s">
        <v>2782</v>
      </c>
      <c r="F83" s="1747" t="s">
        <v>2694</v>
      </c>
      <c r="G83" s="1747" t="s">
        <v>17</v>
      </c>
      <c r="H83" s="1747" t="s">
        <v>17</v>
      </c>
      <c r="I83" s="1747" t="s">
        <v>1057</v>
      </c>
    </row>
    <row r="84" spans="1:9" ht="11.25" customHeight="1">
      <c r="A84" s="1747" t="s">
        <v>2503</v>
      </c>
      <c r="B84" s="1747" t="s">
        <v>3</v>
      </c>
      <c r="C84" s="1747" t="s">
        <v>2783</v>
      </c>
      <c r="D84" s="1747" t="s">
        <v>2784</v>
      </c>
      <c r="E84" s="1747" t="s">
        <v>2785</v>
      </c>
      <c r="F84" s="1747" t="s">
        <v>2550</v>
      </c>
      <c r="G84" s="1747" t="s">
        <v>17</v>
      </c>
      <c r="H84" s="1747" t="s">
        <v>17</v>
      </c>
      <c r="I84" s="1747" t="s">
        <v>1057</v>
      </c>
    </row>
    <row r="85" spans="1:9" ht="11.25" customHeight="1">
      <c r="A85" s="1747" t="s">
        <v>2503</v>
      </c>
      <c r="B85" s="1747" t="s">
        <v>3</v>
      </c>
      <c r="C85" s="1747" t="s">
        <v>2786</v>
      </c>
      <c r="D85" s="1747" t="s">
        <v>2787</v>
      </c>
      <c r="E85" s="1747" t="s">
        <v>2788</v>
      </c>
      <c r="F85" s="1747" t="s">
        <v>2625</v>
      </c>
      <c r="G85" s="1747" t="s">
        <v>17</v>
      </c>
      <c r="H85" s="1747" t="s">
        <v>17</v>
      </c>
      <c r="I85" s="1747" t="s">
        <v>1057</v>
      </c>
    </row>
    <row r="86" spans="1:9" ht="11.25" customHeight="1">
      <c r="A86" s="1747" t="s">
        <v>2503</v>
      </c>
      <c r="B86" s="1747" t="s">
        <v>3</v>
      </c>
      <c r="C86" s="1747" t="s">
        <v>2789</v>
      </c>
      <c r="D86" s="1747" t="s">
        <v>2790</v>
      </c>
      <c r="E86" s="1747" t="s">
        <v>2791</v>
      </c>
      <c r="F86" s="1747" t="s">
        <v>2563</v>
      </c>
      <c r="G86" s="1747" t="s">
        <v>17</v>
      </c>
      <c r="H86" s="1747" t="s">
        <v>17</v>
      </c>
      <c r="I86" s="1747" t="s">
        <v>1057</v>
      </c>
    </row>
    <row r="87" spans="1:9" ht="11.25" customHeight="1">
      <c r="A87" s="1747" t="s">
        <v>2503</v>
      </c>
      <c r="B87" s="1747" t="s">
        <v>3</v>
      </c>
      <c r="C87" s="1747" t="s">
        <v>2792</v>
      </c>
      <c r="D87" s="1747" t="s">
        <v>2793</v>
      </c>
      <c r="E87" s="1747" t="s">
        <v>2794</v>
      </c>
      <c r="F87" s="1747" t="s">
        <v>2550</v>
      </c>
      <c r="G87" s="1747" t="s">
        <v>17</v>
      </c>
      <c r="H87" s="1747" t="s">
        <v>17</v>
      </c>
      <c r="I87" s="1747" t="s">
        <v>1057</v>
      </c>
    </row>
    <row r="88" spans="1:9" ht="11.25" customHeight="1">
      <c r="A88" s="1747" t="s">
        <v>2503</v>
      </c>
      <c r="B88" s="1747" t="s">
        <v>3</v>
      </c>
      <c r="C88" s="1747" t="s">
        <v>2795</v>
      </c>
      <c r="D88" s="1747" t="s">
        <v>2796</v>
      </c>
      <c r="E88" s="1747" t="s">
        <v>2797</v>
      </c>
      <c r="F88" s="1747" t="s">
        <v>2735</v>
      </c>
      <c r="G88" s="1747" t="s">
        <v>17</v>
      </c>
      <c r="H88" s="1747" t="s">
        <v>17</v>
      </c>
      <c r="I88" s="1747" t="s">
        <v>1057</v>
      </c>
    </row>
    <row r="89" spans="1:9" ht="11.25" customHeight="1">
      <c r="A89" s="1747" t="s">
        <v>2503</v>
      </c>
      <c r="B89" s="1747" t="s">
        <v>3</v>
      </c>
      <c r="C89" s="1747" t="s">
        <v>2798</v>
      </c>
      <c r="D89" s="1747" t="s">
        <v>2799</v>
      </c>
      <c r="E89" s="1747" t="s">
        <v>2800</v>
      </c>
      <c r="F89" s="1747" t="s">
        <v>2563</v>
      </c>
      <c r="G89" s="1747" t="s">
        <v>17</v>
      </c>
      <c r="H89" s="1747" t="s">
        <v>17</v>
      </c>
      <c r="I89" s="1747" t="s">
        <v>1057</v>
      </c>
    </row>
    <row r="90" spans="1:9" ht="11.25" customHeight="1">
      <c r="A90" s="1747" t="s">
        <v>2503</v>
      </c>
      <c r="B90" s="1747" t="s">
        <v>3</v>
      </c>
      <c r="C90" s="1747" t="s">
        <v>2801</v>
      </c>
      <c r="D90" s="1747" t="s">
        <v>2802</v>
      </c>
      <c r="E90" s="1747" t="s">
        <v>2803</v>
      </c>
      <c r="F90" s="1747" t="s">
        <v>2735</v>
      </c>
      <c r="G90" s="1747" t="s">
        <v>17</v>
      </c>
      <c r="H90" s="1747" t="s">
        <v>17</v>
      </c>
      <c r="I90" s="1747" t="s">
        <v>1057</v>
      </c>
    </row>
    <row r="91" spans="1:9" ht="11.25" customHeight="1">
      <c r="A91" s="1747" t="s">
        <v>2503</v>
      </c>
      <c r="B91" s="1747" t="s">
        <v>3</v>
      </c>
      <c r="C91" s="1747" t="s">
        <v>2804</v>
      </c>
      <c r="D91" s="1747" t="s">
        <v>2805</v>
      </c>
      <c r="E91" s="1747" t="s">
        <v>2806</v>
      </c>
      <c r="F91" s="1747" t="s">
        <v>2735</v>
      </c>
      <c r="G91" s="1747" t="s">
        <v>2807</v>
      </c>
      <c r="H91" s="1747" t="s">
        <v>17</v>
      </c>
      <c r="I91" s="1747" t="s">
        <v>1057</v>
      </c>
    </row>
    <row r="92" spans="1:9" ht="11.25" customHeight="1">
      <c r="A92" s="1747" t="s">
        <v>2503</v>
      </c>
      <c r="B92" s="1747" t="s">
        <v>3</v>
      </c>
      <c r="C92" s="1747" t="s">
        <v>2808</v>
      </c>
      <c r="D92" s="1747" t="s">
        <v>2809</v>
      </c>
      <c r="E92" s="1747" t="s">
        <v>2810</v>
      </c>
      <c r="F92" s="1747" t="s">
        <v>2525</v>
      </c>
      <c r="G92" s="1747" t="s">
        <v>2807</v>
      </c>
      <c r="H92" s="1747" t="s">
        <v>17</v>
      </c>
      <c r="I92" s="1747" t="s">
        <v>1057</v>
      </c>
    </row>
    <row r="93" spans="1:9" ht="11.25" customHeight="1">
      <c r="A93" s="1747" t="s">
        <v>2503</v>
      </c>
      <c r="B93" s="1747" t="s">
        <v>3</v>
      </c>
      <c r="C93" s="1747" t="s">
        <v>2811</v>
      </c>
      <c r="D93" s="1747" t="s">
        <v>2812</v>
      </c>
      <c r="E93" s="1747" t="s">
        <v>2813</v>
      </c>
      <c r="F93" s="1747" t="s">
        <v>2621</v>
      </c>
      <c r="G93" s="1747" t="s">
        <v>17</v>
      </c>
      <c r="H93" s="1747" t="s">
        <v>17</v>
      </c>
      <c r="I93" s="1747" t="s">
        <v>1057</v>
      </c>
    </row>
    <row r="94" spans="1:9" ht="11.25" customHeight="1">
      <c r="A94" s="1747" t="s">
        <v>2503</v>
      </c>
      <c r="B94" s="1747" t="s">
        <v>3</v>
      </c>
      <c r="C94" s="1747" t="s">
        <v>2814</v>
      </c>
      <c r="D94" s="1747" t="s">
        <v>2815</v>
      </c>
      <c r="E94" s="1747" t="s">
        <v>2816</v>
      </c>
      <c r="F94" s="1747" t="s">
        <v>2817</v>
      </c>
      <c r="G94" s="1747" t="s">
        <v>17</v>
      </c>
      <c r="H94" s="1747" t="s">
        <v>17</v>
      </c>
      <c r="I94" s="1747" t="s">
        <v>1057</v>
      </c>
    </row>
    <row r="95" spans="1:9" ht="11.25" customHeight="1">
      <c r="A95" s="1747" t="s">
        <v>2503</v>
      </c>
      <c r="B95" s="1747" t="s">
        <v>3</v>
      </c>
      <c r="C95" s="1747" t="s">
        <v>2818</v>
      </c>
      <c r="D95" s="1747" t="s">
        <v>2819</v>
      </c>
      <c r="E95" s="1747" t="s">
        <v>2820</v>
      </c>
      <c r="F95" s="1747" t="s">
        <v>2525</v>
      </c>
      <c r="G95" s="1747" t="s">
        <v>17</v>
      </c>
      <c r="H95" s="1747" t="s">
        <v>17</v>
      </c>
      <c r="I95" s="1747" t="s">
        <v>1057</v>
      </c>
    </row>
    <row r="96" spans="1:9" ht="11.25" customHeight="1">
      <c r="A96" s="1747" t="s">
        <v>2503</v>
      </c>
      <c r="B96" s="1747" t="s">
        <v>3</v>
      </c>
      <c r="C96" s="1747" t="s">
        <v>2821</v>
      </c>
      <c r="D96" s="1747" t="s">
        <v>2822</v>
      </c>
      <c r="E96" s="1747" t="s">
        <v>2823</v>
      </c>
      <c r="F96" s="1747" t="s">
        <v>2525</v>
      </c>
      <c r="G96" s="1747" t="s">
        <v>17</v>
      </c>
      <c r="H96" s="1747" t="s">
        <v>17</v>
      </c>
      <c r="I96" s="1747" t="s">
        <v>1057</v>
      </c>
    </row>
    <row r="97" spans="1:9" ht="11.25" customHeight="1">
      <c r="A97" s="1747" t="s">
        <v>2503</v>
      </c>
      <c r="B97" s="1747" t="s">
        <v>3</v>
      </c>
      <c r="C97" s="1747" t="s">
        <v>2824</v>
      </c>
      <c r="D97" s="1747" t="s">
        <v>2825</v>
      </c>
      <c r="E97" s="1747" t="s">
        <v>2826</v>
      </c>
      <c r="F97" s="1747" t="s">
        <v>2525</v>
      </c>
      <c r="G97" s="1747" t="s">
        <v>17</v>
      </c>
      <c r="H97" s="1747" t="s">
        <v>17</v>
      </c>
      <c r="I97" s="1747" t="s">
        <v>1057</v>
      </c>
    </row>
    <row r="98" spans="1:9" ht="11.25" customHeight="1">
      <c r="A98" s="1747" t="s">
        <v>2503</v>
      </c>
      <c r="B98" s="1747" t="s">
        <v>3</v>
      </c>
      <c r="C98" s="1747" t="s">
        <v>2827</v>
      </c>
      <c r="D98" s="1747" t="s">
        <v>2828</v>
      </c>
      <c r="E98" s="1747" t="s">
        <v>2829</v>
      </c>
      <c r="F98" s="1747" t="s">
        <v>2694</v>
      </c>
      <c r="G98" s="1747" t="s">
        <v>2807</v>
      </c>
      <c r="H98" s="1747" t="s">
        <v>17</v>
      </c>
      <c r="I98" s="1747" t="s">
        <v>1057</v>
      </c>
    </row>
    <row r="99" spans="1:9" ht="11.25" customHeight="1">
      <c r="A99" s="1747" t="s">
        <v>2503</v>
      </c>
      <c r="B99" s="1747" t="s">
        <v>3</v>
      </c>
      <c r="C99" s="1747" t="s">
        <v>2830</v>
      </c>
      <c r="D99" s="1747" t="s">
        <v>2831</v>
      </c>
      <c r="E99" s="1747" t="s">
        <v>2832</v>
      </c>
      <c r="F99" s="1747" t="s">
        <v>2525</v>
      </c>
      <c r="G99" s="1747" t="s">
        <v>17</v>
      </c>
      <c r="H99" s="1747" t="s">
        <v>17</v>
      </c>
      <c r="I99" s="1747" t="s">
        <v>1057</v>
      </c>
    </row>
    <row r="100" spans="1:9" ht="11.25" customHeight="1">
      <c r="A100" s="1747" t="s">
        <v>2503</v>
      </c>
      <c r="B100" s="1747" t="s">
        <v>3</v>
      </c>
      <c r="C100" s="1747" t="s">
        <v>2833</v>
      </c>
      <c r="D100" s="1747" t="s">
        <v>2834</v>
      </c>
      <c r="E100" s="1747" t="s">
        <v>2835</v>
      </c>
      <c r="F100" s="1747" t="s">
        <v>2625</v>
      </c>
      <c r="G100" s="1747" t="s">
        <v>17</v>
      </c>
      <c r="H100" s="1747" t="s">
        <v>17</v>
      </c>
      <c r="I100" s="1747" t="s">
        <v>1057</v>
      </c>
    </row>
    <row r="101" spans="1:9" ht="11.25" customHeight="1">
      <c r="A101" s="1747" t="s">
        <v>2503</v>
      </c>
      <c r="B101" s="1747" t="s">
        <v>3</v>
      </c>
      <c r="C101" s="1747" t="s">
        <v>2836</v>
      </c>
      <c r="D101" s="1747" t="s">
        <v>2834</v>
      </c>
      <c r="E101" s="1747" t="s">
        <v>2837</v>
      </c>
      <c r="F101" s="1747" t="s">
        <v>2817</v>
      </c>
      <c r="G101" s="1747" t="s">
        <v>17</v>
      </c>
      <c r="H101" s="1747" t="s">
        <v>17</v>
      </c>
      <c r="I101" s="1747" t="s">
        <v>1057</v>
      </c>
    </row>
    <row r="102" spans="1:9" ht="11.25" customHeight="1">
      <c r="A102" s="1747" t="s">
        <v>2503</v>
      </c>
      <c r="B102" s="1747" t="s">
        <v>3</v>
      </c>
      <c r="C102" s="1747" t="s">
        <v>2838</v>
      </c>
      <c r="D102" s="1747" t="s">
        <v>2839</v>
      </c>
      <c r="E102" s="1747" t="s">
        <v>2840</v>
      </c>
      <c r="F102" s="1747" t="s">
        <v>2525</v>
      </c>
      <c r="G102" s="1747" t="s">
        <v>17</v>
      </c>
      <c r="H102" s="1747" t="s">
        <v>17</v>
      </c>
      <c r="I102" s="1747" t="s">
        <v>1057</v>
      </c>
    </row>
    <row r="103" spans="1:9" ht="11.25" customHeight="1">
      <c r="A103" s="1747" t="s">
        <v>2503</v>
      </c>
      <c r="B103" s="1747" t="s">
        <v>3</v>
      </c>
      <c r="C103" s="1747" t="s">
        <v>2841</v>
      </c>
      <c r="D103" s="1747" t="s">
        <v>2842</v>
      </c>
      <c r="E103" s="1747" t="s">
        <v>2843</v>
      </c>
      <c r="F103" s="1747" t="s">
        <v>2563</v>
      </c>
      <c r="G103" s="1747" t="s">
        <v>17</v>
      </c>
      <c r="H103" s="1747" t="s">
        <v>17</v>
      </c>
      <c r="I103" s="1747" t="s">
        <v>1057</v>
      </c>
    </row>
    <row r="104" spans="1:9" ht="11.25" customHeight="1">
      <c r="A104" s="1747" t="s">
        <v>2503</v>
      </c>
      <c r="B104" s="1747" t="s">
        <v>3</v>
      </c>
      <c r="C104" s="1747" t="s">
        <v>2844</v>
      </c>
      <c r="D104" s="1747" t="s">
        <v>2845</v>
      </c>
      <c r="E104" s="1747" t="s">
        <v>2846</v>
      </c>
      <c r="F104" s="1747" t="s">
        <v>45</v>
      </c>
      <c r="G104" s="1747" t="s">
        <v>17</v>
      </c>
      <c r="H104" s="1747" t="s">
        <v>17</v>
      </c>
      <c r="I104" s="1747" t="s">
        <v>1057</v>
      </c>
    </row>
    <row r="105" spans="1:9" ht="11.25" customHeight="1">
      <c r="A105" s="1747" t="s">
        <v>2503</v>
      </c>
      <c r="B105" s="1747" t="s">
        <v>3</v>
      </c>
      <c r="C105" s="1747" t="s">
        <v>2847</v>
      </c>
      <c r="D105" s="1747" t="s">
        <v>2848</v>
      </c>
      <c r="E105" s="1747" t="s">
        <v>2849</v>
      </c>
      <c r="F105" s="1747" t="s">
        <v>2621</v>
      </c>
      <c r="G105" s="1747" t="s">
        <v>17</v>
      </c>
      <c r="H105" s="1747" t="s">
        <v>17</v>
      </c>
      <c r="I105" s="1747" t="s">
        <v>1057</v>
      </c>
    </row>
    <row r="106" spans="1:9" ht="11.25" customHeight="1">
      <c r="A106" s="1747" t="s">
        <v>2503</v>
      </c>
      <c r="B106" s="1747" t="s">
        <v>3</v>
      </c>
      <c r="C106" s="1747" t="s">
        <v>2850</v>
      </c>
      <c r="D106" s="1747" t="s">
        <v>2851</v>
      </c>
      <c r="E106" s="1747" t="s">
        <v>2852</v>
      </c>
      <c r="F106" s="1747" t="s">
        <v>2694</v>
      </c>
      <c r="G106" s="1747" t="s">
        <v>17</v>
      </c>
      <c r="H106" s="1747" t="s">
        <v>17</v>
      </c>
      <c r="I106" s="1747" t="s">
        <v>1057</v>
      </c>
    </row>
    <row r="107" spans="1:9" ht="11.25" customHeight="1">
      <c r="A107" s="1747" t="s">
        <v>2503</v>
      </c>
      <c r="B107" s="1747" t="s">
        <v>3</v>
      </c>
      <c r="C107" s="1747" t="s">
        <v>2853</v>
      </c>
      <c r="D107" s="1747" t="s">
        <v>2854</v>
      </c>
      <c r="E107" s="1747" t="s">
        <v>2855</v>
      </c>
      <c r="F107" s="1747" t="s">
        <v>2625</v>
      </c>
      <c r="G107" s="1747" t="s">
        <v>17</v>
      </c>
      <c r="H107" s="1747" t="s">
        <v>17</v>
      </c>
      <c r="I107" s="1747" t="s">
        <v>1057</v>
      </c>
    </row>
    <row r="108" spans="1:9" ht="11.25" customHeight="1">
      <c r="A108" s="1747" t="s">
        <v>2503</v>
      </c>
      <c r="B108" s="1747" t="s">
        <v>3</v>
      </c>
      <c r="C108" s="1747" t="s">
        <v>2856</v>
      </c>
      <c r="D108" s="1747" t="s">
        <v>2857</v>
      </c>
      <c r="E108" s="1747" t="s">
        <v>2858</v>
      </c>
      <c r="F108" s="1747" t="s">
        <v>2694</v>
      </c>
      <c r="G108" s="1747" t="s">
        <v>2724</v>
      </c>
      <c r="H108" s="1747" t="s">
        <v>17</v>
      </c>
      <c r="I108" s="1747" t="s">
        <v>1057</v>
      </c>
    </row>
    <row r="109" spans="1:9" ht="11.25" customHeight="1">
      <c r="A109" s="1747" t="s">
        <v>2503</v>
      </c>
      <c r="B109" s="1747" t="s">
        <v>3</v>
      </c>
      <c r="C109" s="1747" t="s">
        <v>2859</v>
      </c>
      <c r="D109" s="1747" t="s">
        <v>2860</v>
      </c>
      <c r="E109" s="1747" t="s">
        <v>2861</v>
      </c>
      <c r="F109" s="1747" t="s">
        <v>2735</v>
      </c>
      <c r="G109" s="1747" t="s">
        <v>17</v>
      </c>
      <c r="H109" s="1747" t="s">
        <v>17</v>
      </c>
      <c r="I109" s="1747" t="s">
        <v>1057</v>
      </c>
    </row>
    <row r="110" spans="1:9" ht="11.25" customHeight="1">
      <c r="A110" s="1747" t="s">
        <v>2503</v>
      </c>
      <c r="B110" s="1747" t="s">
        <v>3</v>
      </c>
      <c r="C110" s="1747" t="s">
        <v>2862</v>
      </c>
      <c r="D110" s="1747" t="s">
        <v>2863</v>
      </c>
      <c r="E110" s="1747" t="s">
        <v>2864</v>
      </c>
      <c r="F110" s="1747" t="s">
        <v>2694</v>
      </c>
      <c r="G110" s="1747" t="s">
        <v>17</v>
      </c>
      <c r="H110" s="1747" t="s">
        <v>17</v>
      </c>
      <c r="I110" s="1747" t="s">
        <v>1057</v>
      </c>
    </row>
    <row r="111" spans="1:9" ht="11.25" customHeight="1">
      <c r="A111" s="1747" t="s">
        <v>2503</v>
      </c>
      <c r="B111" s="1747" t="s">
        <v>3</v>
      </c>
      <c r="C111" s="1747" t="s">
        <v>2865</v>
      </c>
      <c r="D111" s="1747" t="s">
        <v>2866</v>
      </c>
      <c r="E111" s="1747" t="s">
        <v>2867</v>
      </c>
      <c r="F111" s="1747" t="s">
        <v>2694</v>
      </c>
      <c r="G111" s="1747" t="s">
        <v>2807</v>
      </c>
      <c r="H111" s="1747" t="s">
        <v>17</v>
      </c>
      <c r="I111" s="1747" t="s">
        <v>1057</v>
      </c>
    </row>
    <row r="112" spans="1:9" ht="11.25" customHeight="1">
      <c r="A112" s="1747" t="s">
        <v>2503</v>
      </c>
      <c r="B112" s="1747" t="s">
        <v>3</v>
      </c>
      <c r="C112" s="1747" t="s">
        <v>2868</v>
      </c>
      <c r="D112" s="1747" t="s">
        <v>2869</v>
      </c>
      <c r="E112" s="1747" t="s">
        <v>2870</v>
      </c>
      <c r="F112" s="1747" t="s">
        <v>2610</v>
      </c>
      <c r="G112" s="1747" t="s">
        <v>17</v>
      </c>
      <c r="H112" s="1747" t="s">
        <v>17</v>
      </c>
      <c r="I112" s="1747" t="s">
        <v>1057</v>
      </c>
    </row>
    <row r="113" spans="1:9" ht="11.25" customHeight="1">
      <c r="A113" s="1747" t="s">
        <v>2503</v>
      </c>
      <c r="B113" s="1747" t="s">
        <v>3</v>
      </c>
      <c r="C113" s="1747" t="s">
        <v>2871</v>
      </c>
      <c r="D113" s="1747" t="s">
        <v>2872</v>
      </c>
      <c r="E113" s="1747" t="s">
        <v>2873</v>
      </c>
      <c r="F113" s="1747" t="s">
        <v>2525</v>
      </c>
      <c r="G113" s="1747" t="s">
        <v>17</v>
      </c>
      <c r="H113" s="1747" t="s">
        <v>17</v>
      </c>
      <c r="I113" s="1747" t="s">
        <v>1057</v>
      </c>
    </row>
    <row r="114" spans="1:9" ht="11.25" customHeight="1">
      <c r="A114" s="1747" t="s">
        <v>2503</v>
      </c>
      <c r="B114" s="1747" t="s">
        <v>3</v>
      </c>
      <c r="C114" s="1747" t="s">
        <v>2874</v>
      </c>
      <c r="D114" s="1747" t="s">
        <v>2875</v>
      </c>
      <c r="E114" s="1747" t="s">
        <v>2876</v>
      </c>
      <c r="F114" s="1747" t="s">
        <v>2694</v>
      </c>
      <c r="G114" s="1747" t="s">
        <v>17</v>
      </c>
      <c r="H114" s="1747" t="s">
        <v>17</v>
      </c>
      <c r="I114" s="1747" t="s">
        <v>1057</v>
      </c>
    </row>
    <row r="115" spans="1:9" ht="11.25" customHeight="1">
      <c r="A115" s="1747" t="s">
        <v>2503</v>
      </c>
      <c r="B115" s="1747" t="s">
        <v>3</v>
      </c>
      <c r="C115" s="1747" t="s">
        <v>2877</v>
      </c>
      <c r="D115" s="1747" t="s">
        <v>2878</v>
      </c>
      <c r="E115" s="1747" t="s">
        <v>2879</v>
      </c>
      <c r="F115" s="1747" t="s">
        <v>2694</v>
      </c>
      <c r="G115" s="1747" t="s">
        <v>17</v>
      </c>
      <c r="H115" s="1747" t="s">
        <v>17</v>
      </c>
      <c r="I115" s="1747" t="s">
        <v>1057</v>
      </c>
    </row>
    <row r="116" spans="1:9" ht="11.25" customHeight="1">
      <c r="A116" s="1747" t="s">
        <v>2503</v>
      </c>
      <c r="B116" s="1747" t="s">
        <v>3</v>
      </c>
      <c r="C116" s="1747" t="s">
        <v>0</v>
      </c>
      <c r="D116" s="1747" t="s">
        <v>40</v>
      </c>
      <c r="E116" s="1747" t="s">
        <v>43</v>
      </c>
      <c r="F116" s="1747" t="s">
        <v>45</v>
      </c>
      <c r="G116" s="1747" t="s">
        <v>17</v>
      </c>
      <c r="H116" s="1747" t="s">
        <v>17</v>
      </c>
      <c r="I116" s="1747" t="s">
        <v>1057</v>
      </c>
    </row>
    <row r="117" spans="1:9" ht="11.25" customHeight="1">
      <c r="A117" s="1747" t="s">
        <v>2503</v>
      </c>
      <c r="B117" s="1747" t="s">
        <v>3</v>
      </c>
      <c r="C117" s="1747" t="s">
        <v>2880</v>
      </c>
      <c r="D117" s="1747" t="s">
        <v>2881</v>
      </c>
      <c r="E117" s="1747" t="s">
        <v>2882</v>
      </c>
      <c r="F117" s="1747" t="s">
        <v>2683</v>
      </c>
      <c r="G117" s="1747" t="s">
        <v>17</v>
      </c>
      <c r="H117" s="1747" t="s">
        <v>17</v>
      </c>
      <c r="I117" s="1747" t="s">
        <v>1057</v>
      </c>
    </row>
    <row r="118" spans="1:9" ht="11.25" customHeight="1">
      <c r="A118" s="1747" t="s">
        <v>2503</v>
      </c>
      <c r="B118" s="1747" t="s">
        <v>3</v>
      </c>
      <c r="C118" s="1747" t="s">
        <v>2883</v>
      </c>
      <c r="D118" s="1747" t="s">
        <v>2884</v>
      </c>
      <c r="E118" s="1747" t="s">
        <v>2885</v>
      </c>
      <c r="F118" s="1747" t="s">
        <v>2625</v>
      </c>
      <c r="G118" s="1747" t="s">
        <v>17</v>
      </c>
      <c r="H118" s="1747" t="s">
        <v>17</v>
      </c>
      <c r="I118" s="1747" t="s">
        <v>1057</v>
      </c>
    </row>
    <row r="119" spans="1:9" ht="11.25" customHeight="1">
      <c r="A119" s="1747" t="s">
        <v>2503</v>
      </c>
      <c r="B119" s="1747" t="s">
        <v>3</v>
      </c>
      <c r="C119" s="1747" t="s">
        <v>2886</v>
      </c>
      <c r="D119" s="1747" t="s">
        <v>2887</v>
      </c>
      <c r="E119" s="1747" t="s">
        <v>2888</v>
      </c>
      <c r="F119" s="1747" t="s">
        <v>2889</v>
      </c>
      <c r="G119" s="1747" t="s">
        <v>17</v>
      </c>
      <c r="H119" s="1747" t="s">
        <v>17</v>
      </c>
      <c r="I119" s="1747" t="s">
        <v>1057</v>
      </c>
    </row>
    <row r="120" spans="1:9" ht="11.25" customHeight="1">
      <c r="A120" s="1747" t="s">
        <v>2503</v>
      </c>
      <c r="B120" s="1747" t="s">
        <v>3</v>
      </c>
      <c r="C120" s="1747" t="s">
        <v>2890</v>
      </c>
      <c r="D120" s="1747" t="s">
        <v>2891</v>
      </c>
      <c r="E120" s="1747" t="s">
        <v>2892</v>
      </c>
      <c r="F120" s="1747" t="s">
        <v>2610</v>
      </c>
      <c r="G120" s="1747" t="s">
        <v>2893</v>
      </c>
      <c r="H120" s="1747" t="s">
        <v>17</v>
      </c>
      <c r="I120" s="1747" t="s">
        <v>1057</v>
      </c>
    </row>
    <row r="121" spans="1:9" ht="11.25" customHeight="1">
      <c r="A121" s="1747" t="s">
        <v>2503</v>
      </c>
      <c r="B121" s="1747" t="s">
        <v>3</v>
      </c>
      <c r="C121" s="1747" t="s">
        <v>2894</v>
      </c>
      <c r="D121" s="1747" t="s">
        <v>2895</v>
      </c>
      <c r="E121" s="1747" t="s">
        <v>2896</v>
      </c>
      <c r="F121" s="1747" t="s">
        <v>2694</v>
      </c>
      <c r="G121" s="1747" t="s">
        <v>2673</v>
      </c>
      <c r="H121" s="1747" t="s">
        <v>17</v>
      </c>
      <c r="I121" s="1747" t="s">
        <v>1057</v>
      </c>
    </row>
    <row r="122" spans="1:9" ht="11.25" customHeight="1">
      <c r="A122" s="1747" t="s">
        <v>2503</v>
      </c>
      <c r="B122" s="1747" t="s">
        <v>3</v>
      </c>
      <c r="C122" s="1747" t="s">
        <v>2897</v>
      </c>
      <c r="D122" s="1747" t="s">
        <v>2898</v>
      </c>
      <c r="E122" s="1747" t="s">
        <v>2899</v>
      </c>
      <c r="F122" s="1747" t="s">
        <v>2683</v>
      </c>
      <c r="G122" s="1747" t="s">
        <v>17</v>
      </c>
      <c r="H122" s="1747" t="s">
        <v>17</v>
      </c>
      <c r="I122" s="1747" t="s">
        <v>1057</v>
      </c>
    </row>
    <row r="123" spans="1:9" ht="11.25" customHeight="1">
      <c r="A123" s="1747" t="s">
        <v>2503</v>
      </c>
      <c r="B123" s="1747" t="s">
        <v>3</v>
      </c>
      <c r="C123" s="1747" t="s">
        <v>2900</v>
      </c>
      <c r="D123" s="1747" t="s">
        <v>2901</v>
      </c>
      <c r="E123" s="1747" t="s">
        <v>2902</v>
      </c>
      <c r="F123" s="1747" t="s">
        <v>2683</v>
      </c>
      <c r="G123" s="1747" t="s">
        <v>17</v>
      </c>
      <c r="H123" s="1747" t="s">
        <v>17</v>
      </c>
      <c r="I123" s="1747" t="s">
        <v>1057</v>
      </c>
    </row>
    <row r="124" spans="1:9" ht="11.25" customHeight="1">
      <c r="A124" s="1747" t="s">
        <v>2503</v>
      </c>
      <c r="B124" s="1747" t="s">
        <v>3</v>
      </c>
      <c r="C124" s="1747" t="s">
        <v>2903</v>
      </c>
      <c r="D124" s="1747" t="s">
        <v>2904</v>
      </c>
      <c r="E124" s="1747" t="s">
        <v>2905</v>
      </c>
      <c r="F124" s="1747" t="s">
        <v>2906</v>
      </c>
      <c r="G124" s="1747" t="s">
        <v>17</v>
      </c>
      <c r="H124" s="1747" t="s">
        <v>17</v>
      </c>
      <c r="I124" s="1747" t="s">
        <v>1057</v>
      </c>
    </row>
    <row r="125" spans="1:9" ht="11.25" customHeight="1">
      <c r="A125" s="1747" t="s">
        <v>2503</v>
      </c>
      <c r="B125" s="1747" t="s">
        <v>3</v>
      </c>
      <c r="C125" s="1747" t="s">
        <v>2907</v>
      </c>
      <c r="D125" s="1747" t="s">
        <v>2908</v>
      </c>
      <c r="E125" s="1747" t="s">
        <v>2909</v>
      </c>
      <c r="F125" s="1747" t="s">
        <v>2694</v>
      </c>
      <c r="G125" s="1747" t="s">
        <v>17</v>
      </c>
      <c r="H125" s="1747" t="s">
        <v>17</v>
      </c>
      <c r="I125" s="1747" t="s">
        <v>1057</v>
      </c>
    </row>
    <row r="126" spans="1:9" ht="11.25" customHeight="1">
      <c r="A126" s="1747" t="s">
        <v>2503</v>
      </c>
      <c r="B126" s="1747" t="s">
        <v>3</v>
      </c>
      <c r="C126" s="1747" t="s">
        <v>2910</v>
      </c>
      <c r="D126" s="1747" t="s">
        <v>2911</v>
      </c>
      <c r="E126" s="1747" t="s">
        <v>2912</v>
      </c>
      <c r="F126" s="1747" t="s">
        <v>2694</v>
      </c>
      <c r="G126" s="1747" t="s">
        <v>2913</v>
      </c>
      <c r="H126" s="1747" t="s">
        <v>17</v>
      </c>
      <c r="I126" s="1747" t="s">
        <v>1057</v>
      </c>
    </row>
    <row r="127" spans="1:9" ht="11.25" customHeight="1">
      <c r="A127" s="1747" t="s">
        <v>2503</v>
      </c>
      <c r="B127" s="1747" t="s">
        <v>3</v>
      </c>
      <c r="C127" s="1747" t="s">
        <v>2914</v>
      </c>
      <c r="D127" s="1747" t="s">
        <v>2915</v>
      </c>
      <c r="E127" s="1747" t="s">
        <v>2916</v>
      </c>
      <c r="F127" s="1747" t="s">
        <v>2539</v>
      </c>
      <c r="G127" s="1747" t="s">
        <v>17</v>
      </c>
      <c r="H127" s="1747" t="s">
        <v>17</v>
      </c>
      <c r="I127" s="1747" t="s">
        <v>1057</v>
      </c>
    </row>
    <row r="128" spans="1:9" ht="11.25" customHeight="1">
      <c r="A128" s="1747" t="s">
        <v>2503</v>
      </c>
      <c r="B128" s="1747" t="s">
        <v>3</v>
      </c>
      <c r="C128" s="1747" t="s">
        <v>2917</v>
      </c>
      <c r="D128" s="1747" t="s">
        <v>2918</v>
      </c>
      <c r="E128" s="1747" t="s">
        <v>2919</v>
      </c>
      <c r="F128" s="1747" t="s">
        <v>45</v>
      </c>
      <c r="G128" s="1747" t="s">
        <v>17</v>
      </c>
      <c r="H128" s="1747" t="s">
        <v>17</v>
      </c>
      <c r="I128" s="1747" t="s">
        <v>1057</v>
      </c>
    </row>
    <row r="129" spans="1:9" ht="11.25" customHeight="1">
      <c r="A129" s="1747" t="s">
        <v>2503</v>
      </c>
      <c r="B129" s="1747" t="s">
        <v>3</v>
      </c>
      <c r="C129" s="1747" t="s">
        <v>2920</v>
      </c>
      <c r="D129" s="1747" t="s">
        <v>2921</v>
      </c>
      <c r="E129" s="1747" t="s">
        <v>2922</v>
      </c>
      <c r="F129" s="1747" t="s">
        <v>2550</v>
      </c>
      <c r="G129" s="1747" t="s">
        <v>17</v>
      </c>
      <c r="H129" s="1747" t="s">
        <v>17</v>
      </c>
      <c r="I129" s="1747" t="s">
        <v>1057</v>
      </c>
    </row>
    <row r="130" spans="1:9" ht="11.25" customHeight="1">
      <c r="A130" s="1747" t="s">
        <v>2503</v>
      </c>
      <c r="B130" s="1747" t="s">
        <v>3</v>
      </c>
      <c r="C130" s="1747" t="s">
        <v>2923</v>
      </c>
      <c r="D130" s="1747" t="s">
        <v>2924</v>
      </c>
      <c r="E130" s="1747" t="s">
        <v>2925</v>
      </c>
      <c r="F130" s="1747" t="s">
        <v>2563</v>
      </c>
      <c r="G130" s="1747" t="s">
        <v>17</v>
      </c>
      <c r="H130" s="1747" t="s">
        <v>17</v>
      </c>
      <c r="I130" s="1747" t="s">
        <v>1057</v>
      </c>
    </row>
    <row r="131" spans="1:9" ht="11.25" customHeight="1">
      <c r="A131" s="1747" t="s">
        <v>2503</v>
      </c>
      <c r="B131" s="1747" t="s">
        <v>3</v>
      </c>
      <c r="C131" s="1747" t="s">
        <v>2926</v>
      </c>
      <c r="D131" s="1747" t="s">
        <v>2927</v>
      </c>
      <c r="E131" s="1747" t="s">
        <v>2928</v>
      </c>
      <c r="F131" s="1747" t="s">
        <v>2929</v>
      </c>
      <c r="G131" s="1747" t="s">
        <v>17</v>
      </c>
      <c r="H131" s="1747" t="s">
        <v>17</v>
      </c>
      <c r="I131" s="1747" t="s">
        <v>1057</v>
      </c>
    </row>
    <row r="132" spans="1:9" ht="11.25" customHeight="1">
      <c r="A132" s="1747" t="s">
        <v>2503</v>
      </c>
      <c r="B132" s="1747" t="s">
        <v>3</v>
      </c>
      <c r="C132" s="1747" t="s">
        <v>2930</v>
      </c>
      <c r="D132" s="1747" t="s">
        <v>2931</v>
      </c>
      <c r="E132" s="1747" t="s">
        <v>2932</v>
      </c>
      <c r="F132" s="1747" t="s">
        <v>2694</v>
      </c>
      <c r="G132" s="1747" t="s">
        <v>17</v>
      </c>
      <c r="H132" s="1747" t="s">
        <v>17</v>
      </c>
      <c r="I132" s="1747" t="s">
        <v>1057</v>
      </c>
    </row>
    <row r="133" spans="1:9" ht="11.25" customHeight="1">
      <c r="A133" s="1747" t="s">
        <v>2503</v>
      </c>
      <c r="B133" s="1747" t="s">
        <v>3</v>
      </c>
      <c r="C133" s="1747" t="s">
        <v>2933</v>
      </c>
      <c r="D133" s="1747" t="s">
        <v>2934</v>
      </c>
      <c r="E133" s="1747" t="s">
        <v>2935</v>
      </c>
      <c r="F133" s="1747" t="s">
        <v>2694</v>
      </c>
      <c r="G133" s="1747" t="s">
        <v>17</v>
      </c>
      <c r="H133" s="1747" t="s">
        <v>17</v>
      </c>
      <c r="I133" s="1747" t="s">
        <v>1057</v>
      </c>
    </row>
    <row r="134" spans="1:9" ht="11.25" customHeight="1">
      <c r="A134" s="1747" t="s">
        <v>2503</v>
      </c>
      <c r="B134" s="1747" t="s">
        <v>3</v>
      </c>
      <c r="C134" s="1747" t="s">
        <v>2936</v>
      </c>
      <c r="D134" s="1747" t="s">
        <v>2937</v>
      </c>
      <c r="E134" s="1747" t="s">
        <v>2938</v>
      </c>
      <c r="F134" s="1747" t="s">
        <v>2621</v>
      </c>
      <c r="G134" s="1747" t="s">
        <v>17</v>
      </c>
      <c r="H134" s="1747" t="s">
        <v>17</v>
      </c>
      <c r="I134" s="1747" t="s">
        <v>1057</v>
      </c>
    </row>
    <row r="135" spans="1:9" ht="11.25" customHeight="1">
      <c r="A135" s="1747" t="s">
        <v>2503</v>
      </c>
      <c r="B135" s="1747" t="s">
        <v>3</v>
      </c>
      <c r="C135" s="1747" t="s">
        <v>2939</v>
      </c>
      <c r="D135" s="1747" t="s">
        <v>2940</v>
      </c>
      <c r="E135" s="1747" t="s">
        <v>2941</v>
      </c>
      <c r="F135" s="1747" t="s">
        <v>2621</v>
      </c>
      <c r="G135" s="1747" t="s">
        <v>17</v>
      </c>
      <c r="H135" s="1747" t="s">
        <v>17</v>
      </c>
      <c r="I135" s="1747" t="s">
        <v>1057</v>
      </c>
    </row>
    <row r="136" spans="1:9" ht="11.25" customHeight="1">
      <c r="A136" s="1747" t="s">
        <v>2503</v>
      </c>
      <c r="B136" s="1747" t="s">
        <v>3</v>
      </c>
      <c r="C136" s="1747" t="s">
        <v>2942</v>
      </c>
      <c r="D136" s="1747" t="s">
        <v>2943</v>
      </c>
      <c r="E136" s="1747" t="s">
        <v>2944</v>
      </c>
      <c r="F136" s="1747" t="s">
        <v>2735</v>
      </c>
      <c r="G136" s="1747" t="s">
        <v>2945</v>
      </c>
      <c r="H136" s="1747" t="s">
        <v>17</v>
      </c>
      <c r="I136" s="1747" t="s">
        <v>1057</v>
      </c>
    </row>
    <row r="137" spans="1:9" ht="11.25" customHeight="1">
      <c r="A137" s="1747" t="s">
        <v>2503</v>
      </c>
      <c r="B137" s="1747" t="s">
        <v>3</v>
      </c>
      <c r="C137" s="1747" t="s">
        <v>2946</v>
      </c>
      <c r="D137" s="1747" t="s">
        <v>2947</v>
      </c>
      <c r="E137" s="1747" t="s">
        <v>2948</v>
      </c>
      <c r="F137" s="1747" t="s">
        <v>2949</v>
      </c>
      <c r="G137" s="1747" t="s">
        <v>17</v>
      </c>
      <c r="H137" s="1747" t="s">
        <v>17</v>
      </c>
      <c r="I137" s="1747" t="s">
        <v>1057</v>
      </c>
    </row>
    <row r="138" spans="1:9" ht="11.25" customHeight="1">
      <c r="A138" s="1747" t="s">
        <v>2503</v>
      </c>
      <c r="B138" s="1747" t="s">
        <v>3</v>
      </c>
      <c r="C138" s="1747" t="s">
        <v>2950</v>
      </c>
      <c r="D138" s="1747" t="s">
        <v>2951</v>
      </c>
      <c r="E138" s="1747" t="s">
        <v>2952</v>
      </c>
      <c r="F138" s="1747" t="s">
        <v>2953</v>
      </c>
      <c r="G138" s="1747" t="s">
        <v>17</v>
      </c>
      <c r="H138" s="1747" t="s">
        <v>17</v>
      </c>
      <c r="I138" s="1747" t="s">
        <v>1057</v>
      </c>
    </row>
    <row r="139" spans="1:9" ht="11.25" customHeight="1">
      <c r="A139" s="1747" t="s">
        <v>2503</v>
      </c>
      <c r="B139" s="1747" t="s">
        <v>3</v>
      </c>
      <c r="C139" s="1747" t="s">
        <v>2954</v>
      </c>
      <c r="D139" s="1747" t="s">
        <v>2955</v>
      </c>
      <c r="E139" s="1747" t="s">
        <v>2730</v>
      </c>
      <c r="F139" s="1747" t="s">
        <v>2956</v>
      </c>
      <c r="G139" s="1747" t="s">
        <v>17</v>
      </c>
      <c r="H139" s="1747" t="s">
        <v>17</v>
      </c>
      <c r="I139" s="1747" t="s">
        <v>1057</v>
      </c>
    </row>
    <row r="140" spans="1:9" ht="11.25" customHeight="1">
      <c r="A140" s="1747" t="s">
        <v>2503</v>
      </c>
      <c r="B140" s="1747" t="s">
        <v>3</v>
      </c>
      <c r="C140" s="1747" t="s">
        <v>2957</v>
      </c>
      <c r="D140" s="1747" t="s">
        <v>2958</v>
      </c>
      <c r="E140" s="1747" t="s">
        <v>2959</v>
      </c>
      <c r="F140" s="1747" t="s">
        <v>2525</v>
      </c>
      <c r="G140" s="1747" t="s">
        <v>17</v>
      </c>
      <c r="H140" s="1747" t="s">
        <v>17</v>
      </c>
      <c r="I140" s="1747" t="s">
        <v>1057</v>
      </c>
    </row>
    <row r="141" spans="1:9" ht="11.25" customHeight="1">
      <c r="A141" s="1747" t="s">
        <v>2503</v>
      </c>
      <c r="B141" s="1747" t="s">
        <v>3</v>
      </c>
      <c r="C141" s="1747" t="s">
        <v>2960</v>
      </c>
      <c r="D141" s="1747" t="s">
        <v>2961</v>
      </c>
      <c r="E141" s="1747" t="s">
        <v>2962</v>
      </c>
      <c r="F141" s="1747" t="s">
        <v>2610</v>
      </c>
      <c r="G141" s="1747" t="s">
        <v>17</v>
      </c>
      <c r="H141" s="1747" t="s">
        <v>17</v>
      </c>
      <c r="I141" s="1747" t="s">
        <v>1057</v>
      </c>
    </row>
    <row r="142" spans="1:9" ht="11.25" customHeight="1">
      <c r="A142" s="1747" t="s">
        <v>2503</v>
      </c>
      <c r="B142" s="1747" t="s">
        <v>3</v>
      </c>
      <c r="C142" s="1747" t="s">
        <v>2963</v>
      </c>
      <c r="D142" s="1747" t="s">
        <v>2964</v>
      </c>
      <c r="E142" s="1747" t="s">
        <v>2965</v>
      </c>
      <c r="F142" s="1747" t="s">
        <v>2563</v>
      </c>
      <c r="G142" s="1747" t="s">
        <v>17</v>
      </c>
      <c r="H142" s="1747" t="s">
        <v>17</v>
      </c>
      <c r="I142" s="1747" t="s">
        <v>1057</v>
      </c>
    </row>
    <row r="143" spans="1:9" ht="11.25" customHeight="1">
      <c r="A143" s="1747" t="s">
        <v>2503</v>
      </c>
      <c r="B143" s="1747" t="s">
        <v>3</v>
      </c>
      <c r="C143" s="1747" t="s">
        <v>2966</v>
      </c>
      <c r="D143" s="1747" t="s">
        <v>2967</v>
      </c>
      <c r="E143" s="1747" t="s">
        <v>2730</v>
      </c>
      <c r="F143" s="1747" t="s">
        <v>2968</v>
      </c>
      <c r="G143" s="1747" t="s">
        <v>17</v>
      </c>
      <c r="H143" s="1747" t="s">
        <v>17</v>
      </c>
      <c r="I143" s="1747" t="s">
        <v>1057</v>
      </c>
    </row>
    <row r="144" spans="1:9" ht="11.25" customHeight="1">
      <c r="A144" s="1747" t="s">
        <v>2503</v>
      </c>
      <c r="B144" s="1747" t="s">
        <v>3</v>
      </c>
      <c r="C144" s="1747" t="s">
        <v>2969</v>
      </c>
      <c r="D144" s="1747" t="s">
        <v>2970</v>
      </c>
      <c r="E144" s="1747" t="s">
        <v>2971</v>
      </c>
      <c r="F144" s="1747" t="s">
        <v>2694</v>
      </c>
      <c r="G144" s="1747" t="s">
        <v>17</v>
      </c>
      <c r="H144" s="1747" t="s">
        <v>17</v>
      </c>
      <c r="I144" s="1747" t="s">
        <v>1057</v>
      </c>
    </row>
    <row r="145" spans="1:9" ht="11.25" customHeight="1">
      <c r="A145" s="1747" t="s">
        <v>2503</v>
      </c>
      <c r="B145" s="1747" t="s">
        <v>3</v>
      </c>
      <c r="C145" s="1747" t="s">
        <v>2972</v>
      </c>
      <c r="D145" s="1747" t="s">
        <v>2973</v>
      </c>
      <c r="E145" s="1747" t="s">
        <v>2974</v>
      </c>
      <c r="F145" s="1747" t="s">
        <v>2539</v>
      </c>
      <c r="G145" s="1747" t="s">
        <v>17</v>
      </c>
      <c r="H145" s="1747" t="s">
        <v>17</v>
      </c>
      <c r="I145" s="1747" t="s">
        <v>1057</v>
      </c>
    </row>
    <row r="146" spans="1:9" ht="11.25" customHeight="1">
      <c r="A146" s="1747" t="s">
        <v>2503</v>
      </c>
      <c r="B146" s="1747" t="s">
        <v>3</v>
      </c>
      <c r="C146" s="1747" t="s">
        <v>2975</v>
      </c>
      <c r="D146" s="1747" t="s">
        <v>2976</v>
      </c>
      <c r="E146" s="1747" t="s">
        <v>2977</v>
      </c>
      <c r="F146" s="1747" t="s">
        <v>2978</v>
      </c>
      <c r="G146" s="1747" t="s">
        <v>17</v>
      </c>
      <c r="H146" s="1747" t="s">
        <v>17</v>
      </c>
      <c r="I146" s="1747" t="s">
        <v>1057</v>
      </c>
    </row>
    <row r="147" spans="1:9" ht="11.25" customHeight="1">
      <c r="A147" s="1747" t="s">
        <v>2503</v>
      </c>
      <c r="B147" s="1747" t="s">
        <v>3</v>
      </c>
      <c r="C147" s="1747" t="s">
        <v>2979</v>
      </c>
      <c r="D147" s="1747" t="s">
        <v>2980</v>
      </c>
      <c r="E147" s="1747" t="s">
        <v>2981</v>
      </c>
      <c r="F147" s="1747" t="s">
        <v>2982</v>
      </c>
      <c r="G147" s="1747" t="s">
        <v>17</v>
      </c>
      <c r="H147" s="1747" t="s">
        <v>17</v>
      </c>
      <c r="I147" s="1747" t="s">
        <v>1057</v>
      </c>
    </row>
    <row r="148" spans="1:9" ht="11.25" customHeight="1">
      <c r="A148" s="1747" t="s">
        <v>2503</v>
      </c>
      <c r="B148" s="1747" t="s">
        <v>3</v>
      </c>
      <c r="C148" s="1747" t="s">
        <v>2983</v>
      </c>
      <c r="D148" s="1747" t="s">
        <v>2984</v>
      </c>
      <c r="E148" s="1747" t="s">
        <v>2985</v>
      </c>
      <c r="F148" s="1747" t="s">
        <v>2735</v>
      </c>
      <c r="G148" s="1747" t="s">
        <v>17</v>
      </c>
      <c r="H148" s="1747" t="s">
        <v>17</v>
      </c>
      <c r="I148" s="1747" t="s">
        <v>1057</v>
      </c>
    </row>
    <row r="149" spans="1:9" ht="11.25" customHeight="1">
      <c r="A149" s="1747" t="s">
        <v>2503</v>
      </c>
      <c r="B149" s="1747" t="s">
        <v>3</v>
      </c>
      <c r="C149" s="1747" t="s">
        <v>2986</v>
      </c>
      <c r="D149" s="1747" t="s">
        <v>2987</v>
      </c>
      <c r="E149" s="1747" t="s">
        <v>2988</v>
      </c>
      <c r="F149" s="1747" t="s">
        <v>2735</v>
      </c>
      <c r="G149" s="1747" t="s">
        <v>17</v>
      </c>
      <c r="H149" s="1747" t="s">
        <v>17</v>
      </c>
      <c r="I149" s="1747" t="s">
        <v>1057</v>
      </c>
    </row>
    <row r="150" spans="1:9" ht="11.25" customHeight="1">
      <c r="A150" s="1747" t="s">
        <v>2503</v>
      </c>
      <c r="B150" s="1747" t="s">
        <v>3</v>
      </c>
      <c r="C150" s="1747" t="s">
        <v>2989</v>
      </c>
      <c r="D150" s="1747" t="s">
        <v>2990</v>
      </c>
      <c r="E150" s="1747" t="s">
        <v>2991</v>
      </c>
      <c r="F150" s="1747" t="s">
        <v>2525</v>
      </c>
      <c r="G150" s="1747" t="s">
        <v>17</v>
      </c>
      <c r="H150" s="1747" t="s">
        <v>17</v>
      </c>
      <c r="I150" s="1747" t="s">
        <v>1057</v>
      </c>
    </row>
    <row r="151" spans="1:9" ht="11.25" customHeight="1">
      <c r="A151" s="1747" t="s">
        <v>2503</v>
      </c>
      <c r="B151" s="1747" t="s">
        <v>3</v>
      </c>
      <c r="C151" s="1747" t="s">
        <v>2992</v>
      </c>
      <c r="D151" s="1747" t="s">
        <v>2993</v>
      </c>
      <c r="E151" s="1747" t="s">
        <v>2994</v>
      </c>
      <c r="F151" s="1747" t="s">
        <v>2995</v>
      </c>
      <c r="G151" s="1747" t="s">
        <v>17</v>
      </c>
      <c r="H151" s="1747" t="s">
        <v>17</v>
      </c>
      <c r="I151" s="1747" t="s">
        <v>1057</v>
      </c>
    </row>
    <row r="152" spans="1:9" ht="11.25" customHeight="1">
      <c r="A152" s="1747" t="s">
        <v>2503</v>
      </c>
      <c r="B152" s="1747" t="s">
        <v>3</v>
      </c>
      <c r="C152" s="1747" t="s">
        <v>2996</v>
      </c>
      <c r="D152" s="1747" t="s">
        <v>2997</v>
      </c>
      <c r="E152" s="1747" t="s">
        <v>2998</v>
      </c>
      <c r="F152" s="1747" t="s">
        <v>2953</v>
      </c>
      <c r="G152" s="1747" t="s">
        <v>17</v>
      </c>
      <c r="H152" s="1747" t="s">
        <v>17</v>
      </c>
      <c r="I152" s="1747" t="s">
        <v>1057</v>
      </c>
    </row>
    <row r="153" spans="1:9" ht="11.25" customHeight="1">
      <c r="A153" s="1747" t="s">
        <v>2503</v>
      </c>
      <c r="B153" s="1747" t="s">
        <v>3</v>
      </c>
      <c r="C153" s="1747" t="s">
        <v>2999</v>
      </c>
      <c r="D153" s="1747" t="s">
        <v>3000</v>
      </c>
      <c r="E153" s="1747" t="s">
        <v>3001</v>
      </c>
      <c r="F153" s="1747" t="s">
        <v>3002</v>
      </c>
      <c r="G153" s="1747" t="s">
        <v>17</v>
      </c>
      <c r="H153" s="1747" t="s">
        <v>17</v>
      </c>
      <c r="I153" s="1747" t="s">
        <v>1057</v>
      </c>
    </row>
    <row r="154" spans="1:9" ht="11.25" customHeight="1">
      <c r="A154" s="1747" t="s">
        <v>2503</v>
      </c>
      <c r="B154" s="1747" t="s">
        <v>3</v>
      </c>
      <c r="C154" s="1747" t="s">
        <v>3003</v>
      </c>
      <c r="D154" s="1747" t="s">
        <v>3004</v>
      </c>
      <c r="E154" s="1747" t="s">
        <v>2971</v>
      </c>
      <c r="F154" s="1747" t="s">
        <v>3005</v>
      </c>
      <c r="G154" s="1747" t="s">
        <v>17</v>
      </c>
      <c r="H154" s="1747" t="s">
        <v>17</v>
      </c>
      <c r="I154" s="1747" t="s">
        <v>1057</v>
      </c>
    </row>
    <row r="155" spans="1:9" ht="11.25" customHeight="1">
      <c r="A155" s="1747" t="s">
        <v>2503</v>
      </c>
      <c r="B155" s="1747" t="s">
        <v>3</v>
      </c>
      <c r="C155" s="1747" t="s">
        <v>3006</v>
      </c>
      <c r="D155" s="1747" t="s">
        <v>3007</v>
      </c>
      <c r="E155" s="1747" t="s">
        <v>2971</v>
      </c>
      <c r="F155" s="1747" t="s">
        <v>3008</v>
      </c>
      <c r="G155" s="1747" t="s">
        <v>17</v>
      </c>
      <c r="H155" s="1747" t="s">
        <v>17</v>
      </c>
      <c r="I155" s="1747" t="s">
        <v>1057</v>
      </c>
    </row>
    <row r="156" spans="1:9" ht="11.25" customHeight="1">
      <c r="A156" s="1747" t="s">
        <v>2503</v>
      </c>
      <c r="B156" s="1747" t="s">
        <v>3</v>
      </c>
      <c r="C156" s="1747" t="s">
        <v>2504</v>
      </c>
      <c r="D156" s="1747" t="s">
        <v>2505</v>
      </c>
      <c r="E156" s="1747" t="s">
        <v>2506</v>
      </c>
      <c r="F156" s="1747" t="s">
        <v>2507</v>
      </c>
      <c r="G156" s="1747" t="s">
        <v>17</v>
      </c>
      <c r="H156" s="1747" t="s">
        <v>17</v>
      </c>
      <c r="I156" s="1747" t="s">
        <v>1143</v>
      </c>
    </row>
    <row r="157" spans="1:9" ht="11.25" customHeight="1">
      <c r="A157" s="1747" t="s">
        <v>2503</v>
      </c>
      <c r="B157" s="1747" t="s">
        <v>3</v>
      </c>
      <c r="C157" s="1747" t="s">
        <v>2508</v>
      </c>
      <c r="D157" s="1747" t="s">
        <v>2505</v>
      </c>
      <c r="E157" s="1747" t="s">
        <v>2506</v>
      </c>
      <c r="F157" s="1747" t="s">
        <v>2509</v>
      </c>
      <c r="G157" s="1747" t="s">
        <v>17</v>
      </c>
      <c r="H157" s="1747" t="s">
        <v>17</v>
      </c>
      <c r="I157" s="1747" t="s">
        <v>1143</v>
      </c>
    </row>
    <row r="158" spans="1:9" ht="11.25" customHeight="1">
      <c r="A158" s="1747" t="s">
        <v>2503</v>
      </c>
      <c r="B158" s="1747" t="s">
        <v>3</v>
      </c>
      <c r="C158" s="1747" t="s">
        <v>2529</v>
      </c>
      <c r="D158" s="1747" t="s">
        <v>2530</v>
      </c>
      <c r="E158" s="1747" t="s">
        <v>2531</v>
      </c>
      <c r="F158" s="1747" t="s">
        <v>2509</v>
      </c>
      <c r="G158" s="1747" t="s">
        <v>17</v>
      </c>
      <c r="H158" s="1747" t="s">
        <v>17</v>
      </c>
      <c r="I158" s="1747" t="s">
        <v>1143</v>
      </c>
    </row>
    <row r="159" spans="1:9" ht="11.25" customHeight="1">
      <c r="A159" s="1747" t="s">
        <v>2503</v>
      </c>
      <c r="B159" s="1747" t="s">
        <v>3</v>
      </c>
      <c r="C159" s="1747" t="s">
        <v>2532</v>
      </c>
      <c r="D159" s="1747" t="s">
        <v>2533</v>
      </c>
      <c r="E159" s="1747" t="s">
        <v>2534</v>
      </c>
      <c r="F159" s="1747" t="s">
        <v>2535</v>
      </c>
      <c r="G159" s="1747" t="s">
        <v>17</v>
      </c>
      <c r="H159" s="1747" t="s">
        <v>17</v>
      </c>
      <c r="I159" s="1747" t="s">
        <v>1143</v>
      </c>
    </row>
    <row r="160" spans="1:9" ht="11.25" customHeight="1">
      <c r="A160" s="1747" t="s">
        <v>2503</v>
      </c>
      <c r="B160" s="1747" t="s">
        <v>3</v>
      </c>
      <c r="C160" s="1747" t="s">
        <v>2536</v>
      </c>
      <c r="D160" s="1747" t="s">
        <v>2537</v>
      </c>
      <c r="E160" s="1747" t="s">
        <v>2538</v>
      </c>
      <c r="F160" s="1747" t="s">
        <v>2539</v>
      </c>
      <c r="G160" s="1747" t="s">
        <v>17</v>
      </c>
      <c r="H160" s="1747" t="s">
        <v>17</v>
      </c>
      <c r="I160" s="1747" t="s">
        <v>1143</v>
      </c>
    </row>
    <row r="161" spans="1:9" ht="11.25" customHeight="1">
      <c r="A161" s="1747" t="s">
        <v>2503</v>
      </c>
      <c r="B161" s="1747" t="s">
        <v>3</v>
      </c>
      <c r="C161" s="1747" t="s">
        <v>2547</v>
      </c>
      <c r="D161" s="1747" t="s">
        <v>2548</v>
      </c>
      <c r="E161" s="1747" t="s">
        <v>2549</v>
      </c>
      <c r="F161" s="1747" t="s">
        <v>2550</v>
      </c>
      <c r="G161" s="1747" t="s">
        <v>2551</v>
      </c>
      <c r="H161" s="1747" t="s">
        <v>17</v>
      </c>
      <c r="I161" s="1747" t="s">
        <v>1143</v>
      </c>
    </row>
    <row r="162" spans="1:9" ht="11.25" customHeight="1">
      <c r="A162" s="1747" t="s">
        <v>2503</v>
      </c>
      <c r="B162" s="1747" t="s">
        <v>3</v>
      </c>
      <c r="C162" s="1747" t="s">
        <v>2552</v>
      </c>
      <c r="D162" s="1747" t="s">
        <v>2553</v>
      </c>
      <c r="E162" s="1747" t="s">
        <v>2554</v>
      </c>
      <c r="F162" s="1747" t="s">
        <v>2555</v>
      </c>
      <c r="G162" s="1747" t="s">
        <v>17</v>
      </c>
      <c r="H162" s="1747" t="s">
        <v>17</v>
      </c>
      <c r="I162" s="1747" t="s">
        <v>1143</v>
      </c>
    </row>
    <row r="163" spans="1:9" ht="11.25" customHeight="1">
      <c r="A163" s="1747" t="s">
        <v>2503</v>
      </c>
      <c r="B163" s="1747" t="s">
        <v>3</v>
      </c>
      <c r="C163" s="1747" t="s">
        <v>2560</v>
      </c>
      <c r="D163" s="1747" t="s">
        <v>2561</v>
      </c>
      <c r="E163" s="1747" t="s">
        <v>2562</v>
      </c>
      <c r="F163" s="1747" t="s">
        <v>2563</v>
      </c>
      <c r="G163" s="1747" t="s">
        <v>17</v>
      </c>
      <c r="H163" s="1747" t="s">
        <v>17</v>
      </c>
      <c r="I163" s="1747" t="s">
        <v>1143</v>
      </c>
    </row>
    <row r="164" spans="1:9" ht="11.25" customHeight="1">
      <c r="A164" s="1747" t="s">
        <v>2503</v>
      </c>
      <c r="B164" s="1747" t="s">
        <v>3</v>
      </c>
      <c r="C164" s="1747" t="s">
        <v>2568</v>
      </c>
      <c r="D164" s="1747" t="s">
        <v>2569</v>
      </c>
      <c r="E164" s="1747" t="s">
        <v>2570</v>
      </c>
      <c r="F164" s="1747" t="s">
        <v>45</v>
      </c>
      <c r="G164" s="1747" t="s">
        <v>17</v>
      </c>
      <c r="H164" s="1747" t="s">
        <v>17</v>
      </c>
      <c r="I164" s="1747" t="s">
        <v>1143</v>
      </c>
    </row>
    <row r="165" spans="1:9" ht="11.25" customHeight="1">
      <c r="A165" s="1747" t="s">
        <v>2503</v>
      </c>
      <c r="B165" s="1747" t="s">
        <v>3</v>
      </c>
      <c r="C165" s="1747" t="s">
        <v>17</v>
      </c>
      <c r="D165" s="1747" t="s">
        <v>2605</v>
      </c>
      <c r="E165" s="1747" t="s">
        <v>2606</v>
      </c>
      <c r="F165" s="1747" t="s">
        <v>2550</v>
      </c>
      <c r="G165" s="1747" t="s">
        <v>17</v>
      </c>
      <c r="H165" s="1747" t="s">
        <v>17</v>
      </c>
      <c r="I165" s="1747" t="s">
        <v>1143</v>
      </c>
    </row>
    <row r="166" spans="1:9" ht="11.25" customHeight="1">
      <c r="A166" s="1747" t="s">
        <v>2503</v>
      </c>
      <c r="B166" s="1747" t="s">
        <v>3</v>
      </c>
      <c r="C166" s="1747" t="s">
        <v>2633</v>
      </c>
      <c r="D166" s="1747" t="s">
        <v>2634</v>
      </c>
      <c r="E166" s="1747" t="s">
        <v>2635</v>
      </c>
      <c r="F166" s="1747" t="s">
        <v>2525</v>
      </c>
      <c r="G166" s="1747" t="s">
        <v>17</v>
      </c>
      <c r="H166" s="1747" t="s">
        <v>17</v>
      </c>
      <c r="I166" s="1747" t="s">
        <v>1143</v>
      </c>
    </row>
    <row r="167" spans="1:9" ht="11.25" customHeight="1">
      <c r="A167" s="1747" t="s">
        <v>2503</v>
      </c>
      <c r="B167" s="1747" t="s">
        <v>3</v>
      </c>
      <c r="C167" s="1747" t="s">
        <v>2636</v>
      </c>
      <c r="D167" s="1747" t="s">
        <v>2637</v>
      </c>
      <c r="E167" s="1747" t="s">
        <v>2638</v>
      </c>
      <c r="F167" s="1747" t="s">
        <v>2639</v>
      </c>
      <c r="G167" s="1747" t="s">
        <v>2640</v>
      </c>
      <c r="H167" s="1747" t="s">
        <v>17</v>
      </c>
      <c r="I167" s="1747" t="s">
        <v>1143</v>
      </c>
    </row>
    <row r="168" spans="1:9" ht="11.25" customHeight="1">
      <c r="A168" s="1747" t="s">
        <v>2503</v>
      </c>
      <c r="B168" s="1747" t="s">
        <v>3</v>
      </c>
      <c r="C168" s="1747" t="s">
        <v>3009</v>
      </c>
      <c r="D168" s="1747" t="s">
        <v>3010</v>
      </c>
      <c r="E168" s="1747" t="s">
        <v>3011</v>
      </c>
      <c r="F168" s="1747" t="s">
        <v>3012</v>
      </c>
      <c r="G168" s="1747" t="s">
        <v>17</v>
      </c>
      <c r="H168" s="1747" t="s">
        <v>3013</v>
      </c>
      <c r="I168" s="1747" t="s">
        <v>1143</v>
      </c>
    </row>
    <row r="169" spans="1:9" ht="11.25" customHeight="1">
      <c r="A169" s="1747" t="s">
        <v>2503</v>
      </c>
      <c r="B169" s="1747" t="s">
        <v>3</v>
      </c>
      <c r="C169" s="1747" t="s">
        <v>2646</v>
      </c>
      <c r="D169" s="1747" t="s">
        <v>2647</v>
      </c>
      <c r="E169" s="1747" t="s">
        <v>2648</v>
      </c>
      <c r="F169" s="1747" t="s">
        <v>2614</v>
      </c>
      <c r="G169" s="1747" t="s">
        <v>17</v>
      </c>
      <c r="H169" s="1747" t="s">
        <v>2649</v>
      </c>
      <c r="I169" s="1747" t="s">
        <v>1143</v>
      </c>
    </row>
    <row r="170" spans="1:9" ht="11.25" customHeight="1">
      <c r="A170" s="1747" t="s">
        <v>2503</v>
      </c>
      <c r="B170" s="1747" t="s">
        <v>3</v>
      </c>
      <c r="C170" s="1747" t="s">
        <v>2653</v>
      </c>
      <c r="D170" s="1747" t="s">
        <v>2647</v>
      </c>
      <c r="E170" s="1747" t="s">
        <v>2654</v>
      </c>
      <c r="F170" s="1747" t="s">
        <v>2655</v>
      </c>
      <c r="G170" s="1747" t="s">
        <v>17</v>
      </c>
      <c r="H170" s="1747" t="s">
        <v>17</v>
      </c>
      <c r="I170" s="1747" t="s">
        <v>1143</v>
      </c>
    </row>
    <row r="171" spans="1:9" ht="11.25" customHeight="1">
      <c r="A171" s="1747" t="s">
        <v>2503</v>
      </c>
      <c r="B171" s="1747" t="s">
        <v>3</v>
      </c>
      <c r="C171" s="1747" t="s">
        <v>2661</v>
      </c>
      <c r="D171" s="1747" t="s">
        <v>2662</v>
      </c>
      <c r="E171" s="1747" t="s">
        <v>2663</v>
      </c>
      <c r="F171" s="1747" t="s">
        <v>2559</v>
      </c>
      <c r="G171" s="1747" t="s">
        <v>17</v>
      </c>
      <c r="H171" s="1747" t="s">
        <v>17</v>
      </c>
      <c r="I171" s="1747" t="s">
        <v>1143</v>
      </c>
    </row>
    <row r="172" spans="1:9" ht="11.25" customHeight="1">
      <c r="A172" s="1747" t="s">
        <v>2503</v>
      </c>
      <c r="B172" s="1747" t="s">
        <v>3</v>
      </c>
      <c r="C172" s="1747" t="s">
        <v>2664</v>
      </c>
      <c r="D172" s="1747" t="s">
        <v>2665</v>
      </c>
      <c r="E172" s="1747" t="s">
        <v>2666</v>
      </c>
      <c r="F172" s="1747" t="s">
        <v>2525</v>
      </c>
      <c r="G172" s="1747" t="s">
        <v>17</v>
      </c>
      <c r="H172" s="1747" t="s">
        <v>17</v>
      </c>
      <c r="I172" s="1747" t="s">
        <v>1143</v>
      </c>
    </row>
    <row r="173" spans="1:9" ht="11.25" customHeight="1">
      <c r="A173" s="1747" t="s">
        <v>2503</v>
      </c>
      <c r="B173" s="1747" t="s">
        <v>3</v>
      </c>
      <c r="C173" s="1747" t="s">
        <v>2670</v>
      </c>
      <c r="D173" s="1747" t="s">
        <v>2671</v>
      </c>
      <c r="E173" s="1747" t="s">
        <v>2672</v>
      </c>
      <c r="F173" s="1747" t="s">
        <v>2525</v>
      </c>
      <c r="G173" s="1747" t="s">
        <v>2673</v>
      </c>
      <c r="H173" s="1747" t="s">
        <v>17</v>
      </c>
      <c r="I173" s="1747" t="s">
        <v>1143</v>
      </c>
    </row>
    <row r="174" spans="1:9" ht="11.25" customHeight="1">
      <c r="A174" s="1747" t="s">
        <v>2503</v>
      </c>
      <c r="B174" s="1747" t="s">
        <v>3</v>
      </c>
      <c r="C174" s="1747" t="s">
        <v>2677</v>
      </c>
      <c r="D174" s="1747" t="s">
        <v>2678</v>
      </c>
      <c r="E174" s="1747" t="s">
        <v>2679</v>
      </c>
      <c r="F174" s="1747" t="s">
        <v>2550</v>
      </c>
      <c r="G174" s="1747" t="s">
        <v>17</v>
      </c>
      <c r="H174" s="1747" t="s">
        <v>17</v>
      </c>
      <c r="I174" s="1747" t="s">
        <v>1143</v>
      </c>
    </row>
    <row r="175" spans="1:9" ht="11.25" customHeight="1">
      <c r="A175" s="1747" t="s">
        <v>2503</v>
      </c>
      <c r="B175" s="1747" t="s">
        <v>3</v>
      </c>
      <c r="C175" s="1747" t="s">
        <v>2680</v>
      </c>
      <c r="D175" s="1747" t="s">
        <v>2681</v>
      </c>
      <c r="E175" s="1747" t="s">
        <v>2682</v>
      </c>
      <c r="F175" s="1747" t="s">
        <v>2683</v>
      </c>
      <c r="G175" s="1747" t="s">
        <v>17</v>
      </c>
      <c r="H175" s="1747" t="s">
        <v>17</v>
      </c>
      <c r="I175" s="1747" t="s">
        <v>1143</v>
      </c>
    </row>
    <row r="176" spans="1:9" ht="11.25" customHeight="1">
      <c r="A176" s="1747" t="s">
        <v>2503</v>
      </c>
      <c r="B176" s="1747" t="s">
        <v>3</v>
      </c>
      <c r="C176" s="1747" t="s">
        <v>2684</v>
      </c>
      <c r="D176" s="1747" t="s">
        <v>2685</v>
      </c>
      <c r="E176" s="1747" t="s">
        <v>2686</v>
      </c>
      <c r="F176" s="1747" t="s">
        <v>2621</v>
      </c>
      <c r="G176" s="1747" t="s">
        <v>2687</v>
      </c>
      <c r="H176" s="1747" t="s">
        <v>17</v>
      </c>
      <c r="I176" s="1747" t="s">
        <v>1143</v>
      </c>
    </row>
    <row r="177" spans="1:9" ht="11.25" customHeight="1">
      <c r="A177" s="1747" t="s">
        <v>2503</v>
      </c>
      <c r="B177" s="1747" t="s">
        <v>3</v>
      </c>
      <c r="C177" s="1747" t="s">
        <v>2691</v>
      </c>
      <c r="D177" s="1747" t="s">
        <v>2692</v>
      </c>
      <c r="E177" s="1747" t="s">
        <v>2693</v>
      </c>
      <c r="F177" s="1747" t="s">
        <v>2694</v>
      </c>
      <c r="G177" s="1747" t="s">
        <v>2695</v>
      </c>
      <c r="H177" s="1747" t="s">
        <v>17</v>
      </c>
      <c r="I177" s="1747" t="s">
        <v>1143</v>
      </c>
    </row>
    <row r="178" spans="1:9" ht="11.25" customHeight="1">
      <c r="A178" s="1747" t="s">
        <v>2503</v>
      </c>
      <c r="B178" s="1747" t="s">
        <v>3</v>
      </c>
      <c r="C178" s="1747" t="s">
        <v>3014</v>
      </c>
      <c r="D178" s="1747" t="s">
        <v>3015</v>
      </c>
      <c r="E178" s="1747" t="s">
        <v>3016</v>
      </c>
      <c r="F178" s="1747" t="s">
        <v>2563</v>
      </c>
      <c r="G178" s="1747" t="s">
        <v>17</v>
      </c>
      <c r="H178" s="1747" t="s">
        <v>2604</v>
      </c>
      <c r="I178" s="1747" t="s">
        <v>1143</v>
      </c>
    </row>
    <row r="179" spans="1:9" ht="11.25" customHeight="1">
      <c r="A179" s="1747" t="s">
        <v>2503</v>
      </c>
      <c r="B179" s="1747" t="s">
        <v>3</v>
      </c>
      <c r="C179" s="1747" t="s">
        <v>2700</v>
      </c>
      <c r="D179" s="1747" t="s">
        <v>2701</v>
      </c>
      <c r="E179" s="1747" t="s">
        <v>2702</v>
      </c>
      <c r="F179" s="1747" t="s">
        <v>2614</v>
      </c>
      <c r="G179" s="1747" t="s">
        <v>17</v>
      </c>
      <c r="H179" s="1747" t="s">
        <v>17</v>
      </c>
      <c r="I179" s="1747" t="s">
        <v>1143</v>
      </c>
    </row>
    <row r="180" spans="1:9" ht="11.25" customHeight="1">
      <c r="A180" s="1747" t="s">
        <v>2503</v>
      </c>
      <c r="B180" s="1747" t="s">
        <v>3</v>
      </c>
      <c r="C180" s="1747" t="s">
        <v>2706</v>
      </c>
      <c r="D180" s="1747" t="s">
        <v>2707</v>
      </c>
      <c r="E180" s="1747" t="s">
        <v>2708</v>
      </c>
      <c r="F180" s="1747" t="s">
        <v>2525</v>
      </c>
      <c r="G180" s="1747" t="s">
        <v>17</v>
      </c>
      <c r="H180" s="1747" t="s">
        <v>17</v>
      </c>
      <c r="I180" s="1747" t="s">
        <v>1143</v>
      </c>
    </row>
    <row r="181" spans="1:9" ht="11.25" customHeight="1">
      <c r="A181" s="1747" t="s">
        <v>2503</v>
      </c>
      <c r="B181" s="1747" t="s">
        <v>3</v>
      </c>
      <c r="C181" s="1747" t="s">
        <v>2728</v>
      </c>
      <c r="D181" s="1747" t="s">
        <v>2729</v>
      </c>
      <c r="E181" s="1747" t="s">
        <v>2730</v>
      </c>
      <c r="F181" s="1747" t="s">
        <v>2731</v>
      </c>
      <c r="G181" s="1747" t="s">
        <v>17</v>
      </c>
      <c r="H181" s="1747" t="s">
        <v>17</v>
      </c>
      <c r="I181" s="1747" t="s">
        <v>1143</v>
      </c>
    </row>
    <row r="182" spans="1:9" ht="11.25" customHeight="1">
      <c r="A182" s="1747" t="s">
        <v>2503</v>
      </c>
      <c r="B182" s="1747" t="s">
        <v>3</v>
      </c>
      <c r="C182" s="1747" t="s">
        <v>2732</v>
      </c>
      <c r="D182" s="1747" t="s">
        <v>2733</v>
      </c>
      <c r="E182" s="1747" t="s">
        <v>2734</v>
      </c>
      <c r="F182" s="1747" t="s">
        <v>2735</v>
      </c>
      <c r="G182" s="1747" t="s">
        <v>17</v>
      </c>
      <c r="H182" s="1747" t="s">
        <v>17</v>
      </c>
      <c r="I182" s="1747" t="s">
        <v>1143</v>
      </c>
    </row>
    <row r="183" spans="1:9" ht="11.25" customHeight="1">
      <c r="A183" s="1747" t="s">
        <v>2503</v>
      </c>
      <c r="B183" s="1747" t="s">
        <v>3</v>
      </c>
      <c r="C183" s="1747" t="s">
        <v>2736</v>
      </c>
      <c r="D183" s="1747" t="s">
        <v>2737</v>
      </c>
      <c r="E183" s="1747" t="s">
        <v>2738</v>
      </c>
      <c r="F183" s="1747" t="s">
        <v>2683</v>
      </c>
      <c r="G183" s="1747" t="s">
        <v>17</v>
      </c>
      <c r="H183" s="1747" t="s">
        <v>17</v>
      </c>
      <c r="I183" s="1747" t="s">
        <v>1143</v>
      </c>
    </row>
    <row r="184" spans="1:9" ht="11.25" customHeight="1">
      <c r="A184" s="1747" t="s">
        <v>2503</v>
      </c>
      <c r="B184" s="1747" t="s">
        <v>3</v>
      </c>
      <c r="C184" s="1747" t="s">
        <v>2755</v>
      </c>
      <c r="D184" s="1747" t="s">
        <v>2756</v>
      </c>
      <c r="E184" s="1747" t="s">
        <v>2757</v>
      </c>
      <c r="F184" s="1747" t="s">
        <v>2550</v>
      </c>
      <c r="G184" s="1747" t="s">
        <v>17</v>
      </c>
      <c r="H184" s="1747" t="s">
        <v>17</v>
      </c>
      <c r="I184" s="1747" t="s">
        <v>1143</v>
      </c>
    </row>
    <row r="185" spans="1:9" ht="11.25" customHeight="1">
      <c r="A185" s="1747" t="s">
        <v>2503</v>
      </c>
      <c r="B185" s="1747" t="s">
        <v>3</v>
      </c>
      <c r="C185" s="1747" t="s">
        <v>2761</v>
      </c>
      <c r="D185" s="1747" t="s">
        <v>2762</v>
      </c>
      <c r="E185" s="1747" t="s">
        <v>2763</v>
      </c>
      <c r="F185" s="1747" t="s">
        <v>45</v>
      </c>
      <c r="G185" s="1747" t="s">
        <v>17</v>
      </c>
      <c r="H185" s="1747" t="s">
        <v>17</v>
      </c>
      <c r="I185" s="1747" t="s">
        <v>1143</v>
      </c>
    </row>
    <row r="186" spans="1:9" ht="11.25" customHeight="1">
      <c r="A186" s="1747" t="s">
        <v>2503</v>
      </c>
      <c r="B186" s="1747" t="s">
        <v>3</v>
      </c>
      <c r="C186" s="1747" t="s">
        <v>2764</v>
      </c>
      <c r="D186" s="1747" t="s">
        <v>2765</v>
      </c>
      <c r="E186" s="1747" t="s">
        <v>2766</v>
      </c>
      <c r="F186" s="1747" t="s">
        <v>2767</v>
      </c>
      <c r="G186" s="1747" t="s">
        <v>17</v>
      </c>
      <c r="H186" s="1747" t="s">
        <v>17</v>
      </c>
      <c r="I186" s="1747" t="s">
        <v>1143</v>
      </c>
    </row>
    <row r="187" spans="1:9" ht="11.25" customHeight="1">
      <c r="A187" s="1747" t="s">
        <v>2503</v>
      </c>
      <c r="B187" s="1747" t="s">
        <v>3</v>
      </c>
      <c r="C187" s="1747" t="s">
        <v>2771</v>
      </c>
      <c r="D187" s="1747" t="s">
        <v>2772</v>
      </c>
      <c r="E187" s="1747" t="s">
        <v>2773</v>
      </c>
      <c r="F187" s="1747" t="s">
        <v>2694</v>
      </c>
      <c r="G187" s="1747" t="s">
        <v>17</v>
      </c>
      <c r="H187" s="1747" t="s">
        <v>17</v>
      </c>
      <c r="I187" s="1747" t="s">
        <v>1143</v>
      </c>
    </row>
    <row r="188" spans="1:9" ht="11.25" customHeight="1">
      <c r="A188" s="1747" t="s">
        <v>2503</v>
      </c>
      <c r="B188" s="1747" t="s">
        <v>3</v>
      </c>
      <c r="C188" s="1747" t="s">
        <v>2780</v>
      </c>
      <c r="D188" s="1747" t="s">
        <v>2781</v>
      </c>
      <c r="E188" s="1747" t="s">
        <v>2782</v>
      </c>
      <c r="F188" s="1747" t="s">
        <v>2694</v>
      </c>
      <c r="G188" s="1747" t="s">
        <v>17</v>
      </c>
      <c r="H188" s="1747" t="s">
        <v>17</v>
      </c>
      <c r="I188" s="1747" t="s">
        <v>1143</v>
      </c>
    </row>
    <row r="189" spans="1:9" ht="11.25" customHeight="1">
      <c r="A189" s="1747" t="s">
        <v>2503</v>
      </c>
      <c r="B189" s="1747" t="s">
        <v>3</v>
      </c>
      <c r="C189" s="1747" t="s">
        <v>2783</v>
      </c>
      <c r="D189" s="1747" t="s">
        <v>2784</v>
      </c>
      <c r="E189" s="1747" t="s">
        <v>2785</v>
      </c>
      <c r="F189" s="1747" t="s">
        <v>2550</v>
      </c>
      <c r="G189" s="1747" t="s">
        <v>17</v>
      </c>
      <c r="H189" s="1747" t="s">
        <v>17</v>
      </c>
      <c r="I189" s="1747" t="s">
        <v>1143</v>
      </c>
    </row>
    <row r="190" spans="1:9" ht="11.25" customHeight="1">
      <c r="A190" s="1747" t="s">
        <v>2503</v>
      </c>
      <c r="B190" s="1747" t="s">
        <v>3</v>
      </c>
      <c r="C190" s="1747" t="s">
        <v>2795</v>
      </c>
      <c r="D190" s="1747" t="s">
        <v>2796</v>
      </c>
      <c r="E190" s="1747" t="s">
        <v>2797</v>
      </c>
      <c r="F190" s="1747" t="s">
        <v>2735</v>
      </c>
      <c r="G190" s="1747" t="s">
        <v>17</v>
      </c>
      <c r="H190" s="1747" t="s">
        <v>17</v>
      </c>
      <c r="I190" s="1747" t="s">
        <v>1143</v>
      </c>
    </row>
    <row r="191" spans="1:9" ht="11.25" customHeight="1">
      <c r="A191" s="1747" t="s">
        <v>2503</v>
      </c>
      <c r="B191" s="1747" t="s">
        <v>3</v>
      </c>
      <c r="C191" s="1747" t="s">
        <v>2798</v>
      </c>
      <c r="D191" s="1747" t="s">
        <v>2799</v>
      </c>
      <c r="E191" s="1747" t="s">
        <v>2800</v>
      </c>
      <c r="F191" s="1747" t="s">
        <v>2563</v>
      </c>
      <c r="G191" s="1747" t="s">
        <v>17</v>
      </c>
      <c r="H191" s="1747" t="s">
        <v>17</v>
      </c>
      <c r="I191" s="1747" t="s">
        <v>1143</v>
      </c>
    </row>
    <row r="192" spans="1:9" ht="11.25" customHeight="1">
      <c r="A192" s="1747" t="s">
        <v>2503</v>
      </c>
      <c r="B192" s="1747" t="s">
        <v>3</v>
      </c>
      <c r="C192" s="1747" t="s">
        <v>2808</v>
      </c>
      <c r="D192" s="1747" t="s">
        <v>2809</v>
      </c>
      <c r="E192" s="1747" t="s">
        <v>2810</v>
      </c>
      <c r="F192" s="1747" t="s">
        <v>2525</v>
      </c>
      <c r="G192" s="1747" t="s">
        <v>2807</v>
      </c>
      <c r="H192" s="1747" t="s">
        <v>17</v>
      </c>
      <c r="I192" s="1747" t="s">
        <v>1143</v>
      </c>
    </row>
    <row r="193" spans="1:9" ht="11.25" customHeight="1">
      <c r="A193" s="1747" t="s">
        <v>2503</v>
      </c>
      <c r="B193" s="1747" t="s">
        <v>3</v>
      </c>
      <c r="C193" s="1747" t="s">
        <v>2811</v>
      </c>
      <c r="D193" s="1747" t="s">
        <v>2812</v>
      </c>
      <c r="E193" s="1747" t="s">
        <v>2813</v>
      </c>
      <c r="F193" s="1747" t="s">
        <v>2621</v>
      </c>
      <c r="G193" s="1747" t="s">
        <v>17</v>
      </c>
      <c r="H193" s="1747" t="s">
        <v>17</v>
      </c>
      <c r="I193" s="1747" t="s">
        <v>1143</v>
      </c>
    </row>
    <row r="194" spans="1:9" ht="11.25" customHeight="1">
      <c r="A194" s="1747" t="s">
        <v>2503</v>
      </c>
      <c r="B194" s="1747" t="s">
        <v>3</v>
      </c>
      <c r="C194" s="1747" t="s">
        <v>2818</v>
      </c>
      <c r="D194" s="1747" t="s">
        <v>2819</v>
      </c>
      <c r="E194" s="1747" t="s">
        <v>2820</v>
      </c>
      <c r="F194" s="1747" t="s">
        <v>2525</v>
      </c>
      <c r="G194" s="1747" t="s">
        <v>17</v>
      </c>
      <c r="H194" s="1747" t="s">
        <v>17</v>
      </c>
      <c r="I194" s="1747" t="s">
        <v>1143</v>
      </c>
    </row>
    <row r="195" spans="1:9" ht="11.25" customHeight="1">
      <c r="A195" s="1747" t="s">
        <v>2503</v>
      </c>
      <c r="B195" s="1747" t="s">
        <v>3</v>
      </c>
      <c r="C195" s="1747" t="s">
        <v>2821</v>
      </c>
      <c r="D195" s="1747" t="s">
        <v>2822</v>
      </c>
      <c r="E195" s="1747" t="s">
        <v>2823</v>
      </c>
      <c r="F195" s="1747" t="s">
        <v>2525</v>
      </c>
      <c r="G195" s="1747" t="s">
        <v>17</v>
      </c>
      <c r="H195" s="1747" t="s">
        <v>17</v>
      </c>
      <c r="I195" s="1747" t="s">
        <v>1143</v>
      </c>
    </row>
    <row r="196" spans="1:9" ht="11.25" customHeight="1">
      <c r="A196" s="1747" t="s">
        <v>2503</v>
      </c>
      <c r="B196" s="1747" t="s">
        <v>3</v>
      </c>
      <c r="C196" s="1747" t="s">
        <v>2824</v>
      </c>
      <c r="D196" s="1747" t="s">
        <v>2825</v>
      </c>
      <c r="E196" s="1747" t="s">
        <v>2826</v>
      </c>
      <c r="F196" s="1747" t="s">
        <v>2525</v>
      </c>
      <c r="G196" s="1747" t="s">
        <v>17</v>
      </c>
      <c r="H196" s="1747" t="s">
        <v>17</v>
      </c>
      <c r="I196" s="1747" t="s">
        <v>1143</v>
      </c>
    </row>
    <row r="197" spans="1:9" ht="11.25" customHeight="1">
      <c r="A197" s="1747" t="s">
        <v>2503</v>
      </c>
      <c r="B197" s="1747" t="s">
        <v>3</v>
      </c>
      <c r="C197" s="1747" t="s">
        <v>2830</v>
      </c>
      <c r="D197" s="1747" t="s">
        <v>2831</v>
      </c>
      <c r="E197" s="1747" t="s">
        <v>2832</v>
      </c>
      <c r="F197" s="1747" t="s">
        <v>2525</v>
      </c>
      <c r="G197" s="1747" t="s">
        <v>17</v>
      </c>
      <c r="H197" s="1747" t="s">
        <v>17</v>
      </c>
      <c r="I197" s="1747" t="s">
        <v>1143</v>
      </c>
    </row>
    <row r="198" spans="1:9" ht="11.25" customHeight="1">
      <c r="A198" s="1747" t="s">
        <v>2503</v>
      </c>
      <c r="B198" s="1747" t="s">
        <v>3</v>
      </c>
      <c r="C198" s="1747" t="s">
        <v>2838</v>
      </c>
      <c r="D198" s="1747" t="s">
        <v>2839</v>
      </c>
      <c r="E198" s="1747" t="s">
        <v>2840</v>
      </c>
      <c r="F198" s="1747" t="s">
        <v>2525</v>
      </c>
      <c r="G198" s="1747" t="s">
        <v>17</v>
      </c>
      <c r="H198" s="1747" t="s">
        <v>17</v>
      </c>
      <c r="I198" s="1747" t="s">
        <v>1143</v>
      </c>
    </row>
    <row r="199" spans="1:9" ht="11.25" customHeight="1">
      <c r="A199" s="1747" t="s">
        <v>2503</v>
      </c>
      <c r="B199" s="1747" t="s">
        <v>3</v>
      </c>
      <c r="C199" s="1747" t="s">
        <v>2844</v>
      </c>
      <c r="D199" s="1747" t="s">
        <v>2845</v>
      </c>
      <c r="E199" s="1747" t="s">
        <v>2846</v>
      </c>
      <c r="F199" s="1747" t="s">
        <v>45</v>
      </c>
      <c r="G199" s="1747" t="s">
        <v>17</v>
      </c>
      <c r="H199" s="1747" t="s">
        <v>17</v>
      </c>
      <c r="I199" s="1747" t="s">
        <v>1143</v>
      </c>
    </row>
    <row r="200" spans="1:9" ht="11.25" customHeight="1">
      <c r="A200" s="1747" t="s">
        <v>2503</v>
      </c>
      <c r="B200" s="1747" t="s">
        <v>3</v>
      </c>
      <c r="C200" s="1747" t="s">
        <v>2850</v>
      </c>
      <c r="D200" s="1747" t="s">
        <v>2851</v>
      </c>
      <c r="E200" s="1747" t="s">
        <v>2852</v>
      </c>
      <c r="F200" s="1747" t="s">
        <v>2694</v>
      </c>
      <c r="G200" s="1747" t="s">
        <v>17</v>
      </c>
      <c r="H200" s="1747" t="s">
        <v>17</v>
      </c>
      <c r="I200" s="1747" t="s">
        <v>1143</v>
      </c>
    </row>
    <row r="201" spans="1:9" ht="11.25" customHeight="1">
      <c r="A201" s="1747" t="s">
        <v>2503</v>
      </c>
      <c r="B201" s="1747" t="s">
        <v>3</v>
      </c>
      <c r="C201" s="1747" t="s">
        <v>2856</v>
      </c>
      <c r="D201" s="1747" t="s">
        <v>2857</v>
      </c>
      <c r="E201" s="1747" t="s">
        <v>2858</v>
      </c>
      <c r="F201" s="1747" t="s">
        <v>2694</v>
      </c>
      <c r="G201" s="1747" t="s">
        <v>2724</v>
      </c>
      <c r="H201" s="1747" t="s">
        <v>17</v>
      </c>
      <c r="I201" s="1747" t="s">
        <v>1143</v>
      </c>
    </row>
    <row r="202" spans="1:9" ht="11.25" customHeight="1">
      <c r="A202" s="1747" t="s">
        <v>2503</v>
      </c>
      <c r="B202" s="1747" t="s">
        <v>3</v>
      </c>
      <c r="C202" s="1747" t="s">
        <v>2868</v>
      </c>
      <c r="D202" s="1747" t="s">
        <v>2869</v>
      </c>
      <c r="E202" s="1747" t="s">
        <v>2870</v>
      </c>
      <c r="F202" s="1747" t="s">
        <v>2610</v>
      </c>
      <c r="G202" s="1747" t="s">
        <v>17</v>
      </c>
      <c r="H202" s="1747" t="s">
        <v>17</v>
      </c>
      <c r="I202" s="1747" t="s">
        <v>1143</v>
      </c>
    </row>
    <row r="203" spans="1:9" ht="11.25" customHeight="1">
      <c r="A203" s="1747" t="s">
        <v>2503</v>
      </c>
      <c r="B203" s="1747" t="s">
        <v>3</v>
      </c>
      <c r="C203" s="1747" t="s">
        <v>2871</v>
      </c>
      <c r="D203" s="1747" t="s">
        <v>2872</v>
      </c>
      <c r="E203" s="1747" t="s">
        <v>2873</v>
      </c>
      <c r="F203" s="1747" t="s">
        <v>2525</v>
      </c>
      <c r="G203" s="1747" t="s">
        <v>17</v>
      </c>
      <c r="H203" s="1747" t="s">
        <v>17</v>
      </c>
      <c r="I203" s="1747" t="s">
        <v>1143</v>
      </c>
    </row>
    <row r="204" spans="1:9" ht="11.25" customHeight="1">
      <c r="A204" s="1747" t="s">
        <v>2503</v>
      </c>
      <c r="B204" s="1747" t="s">
        <v>3</v>
      </c>
      <c r="C204" s="1747" t="s">
        <v>2877</v>
      </c>
      <c r="D204" s="1747" t="s">
        <v>2878</v>
      </c>
      <c r="E204" s="1747" t="s">
        <v>2879</v>
      </c>
      <c r="F204" s="1747" t="s">
        <v>2694</v>
      </c>
      <c r="G204" s="1747" t="s">
        <v>17</v>
      </c>
      <c r="H204" s="1747" t="s">
        <v>17</v>
      </c>
      <c r="I204" s="1747" t="s">
        <v>1143</v>
      </c>
    </row>
    <row r="205" spans="1:9" ht="11.25" customHeight="1">
      <c r="A205" s="1747" t="s">
        <v>2503</v>
      </c>
      <c r="B205" s="1747" t="s">
        <v>3</v>
      </c>
      <c r="C205" s="1747" t="s">
        <v>0</v>
      </c>
      <c r="D205" s="1747" t="s">
        <v>40</v>
      </c>
      <c r="E205" s="1747" t="s">
        <v>43</v>
      </c>
      <c r="F205" s="1747" t="s">
        <v>45</v>
      </c>
      <c r="G205" s="1747" t="s">
        <v>17</v>
      </c>
      <c r="H205" s="1747" t="s">
        <v>17</v>
      </c>
      <c r="I205" s="1747" t="s">
        <v>1143</v>
      </c>
    </row>
    <row r="206" spans="1:9" ht="11.25" customHeight="1">
      <c r="A206" s="1747" t="s">
        <v>2503</v>
      </c>
      <c r="B206" s="1747" t="s">
        <v>3</v>
      </c>
      <c r="C206" s="1747" t="s">
        <v>2880</v>
      </c>
      <c r="D206" s="1747" t="s">
        <v>2881</v>
      </c>
      <c r="E206" s="1747" t="s">
        <v>2882</v>
      </c>
      <c r="F206" s="1747" t="s">
        <v>2683</v>
      </c>
      <c r="G206" s="1747" t="s">
        <v>17</v>
      </c>
      <c r="H206" s="1747" t="s">
        <v>17</v>
      </c>
      <c r="I206" s="1747" t="s">
        <v>1143</v>
      </c>
    </row>
    <row r="207" spans="1:9" ht="11.25" customHeight="1">
      <c r="A207" s="1747" t="s">
        <v>2503</v>
      </c>
      <c r="B207" s="1747" t="s">
        <v>3</v>
      </c>
      <c r="C207" s="1747" t="s">
        <v>2886</v>
      </c>
      <c r="D207" s="1747" t="s">
        <v>2887</v>
      </c>
      <c r="E207" s="1747" t="s">
        <v>2888</v>
      </c>
      <c r="F207" s="1747" t="s">
        <v>2889</v>
      </c>
      <c r="G207" s="1747" t="s">
        <v>17</v>
      </c>
      <c r="H207" s="1747" t="s">
        <v>17</v>
      </c>
      <c r="I207" s="1747" t="s">
        <v>1143</v>
      </c>
    </row>
    <row r="208" spans="1:9" ht="11.25" customHeight="1">
      <c r="A208" s="1747" t="s">
        <v>2503</v>
      </c>
      <c r="B208" s="1747" t="s">
        <v>3</v>
      </c>
      <c r="C208" s="1747" t="s">
        <v>2894</v>
      </c>
      <c r="D208" s="1747" t="s">
        <v>2895</v>
      </c>
      <c r="E208" s="1747" t="s">
        <v>2896</v>
      </c>
      <c r="F208" s="1747" t="s">
        <v>2694</v>
      </c>
      <c r="G208" s="1747" t="s">
        <v>2673</v>
      </c>
      <c r="H208" s="1747" t="s">
        <v>17</v>
      </c>
      <c r="I208" s="1747" t="s">
        <v>1143</v>
      </c>
    </row>
    <row r="209" spans="1:9" ht="11.25" customHeight="1">
      <c r="A209" s="1747" t="s">
        <v>2503</v>
      </c>
      <c r="B209" s="1747" t="s">
        <v>3</v>
      </c>
      <c r="C209" s="1747" t="s">
        <v>2897</v>
      </c>
      <c r="D209" s="1747" t="s">
        <v>2898</v>
      </c>
      <c r="E209" s="1747" t="s">
        <v>2899</v>
      </c>
      <c r="F209" s="1747" t="s">
        <v>2683</v>
      </c>
      <c r="G209" s="1747" t="s">
        <v>17</v>
      </c>
      <c r="H209" s="1747" t="s">
        <v>17</v>
      </c>
      <c r="I209" s="1747" t="s">
        <v>1143</v>
      </c>
    </row>
    <row r="210" spans="1:9" ht="11.25" customHeight="1">
      <c r="A210" s="1747" t="s">
        <v>2503</v>
      </c>
      <c r="B210" s="1747" t="s">
        <v>3</v>
      </c>
      <c r="C210" s="1747" t="s">
        <v>2903</v>
      </c>
      <c r="D210" s="1747" t="s">
        <v>2904</v>
      </c>
      <c r="E210" s="1747" t="s">
        <v>2905</v>
      </c>
      <c r="F210" s="1747" t="s">
        <v>2906</v>
      </c>
      <c r="G210" s="1747" t="s">
        <v>17</v>
      </c>
      <c r="H210" s="1747" t="s">
        <v>17</v>
      </c>
      <c r="I210" s="1747" t="s">
        <v>1143</v>
      </c>
    </row>
    <row r="211" spans="1:9" ht="11.25" customHeight="1">
      <c r="A211" s="1747" t="s">
        <v>2503</v>
      </c>
      <c r="B211" s="1747" t="s">
        <v>3</v>
      </c>
      <c r="C211" s="1747" t="s">
        <v>2917</v>
      </c>
      <c r="D211" s="1747" t="s">
        <v>2918</v>
      </c>
      <c r="E211" s="1747" t="s">
        <v>2919</v>
      </c>
      <c r="F211" s="1747" t="s">
        <v>45</v>
      </c>
      <c r="G211" s="1747" t="s">
        <v>17</v>
      </c>
      <c r="H211" s="1747" t="s">
        <v>17</v>
      </c>
      <c r="I211" s="1747" t="s">
        <v>1143</v>
      </c>
    </row>
    <row r="212" spans="1:9" ht="11.25" customHeight="1">
      <c r="A212" s="1747" t="s">
        <v>2503</v>
      </c>
      <c r="B212" s="1747" t="s">
        <v>3</v>
      </c>
      <c r="C212" s="1747" t="s">
        <v>2920</v>
      </c>
      <c r="D212" s="1747" t="s">
        <v>2921</v>
      </c>
      <c r="E212" s="1747" t="s">
        <v>2922</v>
      </c>
      <c r="F212" s="1747" t="s">
        <v>2550</v>
      </c>
      <c r="G212" s="1747" t="s">
        <v>17</v>
      </c>
      <c r="H212" s="1747" t="s">
        <v>17</v>
      </c>
      <c r="I212" s="1747" t="s">
        <v>1143</v>
      </c>
    </row>
    <row r="213" spans="1:9" ht="11.25" customHeight="1">
      <c r="A213" s="1747" t="s">
        <v>2503</v>
      </c>
      <c r="B213" s="1747" t="s">
        <v>3</v>
      </c>
      <c r="C213" s="1747" t="s">
        <v>2939</v>
      </c>
      <c r="D213" s="1747" t="s">
        <v>2940</v>
      </c>
      <c r="E213" s="1747" t="s">
        <v>2941</v>
      </c>
      <c r="F213" s="1747" t="s">
        <v>2621</v>
      </c>
      <c r="G213" s="1747" t="s">
        <v>17</v>
      </c>
      <c r="H213" s="1747" t="s">
        <v>17</v>
      </c>
      <c r="I213" s="1747" t="s">
        <v>1143</v>
      </c>
    </row>
    <row r="214" spans="1:9" ht="11.25" customHeight="1">
      <c r="A214" s="1747" t="s">
        <v>2503</v>
      </c>
      <c r="B214" s="1747" t="s">
        <v>3</v>
      </c>
      <c r="C214" s="1747" t="s">
        <v>2946</v>
      </c>
      <c r="D214" s="1747" t="s">
        <v>2947</v>
      </c>
      <c r="E214" s="1747" t="s">
        <v>2948</v>
      </c>
      <c r="F214" s="1747" t="s">
        <v>2949</v>
      </c>
      <c r="G214" s="1747" t="s">
        <v>17</v>
      </c>
      <c r="H214" s="1747" t="s">
        <v>17</v>
      </c>
      <c r="I214" s="1747" t="s">
        <v>1143</v>
      </c>
    </row>
    <row r="215" spans="1:9" ht="11.25" customHeight="1">
      <c r="A215" s="1747" t="s">
        <v>2503</v>
      </c>
      <c r="B215" s="1747" t="s">
        <v>3</v>
      </c>
      <c r="C215" s="1747" t="s">
        <v>2950</v>
      </c>
      <c r="D215" s="1747" t="s">
        <v>2951</v>
      </c>
      <c r="E215" s="1747" t="s">
        <v>2952</v>
      </c>
      <c r="F215" s="1747" t="s">
        <v>2953</v>
      </c>
      <c r="G215" s="1747" t="s">
        <v>17</v>
      </c>
      <c r="H215" s="1747" t="s">
        <v>17</v>
      </c>
      <c r="I215" s="1747" t="s">
        <v>1143</v>
      </c>
    </row>
    <row r="216" spans="1:9" ht="11.25" customHeight="1">
      <c r="A216" s="1747" t="s">
        <v>2503</v>
      </c>
      <c r="B216" s="1747" t="s">
        <v>3</v>
      </c>
      <c r="C216" s="1747" t="s">
        <v>3017</v>
      </c>
      <c r="D216" s="1747" t="s">
        <v>2951</v>
      </c>
      <c r="E216" s="1747" t="s">
        <v>2952</v>
      </c>
      <c r="F216" s="1747" t="s">
        <v>3018</v>
      </c>
      <c r="G216" s="1747" t="s">
        <v>17</v>
      </c>
      <c r="H216" s="1747" t="s">
        <v>17</v>
      </c>
      <c r="I216" s="1747" t="s">
        <v>1143</v>
      </c>
    </row>
    <row r="217" spans="1:9" ht="11.25" customHeight="1">
      <c r="A217" s="1747" t="s">
        <v>2503</v>
      </c>
      <c r="B217" s="1747" t="s">
        <v>3</v>
      </c>
      <c r="C217" s="1747" t="s">
        <v>2954</v>
      </c>
      <c r="D217" s="1747" t="s">
        <v>2955</v>
      </c>
      <c r="E217" s="1747" t="s">
        <v>2730</v>
      </c>
      <c r="F217" s="1747" t="s">
        <v>2956</v>
      </c>
      <c r="G217" s="1747" t="s">
        <v>17</v>
      </c>
      <c r="H217" s="1747" t="s">
        <v>17</v>
      </c>
      <c r="I217" s="1747" t="s">
        <v>1143</v>
      </c>
    </row>
    <row r="218" spans="1:9" ht="11.25" customHeight="1">
      <c r="A218" s="1747" t="s">
        <v>2503</v>
      </c>
      <c r="B218" s="1747" t="s">
        <v>3</v>
      </c>
      <c r="C218" s="1747" t="s">
        <v>2957</v>
      </c>
      <c r="D218" s="1747" t="s">
        <v>2958</v>
      </c>
      <c r="E218" s="1747" t="s">
        <v>2959</v>
      </c>
      <c r="F218" s="1747" t="s">
        <v>2525</v>
      </c>
      <c r="G218" s="1747" t="s">
        <v>17</v>
      </c>
      <c r="H218" s="1747" t="s">
        <v>17</v>
      </c>
      <c r="I218" s="1747" t="s">
        <v>1143</v>
      </c>
    </row>
    <row r="219" spans="1:9" ht="11.25" customHeight="1">
      <c r="A219" s="1747" t="s">
        <v>2503</v>
      </c>
      <c r="B219" s="1747" t="s">
        <v>3</v>
      </c>
      <c r="C219" s="1747" t="s">
        <v>3019</v>
      </c>
      <c r="D219" s="1747" t="s">
        <v>3020</v>
      </c>
      <c r="E219" s="1747" t="s">
        <v>3021</v>
      </c>
      <c r="F219" s="1747" t="s">
        <v>2525</v>
      </c>
      <c r="G219" s="1747" t="s">
        <v>17</v>
      </c>
      <c r="H219" s="1747" t="s">
        <v>3022</v>
      </c>
      <c r="I219" s="1747" t="s">
        <v>1143</v>
      </c>
    </row>
    <row r="220" spans="1:9" ht="11.25" customHeight="1">
      <c r="A220" s="1747" t="s">
        <v>2503</v>
      </c>
      <c r="B220" s="1747" t="s">
        <v>3</v>
      </c>
      <c r="C220" s="1747" t="s">
        <v>2966</v>
      </c>
      <c r="D220" s="1747" t="s">
        <v>2967</v>
      </c>
      <c r="E220" s="1747" t="s">
        <v>2730</v>
      </c>
      <c r="F220" s="1747" t="s">
        <v>2968</v>
      </c>
      <c r="G220" s="1747" t="s">
        <v>17</v>
      </c>
      <c r="H220" s="1747" t="s">
        <v>17</v>
      </c>
      <c r="I220" s="1747" t="s">
        <v>1143</v>
      </c>
    </row>
    <row r="221" spans="1:9" ht="11.25" customHeight="1">
      <c r="A221" s="1747" t="s">
        <v>2503</v>
      </c>
      <c r="B221" s="1747" t="s">
        <v>3</v>
      </c>
      <c r="C221" s="1747" t="s">
        <v>2972</v>
      </c>
      <c r="D221" s="1747" t="s">
        <v>2973</v>
      </c>
      <c r="E221" s="1747" t="s">
        <v>2974</v>
      </c>
      <c r="F221" s="1747" t="s">
        <v>2539</v>
      </c>
      <c r="G221" s="1747" t="s">
        <v>17</v>
      </c>
      <c r="H221" s="1747" t="s">
        <v>17</v>
      </c>
      <c r="I221" s="1747" t="s">
        <v>1143</v>
      </c>
    </row>
    <row r="222" spans="1:9" ht="11.25" customHeight="1">
      <c r="A222" s="1747" t="s">
        <v>2503</v>
      </c>
      <c r="B222" s="1747" t="s">
        <v>3</v>
      </c>
      <c r="C222" s="1747" t="s">
        <v>2975</v>
      </c>
      <c r="D222" s="1747" t="s">
        <v>2976</v>
      </c>
      <c r="E222" s="1747" t="s">
        <v>2977</v>
      </c>
      <c r="F222" s="1747" t="s">
        <v>2978</v>
      </c>
      <c r="G222" s="1747" t="s">
        <v>17</v>
      </c>
      <c r="H222" s="1747" t="s">
        <v>17</v>
      </c>
      <c r="I222" s="1747" t="s">
        <v>1143</v>
      </c>
    </row>
    <row r="223" spans="1:9" ht="11.25" customHeight="1">
      <c r="A223" s="1747" t="s">
        <v>2503</v>
      </c>
      <c r="B223" s="1747" t="s">
        <v>3</v>
      </c>
      <c r="C223" s="1747" t="s">
        <v>2983</v>
      </c>
      <c r="D223" s="1747" t="s">
        <v>2984</v>
      </c>
      <c r="E223" s="1747" t="s">
        <v>2985</v>
      </c>
      <c r="F223" s="1747" t="s">
        <v>2735</v>
      </c>
      <c r="G223" s="1747" t="s">
        <v>17</v>
      </c>
      <c r="H223" s="1747" t="s">
        <v>17</v>
      </c>
      <c r="I223" s="1747" t="s">
        <v>1143</v>
      </c>
    </row>
    <row r="224" spans="1:9" ht="11.25" customHeight="1">
      <c r="A224" s="1747" t="s">
        <v>2503</v>
      </c>
      <c r="B224" s="1747" t="s">
        <v>3</v>
      </c>
      <c r="C224" s="1747" t="s">
        <v>2986</v>
      </c>
      <c r="D224" s="1747" t="s">
        <v>2987</v>
      </c>
      <c r="E224" s="1747" t="s">
        <v>2988</v>
      </c>
      <c r="F224" s="1747" t="s">
        <v>2735</v>
      </c>
      <c r="G224" s="1747" t="s">
        <v>17</v>
      </c>
      <c r="H224" s="1747" t="s">
        <v>17</v>
      </c>
      <c r="I224" s="1747" t="s">
        <v>1143</v>
      </c>
    </row>
    <row r="225" spans="1:9" ht="11.25" customHeight="1">
      <c r="A225" s="1747" t="s">
        <v>2503</v>
      </c>
      <c r="B225" s="1747" t="s">
        <v>3</v>
      </c>
      <c r="C225" s="1747" t="s">
        <v>2989</v>
      </c>
      <c r="D225" s="1747" t="s">
        <v>2990</v>
      </c>
      <c r="E225" s="1747" t="s">
        <v>2991</v>
      </c>
      <c r="F225" s="1747" t="s">
        <v>2525</v>
      </c>
      <c r="G225" s="1747" t="s">
        <v>17</v>
      </c>
      <c r="H225" s="1747" t="s">
        <v>17</v>
      </c>
      <c r="I225" s="1747" t="s">
        <v>1143</v>
      </c>
    </row>
    <row r="226" spans="1:9" ht="11.25" customHeight="1">
      <c r="A226" s="1747" t="s">
        <v>2503</v>
      </c>
      <c r="B226" s="1747" t="s">
        <v>3</v>
      </c>
      <c r="C226" s="1747" t="s">
        <v>2992</v>
      </c>
      <c r="D226" s="1747" t="s">
        <v>2993</v>
      </c>
      <c r="E226" s="1747" t="s">
        <v>2994</v>
      </c>
      <c r="F226" s="1747" t="s">
        <v>2995</v>
      </c>
      <c r="G226" s="1747" t="s">
        <v>17</v>
      </c>
      <c r="H226" s="1747" t="s">
        <v>17</v>
      </c>
      <c r="I226" s="1747" t="s">
        <v>1143</v>
      </c>
    </row>
    <row r="227" spans="1:9" ht="11.25" customHeight="1">
      <c r="A227" s="1747" t="s">
        <v>2503</v>
      </c>
      <c r="B227" s="1747" t="s">
        <v>3</v>
      </c>
      <c r="C227" s="1747" t="s">
        <v>2996</v>
      </c>
      <c r="D227" s="1747" t="s">
        <v>2997</v>
      </c>
      <c r="E227" s="1747" t="s">
        <v>2998</v>
      </c>
      <c r="F227" s="1747" t="s">
        <v>2953</v>
      </c>
      <c r="G227" s="1747" t="s">
        <v>17</v>
      </c>
      <c r="H227" s="1747" t="s">
        <v>17</v>
      </c>
      <c r="I227" s="1747" t="s">
        <v>1143</v>
      </c>
    </row>
    <row r="228" spans="1:9" ht="11.25" customHeight="1">
      <c r="A228" s="1747" t="s">
        <v>2503</v>
      </c>
      <c r="B228" s="1747" t="s">
        <v>3</v>
      </c>
      <c r="C228" s="1747" t="s">
        <v>3006</v>
      </c>
      <c r="D228" s="1747" t="s">
        <v>3007</v>
      </c>
      <c r="E228" s="1747" t="s">
        <v>2971</v>
      </c>
      <c r="F228" s="1747" t="s">
        <v>3008</v>
      </c>
      <c r="G228" s="1747" t="s">
        <v>17</v>
      </c>
      <c r="H228" s="1747" t="s">
        <v>17</v>
      </c>
      <c r="I228" s="1747" t="s">
        <v>1143</v>
      </c>
    </row>
    <row r="229" spans="1:9" ht="11.25" customHeight="1">
      <c r="A229" s="1747" t="s">
        <v>2503</v>
      </c>
      <c r="B229" s="1747" t="s">
        <v>3</v>
      </c>
      <c r="C229" s="1747" t="s">
        <v>3023</v>
      </c>
      <c r="D229" s="1747" t="s">
        <v>3024</v>
      </c>
      <c r="E229" s="1747" t="s">
        <v>3025</v>
      </c>
      <c r="F229" s="1747" t="s">
        <v>2683</v>
      </c>
      <c r="G229" s="1747" t="s">
        <v>17</v>
      </c>
      <c r="H229" s="1747" t="s">
        <v>17</v>
      </c>
      <c r="I229" s="1747" t="s">
        <v>1103</v>
      </c>
    </row>
    <row r="230" spans="1:9" ht="11.25" customHeight="1">
      <c r="A230" s="1747" t="s">
        <v>2503</v>
      </c>
      <c r="B230" s="1747" t="s">
        <v>3</v>
      </c>
      <c r="C230" s="1747" t="s">
        <v>2504</v>
      </c>
      <c r="D230" s="1747" t="s">
        <v>2505</v>
      </c>
      <c r="E230" s="1747" t="s">
        <v>2506</v>
      </c>
      <c r="F230" s="1747" t="s">
        <v>2507</v>
      </c>
      <c r="G230" s="1747" t="s">
        <v>17</v>
      </c>
      <c r="H230" s="1747" t="s">
        <v>17</v>
      </c>
      <c r="I230" s="1747" t="s">
        <v>1103</v>
      </c>
    </row>
    <row r="231" spans="1:9" ht="11.25" customHeight="1">
      <c r="A231" s="1747" t="s">
        <v>2503</v>
      </c>
      <c r="B231" s="1747" t="s">
        <v>3</v>
      </c>
      <c r="C231" s="1747" t="s">
        <v>2508</v>
      </c>
      <c r="D231" s="1747" t="s">
        <v>2505</v>
      </c>
      <c r="E231" s="1747" t="s">
        <v>2506</v>
      </c>
      <c r="F231" s="1747" t="s">
        <v>2509</v>
      </c>
      <c r="G231" s="1747" t="s">
        <v>17</v>
      </c>
      <c r="H231" s="1747" t="s">
        <v>17</v>
      </c>
      <c r="I231" s="1747" t="s">
        <v>1103</v>
      </c>
    </row>
    <row r="232" spans="1:9" ht="11.25" customHeight="1">
      <c r="A232" s="1747" t="s">
        <v>2503</v>
      </c>
      <c r="B232" s="1747" t="s">
        <v>3</v>
      </c>
      <c r="C232" s="1747" t="s">
        <v>2510</v>
      </c>
      <c r="D232" s="1747" t="s">
        <v>2511</v>
      </c>
      <c r="E232" s="1747" t="s">
        <v>2512</v>
      </c>
      <c r="F232" s="1747" t="s">
        <v>2513</v>
      </c>
      <c r="G232" s="1747" t="s">
        <v>17</v>
      </c>
      <c r="H232" s="1747" t="s">
        <v>17</v>
      </c>
      <c r="I232" s="1747" t="s">
        <v>1103</v>
      </c>
    </row>
    <row r="233" spans="1:9" ht="11.25" customHeight="1">
      <c r="A233" s="1747" t="s">
        <v>2503</v>
      </c>
      <c r="B233" s="1747" t="s">
        <v>3</v>
      </c>
      <c r="C233" s="1747" t="s">
        <v>2522</v>
      </c>
      <c r="D233" s="1747" t="s">
        <v>2523</v>
      </c>
      <c r="E233" s="1747" t="s">
        <v>2524</v>
      </c>
      <c r="F233" s="1747" t="s">
        <v>2525</v>
      </c>
      <c r="G233" s="1747" t="s">
        <v>17</v>
      </c>
      <c r="H233" s="1747" t="s">
        <v>17</v>
      </c>
      <c r="I233" s="1747" t="s">
        <v>1103</v>
      </c>
    </row>
    <row r="234" spans="1:9" ht="11.25" customHeight="1">
      <c r="A234" s="1747" t="s">
        <v>2503</v>
      </c>
      <c r="B234" s="1747" t="s">
        <v>3</v>
      </c>
      <c r="C234" s="1747" t="s">
        <v>2536</v>
      </c>
      <c r="D234" s="1747" t="s">
        <v>2537</v>
      </c>
      <c r="E234" s="1747" t="s">
        <v>2538</v>
      </c>
      <c r="F234" s="1747" t="s">
        <v>2539</v>
      </c>
      <c r="G234" s="1747" t="s">
        <v>17</v>
      </c>
      <c r="H234" s="1747" t="s">
        <v>17</v>
      </c>
      <c r="I234" s="1747" t="s">
        <v>1103</v>
      </c>
    </row>
    <row r="235" spans="1:9" ht="11.25" customHeight="1">
      <c r="A235" s="1747" t="s">
        <v>2503</v>
      </c>
      <c r="B235" s="1747" t="s">
        <v>3</v>
      </c>
      <c r="C235" s="1747" t="s">
        <v>2540</v>
      </c>
      <c r="D235" s="1747" t="s">
        <v>2541</v>
      </c>
      <c r="E235" s="1747" t="s">
        <v>2542</v>
      </c>
      <c r="F235" s="1747" t="s">
        <v>2543</v>
      </c>
      <c r="G235" s="1747" t="s">
        <v>17</v>
      </c>
      <c r="H235" s="1747" t="s">
        <v>17</v>
      </c>
      <c r="I235" s="1747" t="s">
        <v>1103</v>
      </c>
    </row>
    <row r="236" spans="1:9" ht="11.25" customHeight="1">
      <c r="A236" s="1747" t="s">
        <v>2503</v>
      </c>
      <c r="B236" s="1747" t="s">
        <v>3</v>
      </c>
      <c r="C236" s="1747" t="s">
        <v>3026</v>
      </c>
      <c r="D236" s="1747" t="s">
        <v>3027</v>
      </c>
      <c r="E236" s="1747" t="s">
        <v>3028</v>
      </c>
      <c r="F236" s="1747" t="s">
        <v>825</v>
      </c>
      <c r="G236" s="1747" t="s">
        <v>17</v>
      </c>
      <c r="H236" s="1747" t="s">
        <v>17</v>
      </c>
      <c r="I236" s="1747" t="s">
        <v>1103</v>
      </c>
    </row>
    <row r="237" spans="1:9" ht="11.25" customHeight="1">
      <c r="A237" s="1747" t="s">
        <v>2503</v>
      </c>
      <c r="B237" s="1747" t="s">
        <v>3</v>
      </c>
      <c r="C237" s="1747" t="s">
        <v>17</v>
      </c>
      <c r="D237" s="1747" t="s">
        <v>2605</v>
      </c>
      <c r="E237" s="1747" t="s">
        <v>2606</v>
      </c>
      <c r="F237" s="1747" t="s">
        <v>2550</v>
      </c>
      <c r="G237" s="1747" t="s">
        <v>17</v>
      </c>
      <c r="H237" s="1747" t="s">
        <v>17</v>
      </c>
      <c r="I237" s="1747" t="s">
        <v>1103</v>
      </c>
    </row>
    <row r="238" spans="1:9" ht="11.25" customHeight="1">
      <c r="A238" s="1747" t="s">
        <v>2503</v>
      </c>
      <c r="B238" s="1747" t="s">
        <v>3</v>
      </c>
      <c r="C238" s="1747" t="s">
        <v>3029</v>
      </c>
      <c r="D238" s="1747" t="s">
        <v>3030</v>
      </c>
      <c r="E238" s="1747" t="s">
        <v>3031</v>
      </c>
      <c r="F238" s="1747" t="s">
        <v>2603</v>
      </c>
      <c r="G238" s="1747" t="s">
        <v>17</v>
      </c>
      <c r="H238" s="1747" t="s">
        <v>17</v>
      </c>
      <c r="I238" s="1747" t="s">
        <v>1103</v>
      </c>
    </row>
    <row r="239" spans="1:9" ht="11.25" customHeight="1">
      <c r="A239" s="1747" t="s">
        <v>2503</v>
      </c>
      <c r="B239" s="1747" t="s">
        <v>3</v>
      </c>
      <c r="C239" s="1747" t="s">
        <v>3032</v>
      </c>
      <c r="D239" s="1747" t="s">
        <v>3033</v>
      </c>
      <c r="E239" s="1747" t="s">
        <v>3034</v>
      </c>
      <c r="F239" s="1747" t="s">
        <v>2735</v>
      </c>
      <c r="G239" s="1747" t="s">
        <v>3035</v>
      </c>
      <c r="H239" s="1747" t="s">
        <v>17</v>
      </c>
      <c r="I239" s="1747" t="s">
        <v>1103</v>
      </c>
    </row>
    <row r="240" spans="1:9" ht="11.25" customHeight="1">
      <c r="A240" s="1747" t="s">
        <v>2503</v>
      </c>
      <c r="B240" s="1747" t="s">
        <v>3</v>
      </c>
      <c r="C240" s="1747" t="s">
        <v>3036</v>
      </c>
      <c r="D240" s="1747" t="s">
        <v>3037</v>
      </c>
      <c r="E240" s="1747" t="s">
        <v>3038</v>
      </c>
      <c r="F240" s="1747" t="s">
        <v>2610</v>
      </c>
      <c r="G240" s="1747" t="s">
        <v>17</v>
      </c>
      <c r="H240" s="1747" t="s">
        <v>3039</v>
      </c>
      <c r="I240" s="1747" t="s">
        <v>1103</v>
      </c>
    </row>
    <row r="241" spans="1:9" ht="11.25" customHeight="1">
      <c r="A241" s="1747" t="s">
        <v>2503</v>
      </c>
      <c r="B241" s="1747" t="s">
        <v>3</v>
      </c>
      <c r="C241" s="1747" t="s">
        <v>2607</v>
      </c>
      <c r="D241" s="1747" t="s">
        <v>2608</v>
      </c>
      <c r="E241" s="1747" t="s">
        <v>2609</v>
      </c>
      <c r="F241" s="1747" t="s">
        <v>2610</v>
      </c>
      <c r="G241" s="1747" t="s">
        <v>17</v>
      </c>
      <c r="H241" s="1747" t="s">
        <v>17</v>
      </c>
      <c r="I241" s="1747" t="s">
        <v>1103</v>
      </c>
    </row>
    <row r="242" spans="1:9" ht="11.25" customHeight="1">
      <c r="A242" s="1747" t="s">
        <v>2503</v>
      </c>
      <c r="B242" s="1747" t="s">
        <v>3</v>
      </c>
      <c r="C242" s="1747" t="s">
        <v>3040</v>
      </c>
      <c r="D242" s="1747" t="s">
        <v>3041</v>
      </c>
      <c r="E242" s="1747" t="s">
        <v>3042</v>
      </c>
      <c r="F242" s="1747" t="s">
        <v>2683</v>
      </c>
      <c r="G242" s="1747" t="s">
        <v>17</v>
      </c>
      <c r="H242" s="1747" t="s">
        <v>17</v>
      </c>
      <c r="I242" s="1747" t="s">
        <v>1103</v>
      </c>
    </row>
    <row r="243" spans="1:9" ht="11.25" customHeight="1">
      <c r="A243" s="1747" t="s">
        <v>2503</v>
      </c>
      <c r="B243" s="1747" t="s">
        <v>3</v>
      </c>
      <c r="C243" s="1747" t="s">
        <v>3043</v>
      </c>
      <c r="D243" s="1747" t="s">
        <v>2616</v>
      </c>
      <c r="E243" s="1747" t="s">
        <v>3044</v>
      </c>
      <c r="F243" s="1747" t="s">
        <v>2949</v>
      </c>
      <c r="G243" s="1747" t="s">
        <v>17</v>
      </c>
      <c r="H243" s="1747" t="s">
        <v>17</v>
      </c>
      <c r="I243" s="1747" t="s">
        <v>1103</v>
      </c>
    </row>
    <row r="244" spans="1:9" ht="11.25" customHeight="1">
      <c r="A244" s="1747" t="s">
        <v>2503</v>
      </c>
      <c r="B244" s="1747" t="s">
        <v>3</v>
      </c>
      <c r="C244" s="1747" t="s">
        <v>2615</v>
      </c>
      <c r="D244" s="1747" t="s">
        <v>2616</v>
      </c>
      <c r="E244" s="1747" t="s">
        <v>2617</v>
      </c>
      <c r="F244" s="1747" t="s">
        <v>2535</v>
      </c>
      <c r="G244" s="1747" t="s">
        <v>17</v>
      </c>
      <c r="H244" s="1747" t="s">
        <v>17</v>
      </c>
      <c r="I244" s="1747" t="s">
        <v>1103</v>
      </c>
    </row>
    <row r="245" spans="1:9" ht="11.25" customHeight="1">
      <c r="A245" s="1747" t="s">
        <v>2503</v>
      </c>
      <c r="B245" s="1747" t="s">
        <v>3</v>
      </c>
      <c r="C245" s="1747" t="s">
        <v>3045</v>
      </c>
      <c r="D245" s="1747" t="s">
        <v>2616</v>
      </c>
      <c r="E245" s="1747" t="s">
        <v>3046</v>
      </c>
      <c r="F245" s="1747" t="s">
        <v>2535</v>
      </c>
      <c r="G245" s="1747" t="s">
        <v>17</v>
      </c>
      <c r="H245" s="1747" t="s">
        <v>17</v>
      </c>
      <c r="I245" s="1747" t="s">
        <v>1103</v>
      </c>
    </row>
    <row r="246" spans="1:9" ht="11.25" customHeight="1">
      <c r="A246" s="1747" t="s">
        <v>2503</v>
      </c>
      <c r="B246" s="1747" t="s">
        <v>3</v>
      </c>
      <c r="C246" s="1747" t="s">
        <v>3047</v>
      </c>
      <c r="D246" s="1747" t="s">
        <v>2616</v>
      </c>
      <c r="E246" s="1747" t="s">
        <v>3048</v>
      </c>
      <c r="F246" s="1747" t="s">
        <v>2735</v>
      </c>
      <c r="G246" s="1747" t="s">
        <v>17</v>
      </c>
      <c r="H246" s="1747" t="s">
        <v>17</v>
      </c>
      <c r="I246" s="1747" t="s">
        <v>1103</v>
      </c>
    </row>
    <row r="247" spans="1:9" ht="11.25" customHeight="1">
      <c r="A247" s="1747" t="s">
        <v>2503</v>
      </c>
      <c r="B247" s="1747" t="s">
        <v>3</v>
      </c>
      <c r="C247" s="1747" t="s">
        <v>3049</v>
      </c>
      <c r="D247" s="1747" t="s">
        <v>2616</v>
      </c>
      <c r="E247" s="1747" t="s">
        <v>3050</v>
      </c>
      <c r="F247" s="1747" t="s">
        <v>2621</v>
      </c>
      <c r="G247" s="1747" t="s">
        <v>17</v>
      </c>
      <c r="H247" s="1747" t="s">
        <v>17</v>
      </c>
      <c r="I247" s="1747" t="s">
        <v>1103</v>
      </c>
    </row>
    <row r="248" spans="1:9" ht="11.25" customHeight="1">
      <c r="A248" s="1747" t="s">
        <v>2503</v>
      </c>
      <c r="B248" s="1747" t="s">
        <v>3</v>
      </c>
      <c r="C248" s="1747" t="s">
        <v>3051</v>
      </c>
      <c r="D248" s="1747" t="s">
        <v>3052</v>
      </c>
      <c r="E248" s="1747" t="s">
        <v>3053</v>
      </c>
      <c r="F248" s="1747" t="s">
        <v>2621</v>
      </c>
      <c r="G248" s="1747" t="s">
        <v>17</v>
      </c>
      <c r="H248" s="1747" t="s">
        <v>17</v>
      </c>
      <c r="I248" s="1747" t="s">
        <v>1103</v>
      </c>
    </row>
    <row r="249" spans="1:9" ht="11.25" customHeight="1">
      <c r="A249" s="1747" t="s">
        <v>2503</v>
      </c>
      <c r="B249" s="1747" t="s">
        <v>3</v>
      </c>
      <c r="C249" s="1747" t="s">
        <v>3054</v>
      </c>
      <c r="D249" s="1747" t="s">
        <v>3055</v>
      </c>
      <c r="E249" s="1747" t="s">
        <v>3056</v>
      </c>
      <c r="F249" s="1747" t="s">
        <v>2535</v>
      </c>
      <c r="G249" s="1747" t="s">
        <v>17</v>
      </c>
      <c r="H249" s="1747" t="s">
        <v>3057</v>
      </c>
      <c r="I249" s="1747" t="s">
        <v>1103</v>
      </c>
    </row>
    <row r="250" spans="1:9" ht="11.25" customHeight="1">
      <c r="A250" s="1747" t="s">
        <v>2503</v>
      </c>
      <c r="B250" s="1747" t="s">
        <v>3</v>
      </c>
      <c r="C250" s="1747" t="s">
        <v>3058</v>
      </c>
      <c r="D250" s="1747" t="s">
        <v>3055</v>
      </c>
      <c r="E250" s="1747" t="s">
        <v>3059</v>
      </c>
      <c r="F250" s="1747" t="s">
        <v>3060</v>
      </c>
      <c r="G250" s="1747" t="s">
        <v>17</v>
      </c>
      <c r="H250" s="1747" t="s">
        <v>17</v>
      </c>
      <c r="I250" s="1747" t="s">
        <v>1103</v>
      </c>
    </row>
    <row r="251" spans="1:9" ht="11.25" customHeight="1">
      <c r="A251" s="1747" t="s">
        <v>2503</v>
      </c>
      <c r="B251" s="1747" t="s">
        <v>3</v>
      </c>
      <c r="C251" s="1747" t="s">
        <v>3061</v>
      </c>
      <c r="D251" s="1747" t="s">
        <v>3062</v>
      </c>
      <c r="E251" s="1747" t="s">
        <v>3063</v>
      </c>
      <c r="F251" s="1747" t="s">
        <v>2683</v>
      </c>
      <c r="G251" s="1747" t="s">
        <v>17</v>
      </c>
      <c r="H251" s="1747" t="s">
        <v>17</v>
      </c>
      <c r="I251" s="1747" t="s">
        <v>1103</v>
      </c>
    </row>
    <row r="252" spans="1:9" ht="11.25" customHeight="1">
      <c r="A252" s="1747" t="s">
        <v>2503</v>
      </c>
      <c r="B252" s="1747" t="s">
        <v>3</v>
      </c>
      <c r="C252" s="1747" t="s">
        <v>3064</v>
      </c>
      <c r="D252" s="1747" t="s">
        <v>3065</v>
      </c>
      <c r="E252" s="1747" t="s">
        <v>3066</v>
      </c>
      <c r="F252" s="1747" t="s">
        <v>2683</v>
      </c>
      <c r="G252" s="1747" t="s">
        <v>17</v>
      </c>
      <c r="H252" s="1747" t="s">
        <v>17</v>
      </c>
      <c r="I252" s="1747" t="s">
        <v>1103</v>
      </c>
    </row>
    <row r="253" spans="1:9" ht="11.25" customHeight="1">
      <c r="A253" s="1747" t="s">
        <v>2503</v>
      </c>
      <c r="B253" s="1747" t="s">
        <v>3</v>
      </c>
      <c r="C253" s="1747" t="s">
        <v>3067</v>
      </c>
      <c r="D253" s="1747" t="s">
        <v>3068</v>
      </c>
      <c r="E253" s="1747" t="s">
        <v>3069</v>
      </c>
      <c r="F253" s="1747" t="s">
        <v>2535</v>
      </c>
      <c r="G253" s="1747" t="s">
        <v>17</v>
      </c>
      <c r="H253" s="1747" t="s">
        <v>17</v>
      </c>
      <c r="I253" s="1747" t="s">
        <v>1103</v>
      </c>
    </row>
    <row r="254" spans="1:9" ht="11.25" customHeight="1">
      <c r="A254" s="1747" t="s">
        <v>2503</v>
      </c>
      <c r="B254" s="1747" t="s">
        <v>3</v>
      </c>
      <c r="C254" s="1747" t="s">
        <v>3070</v>
      </c>
      <c r="D254" s="1747" t="s">
        <v>3071</v>
      </c>
      <c r="E254" s="1747" t="s">
        <v>3072</v>
      </c>
      <c r="F254" s="1747" t="s">
        <v>2683</v>
      </c>
      <c r="G254" s="1747" t="s">
        <v>17</v>
      </c>
      <c r="H254" s="1747" t="s">
        <v>17</v>
      </c>
      <c r="I254" s="1747" t="s">
        <v>1103</v>
      </c>
    </row>
    <row r="255" spans="1:9" ht="11.25" customHeight="1">
      <c r="A255" s="1747" t="s">
        <v>2503</v>
      </c>
      <c r="B255" s="1747" t="s">
        <v>3</v>
      </c>
      <c r="C255" s="1747" t="s">
        <v>3073</v>
      </c>
      <c r="D255" s="1747" t="s">
        <v>2619</v>
      </c>
      <c r="E255" s="1747" t="s">
        <v>3074</v>
      </c>
      <c r="F255" s="1747" t="s">
        <v>2683</v>
      </c>
      <c r="G255" s="1747" t="s">
        <v>17</v>
      </c>
      <c r="H255" s="1747" t="s">
        <v>17</v>
      </c>
      <c r="I255" s="1747" t="s">
        <v>1103</v>
      </c>
    </row>
    <row r="256" spans="1:9" ht="11.25" customHeight="1">
      <c r="A256" s="1747" t="s">
        <v>2503</v>
      </c>
      <c r="B256" s="1747" t="s">
        <v>3</v>
      </c>
      <c r="C256" s="1747" t="s">
        <v>3075</v>
      </c>
      <c r="D256" s="1747" t="s">
        <v>2619</v>
      </c>
      <c r="E256" s="1747" t="s">
        <v>3076</v>
      </c>
      <c r="F256" s="1747" t="s">
        <v>2735</v>
      </c>
      <c r="G256" s="1747" t="s">
        <v>17</v>
      </c>
      <c r="H256" s="1747" t="s">
        <v>17</v>
      </c>
      <c r="I256" s="1747" t="s">
        <v>1103</v>
      </c>
    </row>
    <row r="257" spans="1:9" ht="11.25" customHeight="1">
      <c r="A257" s="1747" t="s">
        <v>2503</v>
      </c>
      <c r="B257" s="1747" t="s">
        <v>3</v>
      </c>
      <c r="C257" s="1747" t="s">
        <v>2618</v>
      </c>
      <c r="D257" s="1747" t="s">
        <v>2619</v>
      </c>
      <c r="E257" s="1747" t="s">
        <v>2620</v>
      </c>
      <c r="F257" s="1747" t="s">
        <v>2621</v>
      </c>
      <c r="G257" s="1747" t="s">
        <v>17</v>
      </c>
      <c r="H257" s="1747" t="s">
        <v>17</v>
      </c>
      <c r="I257" s="1747" t="s">
        <v>1103</v>
      </c>
    </row>
    <row r="258" spans="1:9" ht="11.25" customHeight="1">
      <c r="A258" s="1747" t="s">
        <v>2503</v>
      </c>
      <c r="B258" s="1747" t="s">
        <v>3</v>
      </c>
      <c r="C258" s="1747" t="s">
        <v>3077</v>
      </c>
      <c r="D258" s="1747" t="s">
        <v>3078</v>
      </c>
      <c r="E258" s="1747" t="s">
        <v>3079</v>
      </c>
      <c r="F258" s="1747" t="s">
        <v>2525</v>
      </c>
      <c r="G258" s="1747" t="s">
        <v>3080</v>
      </c>
      <c r="H258" s="1747" t="s">
        <v>17</v>
      </c>
      <c r="I258" s="1747" t="s">
        <v>1103</v>
      </c>
    </row>
    <row r="259" spans="1:9" ht="11.25" customHeight="1">
      <c r="A259" s="1747" t="s">
        <v>2503</v>
      </c>
      <c r="B259" s="1747" t="s">
        <v>3</v>
      </c>
      <c r="C259" s="1747" t="s">
        <v>3081</v>
      </c>
      <c r="D259" s="1747" t="s">
        <v>3082</v>
      </c>
      <c r="E259" s="1747" t="s">
        <v>3083</v>
      </c>
      <c r="F259" s="1747" t="s">
        <v>2683</v>
      </c>
      <c r="G259" s="1747" t="s">
        <v>17</v>
      </c>
      <c r="H259" s="1747" t="s">
        <v>17</v>
      </c>
      <c r="I259" s="1747" t="s">
        <v>1103</v>
      </c>
    </row>
    <row r="260" spans="1:9" ht="11.25" customHeight="1">
      <c r="A260" s="1747" t="s">
        <v>2503</v>
      </c>
      <c r="B260" s="1747" t="s">
        <v>3</v>
      </c>
      <c r="C260" s="1747" t="s">
        <v>3084</v>
      </c>
      <c r="D260" s="1747" t="s">
        <v>3085</v>
      </c>
      <c r="E260" s="1747" t="s">
        <v>3086</v>
      </c>
      <c r="F260" s="1747" t="s">
        <v>2525</v>
      </c>
      <c r="G260" s="1747" t="s">
        <v>17</v>
      </c>
      <c r="H260" s="1747" t="s">
        <v>17</v>
      </c>
      <c r="I260" s="1747" t="s">
        <v>1103</v>
      </c>
    </row>
    <row r="261" spans="1:9" ht="11.25" customHeight="1">
      <c r="A261" s="1747" t="s">
        <v>2503</v>
      </c>
      <c r="B261" s="1747" t="s">
        <v>3</v>
      </c>
      <c r="C261" s="1747" t="s">
        <v>3087</v>
      </c>
      <c r="D261" s="1747" t="s">
        <v>3088</v>
      </c>
      <c r="E261" s="1747" t="s">
        <v>3089</v>
      </c>
      <c r="F261" s="1747" t="s">
        <v>3090</v>
      </c>
      <c r="G261" s="1747" t="s">
        <v>17</v>
      </c>
      <c r="H261" s="1747" t="s">
        <v>17</v>
      </c>
      <c r="I261" s="1747" t="s">
        <v>1103</v>
      </c>
    </row>
    <row r="262" spans="1:9" ht="11.25" customHeight="1">
      <c r="A262" s="1747" t="s">
        <v>2503</v>
      </c>
      <c r="B262" s="1747" t="s">
        <v>3</v>
      </c>
      <c r="C262" s="1747" t="s">
        <v>3091</v>
      </c>
      <c r="D262" s="1747" t="s">
        <v>3092</v>
      </c>
      <c r="E262" s="1747" t="s">
        <v>3093</v>
      </c>
      <c r="F262" s="1747" t="s">
        <v>3094</v>
      </c>
      <c r="G262" s="1747" t="s">
        <v>17</v>
      </c>
      <c r="H262" s="1747" t="s">
        <v>17</v>
      </c>
      <c r="I262" s="1747" t="s">
        <v>1103</v>
      </c>
    </row>
    <row r="263" spans="1:9" ht="11.25" customHeight="1">
      <c r="A263" s="1747" t="s">
        <v>2503</v>
      </c>
      <c r="B263" s="1747" t="s">
        <v>3</v>
      </c>
      <c r="C263" s="1747" t="s">
        <v>2622</v>
      </c>
      <c r="D263" s="1747" t="s">
        <v>2623</v>
      </c>
      <c r="E263" s="1747" t="s">
        <v>2624</v>
      </c>
      <c r="F263" s="1747" t="s">
        <v>2625</v>
      </c>
      <c r="G263" s="1747" t="s">
        <v>17</v>
      </c>
      <c r="H263" s="1747" t="s">
        <v>17</v>
      </c>
      <c r="I263" s="1747" t="s">
        <v>1103</v>
      </c>
    </row>
    <row r="264" spans="1:9" ht="11.25" customHeight="1">
      <c r="A264" s="1747" t="s">
        <v>2503</v>
      </c>
      <c r="B264" s="1747" t="s">
        <v>3</v>
      </c>
      <c r="C264" s="1747" t="s">
        <v>3095</v>
      </c>
      <c r="D264" s="1747" t="s">
        <v>3096</v>
      </c>
      <c r="E264" s="1747" t="s">
        <v>3097</v>
      </c>
      <c r="F264" s="1747" t="s">
        <v>2735</v>
      </c>
      <c r="G264" s="1747" t="s">
        <v>3098</v>
      </c>
      <c r="H264" s="1747" t="s">
        <v>17</v>
      </c>
      <c r="I264" s="1747" t="s">
        <v>1103</v>
      </c>
    </row>
    <row r="265" spans="1:9" ht="11.25" customHeight="1">
      <c r="A265" s="1747" t="s">
        <v>2503</v>
      </c>
      <c r="B265" s="1747" t="s">
        <v>3</v>
      </c>
      <c r="C265" s="1747" t="s">
        <v>2626</v>
      </c>
      <c r="D265" s="1747" t="s">
        <v>2627</v>
      </c>
      <c r="E265" s="1747" t="s">
        <v>2628</v>
      </c>
      <c r="F265" s="1747" t="s">
        <v>2629</v>
      </c>
      <c r="G265" s="1747" t="s">
        <v>17</v>
      </c>
      <c r="H265" s="1747" t="s">
        <v>17</v>
      </c>
      <c r="I265" s="1747" t="s">
        <v>1103</v>
      </c>
    </row>
    <row r="266" spans="1:9" ht="11.25" customHeight="1">
      <c r="A266" s="1747" t="s">
        <v>2503</v>
      </c>
      <c r="B266" s="1747" t="s">
        <v>3</v>
      </c>
      <c r="C266" s="1747" t="s">
        <v>3099</v>
      </c>
      <c r="D266" s="1747" t="s">
        <v>3100</v>
      </c>
      <c r="E266" s="1747" t="s">
        <v>3101</v>
      </c>
      <c r="F266" s="1747" t="s">
        <v>3060</v>
      </c>
      <c r="G266" s="1747" t="s">
        <v>17</v>
      </c>
      <c r="H266" s="1747" t="s">
        <v>17</v>
      </c>
      <c r="I266" s="1747" t="s">
        <v>1103</v>
      </c>
    </row>
    <row r="267" spans="1:9" ht="11.25" customHeight="1">
      <c r="A267" s="1747" t="s">
        <v>2503</v>
      </c>
      <c r="B267" s="1747" t="s">
        <v>3</v>
      </c>
      <c r="C267" s="1747" t="s">
        <v>2630</v>
      </c>
      <c r="D267" s="1747" t="s">
        <v>2631</v>
      </c>
      <c r="E267" s="1747" t="s">
        <v>2632</v>
      </c>
      <c r="F267" s="1747" t="s">
        <v>2625</v>
      </c>
      <c r="G267" s="1747" t="s">
        <v>17</v>
      </c>
      <c r="H267" s="1747" t="s">
        <v>17</v>
      </c>
      <c r="I267" s="1747" t="s">
        <v>1103</v>
      </c>
    </row>
    <row r="268" spans="1:9" ht="11.25" customHeight="1">
      <c r="A268" s="1747" t="s">
        <v>2503</v>
      </c>
      <c r="B268" s="1747" t="s">
        <v>3</v>
      </c>
      <c r="C268" s="1747" t="s">
        <v>3102</v>
      </c>
      <c r="D268" s="1747" t="s">
        <v>3103</v>
      </c>
      <c r="E268" s="1747" t="s">
        <v>3104</v>
      </c>
      <c r="F268" s="1747" t="s">
        <v>2621</v>
      </c>
      <c r="G268" s="1747" t="s">
        <v>17</v>
      </c>
      <c r="H268" s="1747" t="s">
        <v>17</v>
      </c>
      <c r="I268" s="1747" t="s">
        <v>1103</v>
      </c>
    </row>
    <row r="269" spans="1:9" ht="11.25" customHeight="1">
      <c r="A269" s="1747" t="s">
        <v>2503</v>
      </c>
      <c r="B269" s="1747" t="s">
        <v>3</v>
      </c>
      <c r="C269" s="1747" t="s">
        <v>2633</v>
      </c>
      <c r="D269" s="1747" t="s">
        <v>2634</v>
      </c>
      <c r="E269" s="1747" t="s">
        <v>2635</v>
      </c>
      <c r="F269" s="1747" t="s">
        <v>2525</v>
      </c>
      <c r="G269" s="1747" t="s">
        <v>17</v>
      </c>
      <c r="H269" s="1747" t="s">
        <v>17</v>
      </c>
      <c r="I269" s="1747" t="s">
        <v>1103</v>
      </c>
    </row>
    <row r="270" spans="1:9" ht="11.25" customHeight="1">
      <c r="A270" s="1747" t="s">
        <v>2503</v>
      </c>
      <c r="B270" s="1747" t="s">
        <v>3</v>
      </c>
      <c r="C270" s="1747" t="s">
        <v>2636</v>
      </c>
      <c r="D270" s="1747" t="s">
        <v>2637</v>
      </c>
      <c r="E270" s="1747" t="s">
        <v>2638</v>
      </c>
      <c r="F270" s="1747" t="s">
        <v>2639</v>
      </c>
      <c r="G270" s="1747" t="s">
        <v>2640</v>
      </c>
      <c r="H270" s="1747" t="s">
        <v>17</v>
      </c>
      <c r="I270" s="1747" t="s">
        <v>1103</v>
      </c>
    </row>
    <row r="271" spans="1:9" ht="11.25" customHeight="1">
      <c r="A271" s="1747" t="s">
        <v>2503</v>
      </c>
      <c r="B271" s="1747" t="s">
        <v>3</v>
      </c>
      <c r="C271" s="1747" t="s">
        <v>3009</v>
      </c>
      <c r="D271" s="1747" t="s">
        <v>3010</v>
      </c>
      <c r="E271" s="1747" t="s">
        <v>3011</v>
      </c>
      <c r="F271" s="1747" t="s">
        <v>3012</v>
      </c>
      <c r="G271" s="1747" t="s">
        <v>17</v>
      </c>
      <c r="H271" s="1747" t="s">
        <v>3013</v>
      </c>
      <c r="I271" s="1747" t="s">
        <v>1103</v>
      </c>
    </row>
    <row r="272" spans="1:9" ht="11.25" customHeight="1">
      <c r="A272" s="1747" t="s">
        <v>2503</v>
      </c>
      <c r="B272" s="1747" t="s">
        <v>3</v>
      </c>
      <c r="C272" s="1747" t="s">
        <v>2641</v>
      </c>
      <c r="D272" s="1747" t="s">
        <v>2642</v>
      </c>
      <c r="E272" s="1747" t="s">
        <v>2643</v>
      </c>
      <c r="F272" s="1747" t="s">
        <v>2559</v>
      </c>
      <c r="G272" s="1747" t="s">
        <v>17</v>
      </c>
      <c r="H272" s="1747" t="s">
        <v>17</v>
      </c>
      <c r="I272" s="1747" t="s">
        <v>1103</v>
      </c>
    </row>
    <row r="273" spans="1:9" ht="11.25" customHeight="1">
      <c r="A273" s="1747" t="s">
        <v>2503</v>
      </c>
      <c r="B273" s="1747" t="s">
        <v>3</v>
      </c>
      <c r="C273" s="1747" t="s">
        <v>2644</v>
      </c>
      <c r="D273" s="1747" t="s">
        <v>2642</v>
      </c>
      <c r="E273" s="1747" t="s">
        <v>2645</v>
      </c>
      <c r="F273" s="1747" t="s">
        <v>2559</v>
      </c>
      <c r="G273" s="1747" t="s">
        <v>17</v>
      </c>
      <c r="H273" s="1747" t="s">
        <v>17</v>
      </c>
      <c r="I273" s="1747" t="s">
        <v>1103</v>
      </c>
    </row>
    <row r="274" spans="1:9" ht="11.25" customHeight="1">
      <c r="A274" s="1747" t="s">
        <v>2503</v>
      </c>
      <c r="B274" s="1747" t="s">
        <v>3</v>
      </c>
      <c r="C274" s="1747" t="s">
        <v>3105</v>
      </c>
      <c r="D274" s="1747" t="s">
        <v>2642</v>
      </c>
      <c r="E274" s="1747" t="s">
        <v>3106</v>
      </c>
      <c r="F274" s="1747" t="s">
        <v>3060</v>
      </c>
      <c r="G274" s="1747" t="s">
        <v>17</v>
      </c>
      <c r="H274" s="1747" t="s">
        <v>17</v>
      </c>
      <c r="I274" s="1747" t="s">
        <v>1103</v>
      </c>
    </row>
    <row r="275" spans="1:9" ht="11.25" customHeight="1">
      <c r="A275" s="1747" t="s">
        <v>2503</v>
      </c>
      <c r="B275" s="1747" t="s">
        <v>3</v>
      </c>
      <c r="C275" s="1747" t="s">
        <v>2646</v>
      </c>
      <c r="D275" s="1747" t="s">
        <v>2647</v>
      </c>
      <c r="E275" s="1747" t="s">
        <v>2648</v>
      </c>
      <c r="F275" s="1747" t="s">
        <v>2614</v>
      </c>
      <c r="G275" s="1747" t="s">
        <v>17</v>
      </c>
      <c r="H275" s="1747" t="s">
        <v>2649</v>
      </c>
      <c r="I275" s="1747" t="s">
        <v>1103</v>
      </c>
    </row>
    <row r="276" spans="1:9" ht="11.25" customHeight="1">
      <c r="A276" s="1747" t="s">
        <v>2503</v>
      </c>
      <c r="B276" s="1747" t="s">
        <v>3</v>
      </c>
      <c r="C276" s="1747" t="s">
        <v>2650</v>
      </c>
      <c r="D276" s="1747" t="s">
        <v>2647</v>
      </c>
      <c r="E276" s="1747" t="s">
        <v>2651</v>
      </c>
      <c r="F276" s="1747" t="s">
        <v>2652</v>
      </c>
      <c r="G276" s="1747" t="s">
        <v>17</v>
      </c>
      <c r="H276" s="1747" t="s">
        <v>17</v>
      </c>
      <c r="I276" s="1747" t="s">
        <v>1103</v>
      </c>
    </row>
    <row r="277" spans="1:9" ht="11.25" customHeight="1">
      <c r="A277" s="1747" t="s">
        <v>2503</v>
      </c>
      <c r="B277" s="1747" t="s">
        <v>3</v>
      </c>
      <c r="C277" s="1747" t="s">
        <v>2653</v>
      </c>
      <c r="D277" s="1747" t="s">
        <v>2647</v>
      </c>
      <c r="E277" s="1747" t="s">
        <v>2654</v>
      </c>
      <c r="F277" s="1747" t="s">
        <v>2655</v>
      </c>
      <c r="G277" s="1747" t="s">
        <v>17</v>
      </c>
      <c r="H277" s="1747" t="s">
        <v>17</v>
      </c>
      <c r="I277" s="1747" t="s">
        <v>1103</v>
      </c>
    </row>
    <row r="278" spans="1:9" ht="11.25" customHeight="1">
      <c r="A278" s="1747" t="s">
        <v>2503</v>
      </c>
      <c r="B278" s="1747" t="s">
        <v>3</v>
      </c>
      <c r="C278" s="1747" t="s">
        <v>2656</v>
      </c>
      <c r="D278" s="1747" t="s">
        <v>2647</v>
      </c>
      <c r="E278" s="1747" t="s">
        <v>2657</v>
      </c>
      <c r="F278" s="1747" t="s">
        <v>2658</v>
      </c>
      <c r="G278" s="1747" t="s">
        <v>17</v>
      </c>
      <c r="H278" s="1747" t="s">
        <v>17</v>
      </c>
      <c r="I278" s="1747" t="s">
        <v>1103</v>
      </c>
    </row>
    <row r="279" spans="1:9" ht="11.25" customHeight="1">
      <c r="A279" s="1747" t="s">
        <v>2503</v>
      </c>
      <c r="B279" s="1747" t="s">
        <v>3</v>
      </c>
      <c r="C279" s="1747" t="s">
        <v>2659</v>
      </c>
      <c r="D279" s="1747" t="s">
        <v>2647</v>
      </c>
      <c r="E279" s="1747" t="s">
        <v>2660</v>
      </c>
      <c r="F279" s="1747" t="s">
        <v>2629</v>
      </c>
      <c r="G279" s="1747" t="s">
        <v>17</v>
      </c>
      <c r="H279" s="1747" t="s">
        <v>17</v>
      </c>
      <c r="I279" s="1747" t="s">
        <v>1103</v>
      </c>
    </row>
    <row r="280" spans="1:9" ht="11.25" customHeight="1">
      <c r="A280" s="1747" t="s">
        <v>2503</v>
      </c>
      <c r="B280" s="1747" t="s">
        <v>3</v>
      </c>
      <c r="C280" s="1747" t="s">
        <v>2661</v>
      </c>
      <c r="D280" s="1747" t="s">
        <v>2662</v>
      </c>
      <c r="E280" s="1747" t="s">
        <v>2663</v>
      </c>
      <c r="F280" s="1747" t="s">
        <v>2559</v>
      </c>
      <c r="G280" s="1747" t="s">
        <v>17</v>
      </c>
      <c r="H280" s="1747" t="s">
        <v>17</v>
      </c>
      <c r="I280" s="1747" t="s">
        <v>1103</v>
      </c>
    </row>
    <row r="281" spans="1:9" ht="11.25" customHeight="1">
      <c r="A281" s="1747" t="s">
        <v>2503</v>
      </c>
      <c r="B281" s="1747" t="s">
        <v>3</v>
      </c>
      <c r="C281" s="1747" t="s">
        <v>3107</v>
      </c>
      <c r="D281" s="1747" t="s">
        <v>3108</v>
      </c>
      <c r="E281" s="1747" t="s">
        <v>3109</v>
      </c>
      <c r="F281" s="1747" t="s">
        <v>2621</v>
      </c>
      <c r="G281" s="1747" t="s">
        <v>17</v>
      </c>
      <c r="H281" s="1747" t="s">
        <v>17</v>
      </c>
      <c r="I281" s="1747" t="s">
        <v>1103</v>
      </c>
    </row>
    <row r="282" spans="1:9" ht="11.25" customHeight="1">
      <c r="A282" s="1747" t="s">
        <v>2503</v>
      </c>
      <c r="B282" s="1747" t="s">
        <v>3</v>
      </c>
      <c r="C282" s="1747" t="s">
        <v>2664</v>
      </c>
      <c r="D282" s="1747" t="s">
        <v>2665</v>
      </c>
      <c r="E282" s="1747" t="s">
        <v>2666</v>
      </c>
      <c r="F282" s="1747" t="s">
        <v>2525</v>
      </c>
      <c r="G282" s="1747" t="s">
        <v>17</v>
      </c>
      <c r="H282" s="1747" t="s">
        <v>17</v>
      </c>
      <c r="I282" s="1747" t="s">
        <v>1103</v>
      </c>
    </row>
    <row r="283" spans="1:9" ht="11.25" customHeight="1">
      <c r="A283" s="1747" t="s">
        <v>2503</v>
      </c>
      <c r="B283" s="1747" t="s">
        <v>3</v>
      </c>
      <c r="C283" s="1747" t="s">
        <v>3110</v>
      </c>
      <c r="D283" s="1747" t="s">
        <v>3111</v>
      </c>
      <c r="E283" s="1747" t="s">
        <v>3112</v>
      </c>
      <c r="F283" s="1747" t="s">
        <v>2535</v>
      </c>
      <c r="G283" s="1747" t="s">
        <v>17</v>
      </c>
      <c r="H283" s="1747" t="s">
        <v>17</v>
      </c>
      <c r="I283" s="1747" t="s">
        <v>1103</v>
      </c>
    </row>
    <row r="284" spans="1:9" ht="11.25" customHeight="1">
      <c r="A284" s="1747" t="s">
        <v>2503</v>
      </c>
      <c r="B284" s="1747" t="s">
        <v>3</v>
      </c>
      <c r="C284" s="1747" t="s">
        <v>2667</v>
      </c>
      <c r="D284" s="1747" t="s">
        <v>2668</v>
      </c>
      <c r="E284" s="1747" t="s">
        <v>2669</v>
      </c>
      <c r="F284" s="1747" t="s">
        <v>2535</v>
      </c>
      <c r="G284" s="1747" t="s">
        <v>17</v>
      </c>
      <c r="H284" s="1747" t="s">
        <v>17</v>
      </c>
      <c r="I284" s="1747" t="s">
        <v>1103</v>
      </c>
    </row>
    <row r="285" spans="1:9" ht="11.25" customHeight="1">
      <c r="A285" s="1747" t="s">
        <v>2503</v>
      </c>
      <c r="B285" s="1747" t="s">
        <v>3</v>
      </c>
      <c r="C285" s="1747" t="s">
        <v>3113</v>
      </c>
      <c r="D285" s="1747" t="s">
        <v>3114</v>
      </c>
      <c r="E285" s="1747" t="s">
        <v>3115</v>
      </c>
      <c r="F285" s="1747" t="s">
        <v>2621</v>
      </c>
      <c r="G285" s="1747" t="s">
        <v>3116</v>
      </c>
      <c r="H285" s="1747" t="s">
        <v>17</v>
      </c>
      <c r="I285" s="1747" t="s">
        <v>1103</v>
      </c>
    </row>
    <row r="286" spans="1:9" ht="11.25" customHeight="1">
      <c r="A286" s="1747" t="s">
        <v>2503</v>
      </c>
      <c r="B286" s="1747" t="s">
        <v>3</v>
      </c>
      <c r="C286" s="1747" t="s">
        <v>3117</v>
      </c>
      <c r="D286" s="1747" t="s">
        <v>3118</v>
      </c>
      <c r="E286" s="1747" t="s">
        <v>3119</v>
      </c>
      <c r="F286" s="1747" t="s">
        <v>2535</v>
      </c>
      <c r="G286" s="1747" t="s">
        <v>17</v>
      </c>
      <c r="H286" s="1747" t="s">
        <v>17</v>
      </c>
      <c r="I286" s="1747" t="s">
        <v>1103</v>
      </c>
    </row>
    <row r="287" spans="1:9" ht="11.25" customHeight="1">
      <c r="A287" s="1747" t="s">
        <v>2503</v>
      </c>
      <c r="B287" s="1747" t="s">
        <v>3</v>
      </c>
      <c r="C287" s="1747" t="s">
        <v>3120</v>
      </c>
      <c r="D287" s="1747" t="s">
        <v>3121</v>
      </c>
      <c r="E287" s="1747" t="s">
        <v>3122</v>
      </c>
      <c r="F287" s="1747" t="s">
        <v>2535</v>
      </c>
      <c r="G287" s="1747" t="s">
        <v>17</v>
      </c>
      <c r="H287" s="1747" t="s">
        <v>17</v>
      </c>
      <c r="I287" s="1747" t="s">
        <v>1103</v>
      </c>
    </row>
    <row r="288" spans="1:9" ht="11.25" customHeight="1">
      <c r="A288" s="1747" t="s">
        <v>2503</v>
      </c>
      <c r="B288" s="1747" t="s">
        <v>3</v>
      </c>
      <c r="C288" s="1747" t="s">
        <v>2670</v>
      </c>
      <c r="D288" s="1747" t="s">
        <v>2671</v>
      </c>
      <c r="E288" s="1747" t="s">
        <v>2672</v>
      </c>
      <c r="F288" s="1747" t="s">
        <v>2525</v>
      </c>
      <c r="G288" s="1747" t="s">
        <v>2673</v>
      </c>
      <c r="H288" s="1747" t="s">
        <v>17</v>
      </c>
      <c r="I288" s="1747" t="s">
        <v>1103</v>
      </c>
    </row>
    <row r="289" spans="1:9" ht="11.25" customHeight="1">
      <c r="A289" s="1747" t="s">
        <v>2503</v>
      </c>
      <c r="B289" s="1747" t="s">
        <v>3</v>
      </c>
      <c r="C289" s="1747" t="s">
        <v>3123</v>
      </c>
      <c r="D289" s="1747" t="s">
        <v>3124</v>
      </c>
      <c r="E289" s="1747" t="s">
        <v>3125</v>
      </c>
      <c r="F289" s="1747" t="s">
        <v>3060</v>
      </c>
      <c r="G289" s="1747" t="s">
        <v>17</v>
      </c>
      <c r="H289" s="1747" t="s">
        <v>17</v>
      </c>
      <c r="I289" s="1747" t="s">
        <v>1103</v>
      </c>
    </row>
    <row r="290" spans="1:9" ht="11.25" customHeight="1">
      <c r="A290" s="1747" t="s">
        <v>2503</v>
      </c>
      <c r="B290" s="1747" t="s">
        <v>3</v>
      </c>
      <c r="C290" s="1747" t="s">
        <v>3126</v>
      </c>
      <c r="D290" s="1747" t="s">
        <v>3127</v>
      </c>
      <c r="E290" s="1747" t="s">
        <v>3128</v>
      </c>
      <c r="F290" s="1747" t="s">
        <v>2603</v>
      </c>
      <c r="G290" s="1747" t="s">
        <v>3129</v>
      </c>
      <c r="H290" s="1747" t="s">
        <v>17</v>
      </c>
      <c r="I290" s="1747" t="s">
        <v>1103</v>
      </c>
    </row>
    <row r="291" spans="1:9" ht="11.25" customHeight="1">
      <c r="A291" s="1747" t="s">
        <v>2503</v>
      </c>
      <c r="B291" s="1747" t="s">
        <v>3</v>
      </c>
      <c r="C291" s="1747" t="s">
        <v>3130</v>
      </c>
      <c r="D291" s="1747" t="s">
        <v>3131</v>
      </c>
      <c r="E291" s="1747" t="s">
        <v>3132</v>
      </c>
      <c r="F291" s="1747" t="s">
        <v>2599</v>
      </c>
      <c r="G291" s="1747" t="s">
        <v>17</v>
      </c>
      <c r="H291" s="1747" t="s">
        <v>17</v>
      </c>
      <c r="I291" s="1747" t="s">
        <v>1103</v>
      </c>
    </row>
    <row r="292" spans="1:9" ht="11.25" customHeight="1">
      <c r="A292" s="1747" t="s">
        <v>2503</v>
      </c>
      <c r="B292" s="1747" t="s">
        <v>3</v>
      </c>
      <c r="C292" s="1747" t="s">
        <v>2674</v>
      </c>
      <c r="D292" s="1747" t="s">
        <v>2675</v>
      </c>
      <c r="E292" s="1747" t="s">
        <v>2676</v>
      </c>
      <c r="F292" s="1747" t="s">
        <v>2610</v>
      </c>
      <c r="G292" s="1747" t="s">
        <v>17</v>
      </c>
      <c r="H292" s="1747" t="s">
        <v>17</v>
      </c>
      <c r="I292" s="1747" t="s">
        <v>1103</v>
      </c>
    </row>
    <row r="293" spans="1:9" ht="11.25" customHeight="1">
      <c r="A293" s="1747" t="s">
        <v>2503</v>
      </c>
      <c r="B293" s="1747" t="s">
        <v>3</v>
      </c>
      <c r="C293" s="1747" t="s">
        <v>3133</v>
      </c>
      <c r="D293" s="1747" t="s">
        <v>3134</v>
      </c>
      <c r="E293" s="1747" t="s">
        <v>3135</v>
      </c>
      <c r="F293" s="1747" t="s">
        <v>2525</v>
      </c>
      <c r="G293" s="1747" t="s">
        <v>17</v>
      </c>
      <c r="H293" s="1747" t="s">
        <v>17</v>
      </c>
      <c r="I293" s="1747" t="s">
        <v>1103</v>
      </c>
    </row>
    <row r="294" spans="1:9" ht="11.25" customHeight="1">
      <c r="A294" s="1747" t="s">
        <v>2503</v>
      </c>
      <c r="B294" s="1747" t="s">
        <v>3</v>
      </c>
      <c r="C294" s="1747" t="s">
        <v>3136</v>
      </c>
      <c r="D294" s="1747" t="s">
        <v>3137</v>
      </c>
      <c r="E294" s="1747" t="s">
        <v>3138</v>
      </c>
      <c r="F294" s="1747" t="s">
        <v>2535</v>
      </c>
      <c r="G294" s="1747" t="s">
        <v>3139</v>
      </c>
      <c r="H294" s="1747" t="s">
        <v>3140</v>
      </c>
      <c r="I294" s="1747" t="s">
        <v>1103</v>
      </c>
    </row>
    <row r="295" spans="1:9" ht="11.25" customHeight="1">
      <c r="A295" s="1747" t="s">
        <v>2503</v>
      </c>
      <c r="B295" s="1747" t="s">
        <v>3</v>
      </c>
      <c r="C295" s="1747" t="s">
        <v>3141</v>
      </c>
      <c r="D295" s="1747" t="s">
        <v>3142</v>
      </c>
      <c r="E295" s="1747" t="s">
        <v>3143</v>
      </c>
      <c r="F295" s="1747" t="s">
        <v>2525</v>
      </c>
      <c r="G295" s="1747" t="s">
        <v>17</v>
      </c>
      <c r="H295" s="1747" t="s">
        <v>17</v>
      </c>
      <c r="I295" s="1747" t="s">
        <v>1103</v>
      </c>
    </row>
    <row r="296" spans="1:9" ht="11.25" customHeight="1">
      <c r="A296" s="1747" t="s">
        <v>2503</v>
      </c>
      <c r="B296" s="1747" t="s">
        <v>3</v>
      </c>
      <c r="C296" s="1747" t="s">
        <v>3144</v>
      </c>
      <c r="D296" s="1747" t="s">
        <v>3145</v>
      </c>
      <c r="E296" s="1747" t="s">
        <v>3146</v>
      </c>
      <c r="F296" s="1747" t="s">
        <v>2621</v>
      </c>
      <c r="G296" s="1747" t="s">
        <v>17</v>
      </c>
      <c r="H296" s="1747" t="s">
        <v>17</v>
      </c>
      <c r="I296" s="1747" t="s">
        <v>1103</v>
      </c>
    </row>
    <row r="297" spans="1:9" ht="11.25" customHeight="1">
      <c r="A297" s="1747" t="s">
        <v>2503</v>
      </c>
      <c r="B297" s="1747" t="s">
        <v>3</v>
      </c>
      <c r="C297" s="1747" t="s">
        <v>2680</v>
      </c>
      <c r="D297" s="1747" t="s">
        <v>2681</v>
      </c>
      <c r="E297" s="1747" t="s">
        <v>2682</v>
      </c>
      <c r="F297" s="1747" t="s">
        <v>2683</v>
      </c>
      <c r="G297" s="1747" t="s">
        <v>17</v>
      </c>
      <c r="H297" s="1747" t="s">
        <v>17</v>
      </c>
      <c r="I297" s="1747" t="s">
        <v>1103</v>
      </c>
    </row>
    <row r="298" spans="1:9" ht="11.25" customHeight="1">
      <c r="A298" s="1747" t="s">
        <v>2503</v>
      </c>
      <c r="B298" s="1747" t="s">
        <v>3</v>
      </c>
      <c r="C298" s="1747" t="s">
        <v>2684</v>
      </c>
      <c r="D298" s="1747" t="s">
        <v>2685</v>
      </c>
      <c r="E298" s="1747" t="s">
        <v>2686</v>
      </c>
      <c r="F298" s="1747" t="s">
        <v>2621</v>
      </c>
      <c r="G298" s="1747" t="s">
        <v>2687</v>
      </c>
      <c r="H298" s="1747" t="s">
        <v>17</v>
      </c>
      <c r="I298" s="1747" t="s">
        <v>1103</v>
      </c>
    </row>
    <row r="299" spans="1:9" ht="11.25" customHeight="1">
      <c r="A299" s="1747" t="s">
        <v>2503</v>
      </c>
      <c r="B299" s="1747" t="s">
        <v>3</v>
      </c>
      <c r="C299" s="1747" t="s">
        <v>2688</v>
      </c>
      <c r="D299" s="1747" t="s">
        <v>2689</v>
      </c>
      <c r="E299" s="1747" t="s">
        <v>2690</v>
      </c>
      <c r="F299" s="1747" t="s">
        <v>2525</v>
      </c>
      <c r="G299" s="1747" t="s">
        <v>17</v>
      </c>
      <c r="H299" s="1747" t="s">
        <v>17</v>
      </c>
      <c r="I299" s="1747" t="s">
        <v>1103</v>
      </c>
    </row>
    <row r="300" spans="1:9" ht="11.25" customHeight="1">
      <c r="A300" s="1747" t="s">
        <v>2503</v>
      </c>
      <c r="B300" s="1747" t="s">
        <v>3</v>
      </c>
      <c r="C300" s="1747" t="s">
        <v>3147</v>
      </c>
      <c r="D300" s="1747" t="s">
        <v>3148</v>
      </c>
      <c r="E300" s="1747" t="s">
        <v>3149</v>
      </c>
      <c r="F300" s="1747" t="s">
        <v>2603</v>
      </c>
      <c r="G300" s="1747" t="s">
        <v>3150</v>
      </c>
      <c r="H300" s="1747" t="s">
        <v>17</v>
      </c>
      <c r="I300" s="1747" t="s">
        <v>1103</v>
      </c>
    </row>
    <row r="301" spans="1:9" ht="11.25" customHeight="1">
      <c r="A301" s="1747" t="s">
        <v>2503</v>
      </c>
      <c r="B301" s="1747" t="s">
        <v>3</v>
      </c>
      <c r="C301" s="1747" t="s">
        <v>3151</v>
      </c>
      <c r="D301" s="1747" t="s">
        <v>3152</v>
      </c>
      <c r="E301" s="1747" t="s">
        <v>3153</v>
      </c>
      <c r="F301" s="1747" t="s">
        <v>2683</v>
      </c>
      <c r="G301" s="1747" t="s">
        <v>17</v>
      </c>
      <c r="H301" s="1747" t="s">
        <v>17</v>
      </c>
      <c r="I301" s="1747" t="s">
        <v>1103</v>
      </c>
    </row>
    <row r="302" spans="1:9" ht="11.25" customHeight="1">
      <c r="A302" s="1747" t="s">
        <v>2503</v>
      </c>
      <c r="B302" s="1747" t="s">
        <v>3</v>
      </c>
      <c r="C302" s="1747" t="s">
        <v>2696</v>
      </c>
      <c r="D302" s="1747" t="s">
        <v>2697</v>
      </c>
      <c r="E302" s="1747" t="s">
        <v>2698</v>
      </c>
      <c r="F302" s="1747" t="s">
        <v>2699</v>
      </c>
      <c r="G302" s="1747" t="s">
        <v>17</v>
      </c>
      <c r="H302" s="1747" t="s">
        <v>17</v>
      </c>
      <c r="I302" s="1747" t="s">
        <v>1103</v>
      </c>
    </row>
    <row r="303" spans="1:9" ht="11.25" customHeight="1">
      <c r="A303" s="1747" t="s">
        <v>2503</v>
      </c>
      <c r="B303" s="1747" t="s">
        <v>3</v>
      </c>
      <c r="C303" s="1747" t="s">
        <v>3154</v>
      </c>
      <c r="D303" s="1747" t="s">
        <v>3155</v>
      </c>
      <c r="E303" s="1747" t="s">
        <v>3156</v>
      </c>
      <c r="F303" s="1747" t="s">
        <v>2614</v>
      </c>
      <c r="G303" s="1747" t="s">
        <v>17</v>
      </c>
      <c r="H303" s="1747" t="s">
        <v>17</v>
      </c>
      <c r="I303" s="1747" t="s">
        <v>1103</v>
      </c>
    </row>
    <row r="304" spans="1:9" ht="11.25" customHeight="1">
      <c r="A304" s="1747" t="s">
        <v>2503</v>
      </c>
      <c r="B304" s="1747" t="s">
        <v>3</v>
      </c>
      <c r="C304" s="1747" t="s">
        <v>2700</v>
      </c>
      <c r="D304" s="1747" t="s">
        <v>2701</v>
      </c>
      <c r="E304" s="1747" t="s">
        <v>2702</v>
      </c>
      <c r="F304" s="1747" t="s">
        <v>2614</v>
      </c>
      <c r="G304" s="1747" t="s">
        <v>17</v>
      </c>
      <c r="H304" s="1747" t="s">
        <v>17</v>
      </c>
      <c r="I304" s="1747" t="s">
        <v>1103</v>
      </c>
    </row>
    <row r="305" spans="1:9" ht="11.25" customHeight="1">
      <c r="A305" s="1747" t="s">
        <v>2503</v>
      </c>
      <c r="B305" s="1747" t="s">
        <v>3</v>
      </c>
      <c r="C305" s="1747" t="s">
        <v>2703</v>
      </c>
      <c r="D305" s="1747" t="s">
        <v>2704</v>
      </c>
      <c r="E305" s="1747" t="s">
        <v>2705</v>
      </c>
      <c r="F305" s="1747" t="s">
        <v>2599</v>
      </c>
      <c r="G305" s="1747" t="s">
        <v>17</v>
      </c>
      <c r="H305" s="1747" t="s">
        <v>17</v>
      </c>
      <c r="I305" s="1747" t="s">
        <v>1103</v>
      </c>
    </row>
    <row r="306" spans="1:9" ht="11.25" customHeight="1">
      <c r="A306" s="1747" t="s">
        <v>2503</v>
      </c>
      <c r="B306" s="1747" t="s">
        <v>3</v>
      </c>
      <c r="C306" s="1747" t="s">
        <v>3157</v>
      </c>
      <c r="D306" s="1747" t="s">
        <v>3158</v>
      </c>
      <c r="E306" s="1747" t="s">
        <v>3159</v>
      </c>
      <c r="F306" s="1747" t="s">
        <v>2535</v>
      </c>
      <c r="G306" s="1747" t="s">
        <v>17</v>
      </c>
      <c r="H306" s="1747" t="s">
        <v>3160</v>
      </c>
      <c r="I306" s="1747" t="s">
        <v>1103</v>
      </c>
    </row>
    <row r="307" spans="1:9" ht="11.25" customHeight="1">
      <c r="A307" s="1747" t="s">
        <v>2503</v>
      </c>
      <c r="B307" s="1747" t="s">
        <v>3</v>
      </c>
      <c r="C307" s="1747" t="s">
        <v>2706</v>
      </c>
      <c r="D307" s="1747" t="s">
        <v>2707</v>
      </c>
      <c r="E307" s="1747" t="s">
        <v>2708</v>
      </c>
      <c r="F307" s="1747" t="s">
        <v>2525</v>
      </c>
      <c r="G307" s="1747" t="s">
        <v>17</v>
      </c>
      <c r="H307" s="1747" t="s">
        <v>17</v>
      </c>
      <c r="I307" s="1747" t="s">
        <v>1103</v>
      </c>
    </row>
    <row r="308" spans="1:9" ht="11.25" customHeight="1">
      <c r="A308" s="1747" t="s">
        <v>2503</v>
      </c>
      <c r="B308" s="1747" t="s">
        <v>3</v>
      </c>
      <c r="C308" s="1747" t="s">
        <v>2709</v>
      </c>
      <c r="D308" s="1747" t="s">
        <v>2710</v>
      </c>
      <c r="E308" s="1747" t="s">
        <v>2711</v>
      </c>
      <c r="F308" s="1747" t="s">
        <v>2610</v>
      </c>
      <c r="G308" s="1747" t="s">
        <v>17</v>
      </c>
      <c r="H308" s="1747" t="s">
        <v>17</v>
      </c>
      <c r="I308" s="1747" t="s">
        <v>1103</v>
      </c>
    </row>
    <row r="309" spans="1:9" ht="11.25" customHeight="1">
      <c r="A309" s="1747" t="s">
        <v>2503</v>
      </c>
      <c r="B309" s="1747" t="s">
        <v>3</v>
      </c>
      <c r="C309" s="1747" t="s">
        <v>2712</v>
      </c>
      <c r="D309" s="1747" t="s">
        <v>2713</v>
      </c>
      <c r="E309" s="1747" t="s">
        <v>2714</v>
      </c>
      <c r="F309" s="1747" t="s">
        <v>2610</v>
      </c>
      <c r="G309" s="1747" t="s">
        <v>17</v>
      </c>
      <c r="H309" s="1747" t="s">
        <v>17</v>
      </c>
      <c r="I309" s="1747" t="s">
        <v>1103</v>
      </c>
    </row>
    <row r="310" spans="1:9" ht="11.25" customHeight="1">
      <c r="A310" s="1747" t="s">
        <v>2503</v>
      </c>
      <c r="B310" s="1747" t="s">
        <v>3</v>
      </c>
      <c r="C310" s="1747" t="s">
        <v>2715</v>
      </c>
      <c r="D310" s="1747" t="s">
        <v>2716</v>
      </c>
      <c r="E310" s="1747" t="s">
        <v>2717</v>
      </c>
      <c r="F310" s="1747" t="s">
        <v>2610</v>
      </c>
      <c r="G310" s="1747" t="s">
        <v>17</v>
      </c>
      <c r="H310" s="1747" t="s">
        <v>17</v>
      </c>
      <c r="I310" s="1747" t="s">
        <v>1103</v>
      </c>
    </row>
    <row r="311" spans="1:9" ht="11.25" customHeight="1">
      <c r="A311" s="1747" t="s">
        <v>2503</v>
      </c>
      <c r="B311" s="1747" t="s">
        <v>3</v>
      </c>
      <c r="C311" s="1747" t="s">
        <v>3161</v>
      </c>
      <c r="D311" s="1747" t="s">
        <v>3162</v>
      </c>
      <c r="E311" s="1747" t="s">
        <v>3163</v>
      </c>
      <c r="F311" s="1747" t="s">
        <v>2625</v>
      </c>
      <c r="G311" s="1747" t="s">
        <v>17</v>
      </c>
      <c r="H311" s="1747" t="s">
        <v>3164</v>
      </c>
      <c r="I311" s="1747" t="s">
        <v>1103</v>
      </c>
    </row>
    <row r="312" spans="1:9" ht="11.25" customHeight="1">
      <c r="A312" s="1747" t="s">
        <v>2503</v>
      </c>
      <c r="B312" s="1747" t="s">
        <v>3</v>
      </c>
      <c r="C312" s="1747" t="s">
        <v>2721</v>
      </c>
      <c r="D312" s="1747" t="s">
        <v>2722</v>
      </c>
      <c r="E312" s="1747" t="s">
        <v>2723</v>
      </c>
      <c r="F312" s="1747" t="s">
        <v>2625</v>
      </c>
      <c r="G312" s="1747" t="s">
        <v>2724</v>
      </c>
      <c r="H312" s="1747" t="s">
        <v>17</v>
      </c>
      <c r="I312" s="1747" t="s">
        <v>1103</v>
      </c>
    </row>
    <row r="313" spans="1:9" ht="11.25" customHeight="1">
      <c r="A313" s="1747" t="s">
        <v>2503</v>
      </c>
      <c r="B313" s="1747" t="s">
        <v>3</v>
      </c>
      <c r="C313" s="1747" t="s">
        <v>2725</v>
      </c>
      <c r="D313" s="1747" t="s">
        <v>2726</v>
      </c>
      <c r="E313" s="1747" t="s">
        <v>2727</v>
      </c>
      <c r="F313" s="1747" t="s">
        <v>2525</v>
      </c>
      <c r="G313" s="1747" t="s">
        <v>17</v>
      </c>
      <c r="H313" s="1747" t="s">
        <v>17</v>
      </c>
      <c r="I313" s="1747" t="s">
        <v>1103</v>
      </c>
    </row>
    <row r="314" spans="1:9" ht="11.25" customHeight="1">
      <c r="A314" s="1747" t="s">
        <v>2503</v>
      </c>
      <c r="B314" s="1747" t="s">
        <v>3</v>
      </c>
      <c r="C314" s="1747" t="s">
        <v>3165</v>
      </c>
      <c r="D314" s="1747" t="s">
        <v>3166</v>
      </c>
      <c r="E314" s="1747" t="s">
        <v>3167</v>
      </c>
      <c r="F314" s="1747" t="s">
        <v>2525</v>
      </c>
      <c r="G314" s="1747" t="s">
        <v>17</v>
      </c>
      <c r="H314" s="1747" t="s">
        <v>17</v>
      </c>
      <c r="I314" s="1747" t="s">
        <v>1103</v>
      </c>
    </row>
    <row r="315" spans="1:9" ht="11.25" customHeight="1">
      <c r="A315" s="1747" t="s">
        <v>2503</v>
      </c>
      <c r="B315" s="1747" t="s">
        <v>3</v>
      </c>
      <c r="C315" s="1747" t="s">
        <v>2728</v>
      </c>
      <c r="D315" s="1747" t="s">
        <v>2729</v>
      </c>
      <c r="E315" s="1747" t="s">
        <v>2730</v>
      </c>
      <c r="F315" s="1747" t="s">
        <v>2731</v>
      </c>
      <c r="G315" s="1747" t="s">
        <v>17</v>
      </c>
      <c r="H315" s="1747" t="s">
        <v>17</v>
      </c>
      <c r="I315" s="1747" t="s">
        <v>1103</v>
      </c>
    </row>
    <row r="316" spans="1:9" ht="11.25" customHeight="1">
      <c r="A316" s="1747" t="s">
        <v>2503</v>
      </c>
      <c r="B316" s="1747" t="s">
        <v>3</v>
      </c>
      <c r="C316" s="1747" t="s">
        <v>3168</v>
      </c>
      <c r="D316" s="1747" t="s">
        <v>3169</v>
      </c>
      <c r="E316" s="1747" t="s">
        <v>3170</v>
      </c>
      <c r="F316" s="1747" t="s">
        <v>2539</v>
      </c>
      <c r="G316" s="1747" t="s">
        <v>3171</v>
      </c>
      <c r="H316" s="1747" t="s">
        <v>17</v>
      </c>
      <c r="I316" s="1747" t="s">
        <v>1103</v>
      </c>
    </row>
    <row r="317" spans="1:9" ht="11.25" customHeight="1">
      <c r="A317" s="1747" t="s">
        <v>2503</v>
      </c>
      <c r="B317" s="1747" t="s">
        <v>3</v>
      </c>
      <c r="C317" s="1747" t="s">
        <v>3172</v>
      </c>
      <c r="D317" s="1747" t="s">
        <v>3173</v>
      </c>
      <c r="E317" s="1747" t="s">
        <v>3174</v>
      </c>
      <c r="F317" s="1747" t="s">
        <v>2683</v>
      </c>
      <c r="G317" s="1747" t="s">
        <v>17</v>
      </c>
      <c r="H317" s="1747" t="s">
        <v>17</v>
      </c>
      <c r="I317" s="1747" t="s">
        <v>1103</v>
      </c>
    </row>
    <row r="318" spans="1:9" ht="11.25" customHeight="1">
      <c r="A318" s="1747" t="s">
        <v>2503</v>
      </c>
      <c r="B318" s="1747" t="s">
        <v>3</v>
      </c>
      <c r="C318" s="1747" t="s">
        <v>3175</v>
      </c>
      <c r="D318" s="1747" t="s">
        <v>3176</v>
      </c>
      <c r="E318" s="1747" t="s">
        <v>3177</v>
      </c>
      <c r="F318" s="1747" t="s">
        <v>3178</v>
      </c>
      <c r="G318" s="1747" t="s">
        <v>17</v>
      </c>
      <c r="H318" s="1747" t="s">
        <v>17</v>
      </c>
      <c r="I318" s="1747" t="s">
        <v>1103</v>
      </c>
    </row>
    <row r="319" spans="1:9" ht="11.25" customHeight="1">
      <c r="A319" s="1747" t="s">
        <v>2503</v>
      </c>
      <c r="B319" s="1747" t="s">
        <v>3</v>
      </c>
      <c r="C319" s="1747" t="s">
        <v>3179</v>
      </c>
      <c r="D319" s="1747" t="s">
        <v>3180</v>
      </c>
      <c r="E319" s="1747" t="s">
        <v>3181</v>
      </c>
      <c r="F319" s="1747" t="s">
        <v>2525</v>
      </c>
      <c r="G319" s="1747" t="s">
        <v>17</v>
      </c>
      <c r="H319" s="1747" t="s">
        <v>17</v>
      </c>
      <c r="I319" s="1747" t="s">
        <v>1103</v>
      </c>
    </row>
    <row r="320" spans="1:9" ht="11.25" customHeight="1">
      <c r="A320" s="1747" t="s">
        <v>2503</v>
      </c>
      <c r="B320" s="1747" t="s">
        <v>3</v>
      </c>
      <c r="C320" s="1747" t="s">
        <v>3182</v>
      </c>
      <c r="D320" s="1747" t="s">
        <v>3183</v>
      </c>
      <c r="E320" s="1747" t="s">
        <v>3184</v>
      </c>
      <c r="F320" s="1747" t="s">
        <v>2694</v>
      </c>
      <c r="G320" s="1747" t="s">
        <v>17</v>
      </c>
      <c r="H320" s="1747" t="s">
        <v>17</v>
      </c>
      <c r="I320" s="1747" t="s">
        <v>1103</v>
      </c>
    </row>
    <row r="321" spans="1:9" ht="11.25" customHeight="1">
      <c r="A321" s="1747" t="s">
        <v>2503</v>
      </c>
      <c r="B321" s="1747" t="s">
        <v>3</v>
      </c>
      <c r="C321" s="1747" t="s">
        <v>2764</v>
      </c>
      <c r="D321" s="1747" t="s">
        <v>2765</v>
      </c>
      <c r="E321" s="1747" t="s">
        <v>2766</v>
      </c>
      <c r="F321" s="1747" t="s">
        <v>2767</v>
      </c>
      <c r="G321" s="1747" t="s">
        <v>17</v>
      </c>
      <c r="H321" s="1747" t="s">
        <v>17</v>
      </c>
      <c r="I321" s="1747" t="s">
        <v>1103</v>
      </c>
    </row>
    <row r="322" spans="1:9" ht="11.25" customHeight="1">
      <c r="A322" s="1747" t="s">
        <v>2503</v>
      </c>
      <c r="B322" s="1747" t="s">
        <v>3</v>
      </c>
      <c r="C322" s="1747" t="s">
        <v>3185</v>
      </c>
      <c r="D322" s="1747" t="s">
        <v>3186</v>
      </c>
      <c r="E322" s="1747" t="s">
        <v>3187</v>
      </c>
      <c r="F322" s="1747" t="s">
        <v>2683</v>
      </c>
      <c r="G322" s="1747" t="s">
        <v>17</v>
      </c>
      <c r="H322" s="1747" t="s">
        <v>17</v>
      </c>
      <c r="I322" s="1747" t="s">
        <v>1103</v>
      </c>
    </row>
    <row r="323" spans="1:9" ht="11.25" customHeight="1">
      <c r="A323" s="1747" t="s">
        <v>2503</v>
      </c>
      <c r="B323" s="1747" t="s">
        <v>3</v>
      </c>
      <c r="C323" s="1747" t="s">
        <v>2774</v>
      </c>
      <c r="D323" s="1747" t="s">
        <v>2775</v>
      </c>
      <c r="E323" s="1747" t="s">
        <v>2776</v>
      </c>
      <c r="F323" s="1747" t="s">
        <v>45</v>
      </c>
      <c r="G323" s="1747" t="s">
        <v>17</v>
      </c>
      <c r="H323" s="1747" t="s">
        <v>17</v>
      </c>
      <c r="I323" s="1747" t="s">
        <v>1103</v>
      </c>
    </row>
    <row r="324" spans="1:9" ht="11.25" customHeight="1">
      <c r="A324" s="1747" t="s">
        <v>2503</v>
      </c>
      <c r="B324" s="1747" t="s">
        <v>3</v>
      </c>
      <c r="C324" s="1747" t="s">
        <v>3188</v>
      </c>
      <c r="D324" s="1747" t="s">
        <v>3189</v>
      </c>
      <c r="E324" s="1747" t="s">
        <v>3190</v>
      </c>
      <c r="F324" s="1747" t="s">
        <v>2625</v>
      </c>
      <c r="G324" s="1747" t="s">
        <v>17</v>
      </c>
      <c r="H324" s="1747" t="s">
        <v>17</v>
      </c>
      <c r="I324" s="1747" t="s">
        <v>1103</v>
      </c>
    </row>
    <row r="325" spans="1:9" ht="11.25" customHeight="1">
      <c r="A325" s="1747" t="s">
        <v>2503</v>
      </c>
      <c r="B325" s="1747" t="s">
        <v>3</v>
      </c>
      <c r="C325" s="1747" t="s">
        <v>2780</v>
      </c>
      <c r="D325" s="1747" t="s">
        <v>2781</v>
      </c>
      <c r="E325" s="1747" t="s">
        <v>2782</v>
      </c>
      <c r="F325" s="1747" t="s">
        <v>2694</v>
      </c>
      <c r="G325" s="1747" t="s">
        <v>17</v>
      </c>
      <c r="H325" s="1747" t="s">
        <v>17</v>
      </c>
      <c r="I325" s="1747" t="s">
        <v>1103</v>
      </c>
    </row>
    <row r="326" spans="1:9" ht="11.25" customHeight="1">
      <c r="A326" s="1747" t="s">
        <v>2503</v>
      </c>
      <c r="B326" s="1747" t="s">
        <v>3</v>
      </c>
      <c r="C326" s="1747" t="s">
        <v>3191</v>
      </c>
      <c r="D326" s="1747" t="s">
        <v>3192</v>
      </c>
      <c r="E326" s="1747" t="s">
        <v>3193</v>
      </c>
      <c r="F326" s="1747" t="s">
        <v>2694</v>
      </c>
      <c r="G326" s="1747" t="s">
        <v>17</v>
      </c>
      <c r="H326" s="1747" t="s">
        <v>17</v>
      </c>
      <c r="I326" s="1747" t="s">
        <v>1103</v>
      </c>
    </row>
    <row r="327" spans="1:9" ht="11.25" customHeight="1">
      <c r="A327" s="1747" t="s">
        <v>2503</v>
      </c>
      <c r="B327" s="1747" t="s">
        <v>3</v>
      </c>
      <c r="C327" s="1747" t="s">
        <v>2783</v>
      </c>
      <c r="D327" s="1747" t="s">
        <v>2784</v>
      </c>
      <c r="E327" s="1747" t="s">
        <v>2785</v>
      </c>
      <c r="F327" s="1747" t="s">
        <v>2550</v>
      </c>
      <c r="G327" s="1747" t="s">
        <v>17</v>
      </c>
      <c r="H327" s="1747" t="s">
        <v>17</v>
      </c>
      <c r="I327" s="1747" t="s">
        <v>1103</v>
      </c>
    </row>
    <row r="328" spans="1:9" ht="11.25" customHeight="1">
      <c r="A328" s="1747" t="s">
        <v>2503</v>
      </c>
      <c r="B328" s="1747" t="s">
        <v>3</v>
      </c>
      <c r="C328" s="1747" t="s">
        <v>2786</v>
      </c>
      <c r="D328" s="1747" t="s">
        <v>2787</v>
      </c>
      <c r="E328" s="1747" t="s">
        <v>2788</v>
      </c>
      <c r="F328" s="1747" t="s">
        <v>2625</v>
      </c>
      <c r="G328" s="1747" t="s">
        <v>17</v>
      </c>
      <c r="H328" s="1747" t="s">
        <v>17</v>
      </c>
      <c r="I328" s="1747" t="s">
        <v>1103</v>
      </c>
    </row>
    <row r="329" spans="1:9" ht="11.25" customHeight="1">
      <c r="A329" s="1747" t="s">
        <v>2503</v>
      </c>
      <c r="B329" s="1747" t="s">
        <v>3</v>
      </c>
      <c r="C329" s="1747" t="s">
        <v>2795</v>
      </c>
      <c r="D329" s="1747" t="s">
        <v>2796</v>
      </c>
      <c r="E329" s="1747" t="s">
        <v>2797</v>
      </c>
      <c r="F329" s="1747" t="s">
        <v>2735</v>
      </c>
      <c r="G329" s="1747" t="s">
        <v>17</v>
      </c>
      <c r="H329" s="1747" t="s">
        <v>17</v>
      </c>
      <c r="I329" s="1747" t="s">
        <v>1103</v>
      </c>
    </row>
    <row r="330" spans="1:9" ht="11.25" customHeight="1">
      <c r="A330" s="1747" t="s">
        <v>2503</v>
      </c>
      <c r="B330" s="1747" t="s">
        <v>3</v>
      </c>
      <c r="C330" s="1747" t="s">
        <v>3194</v>
      </c>
      <c r="D330" s="1747" t="s">
        <v>3195</v>
      </c>
      <c r="E330" s="1747" t="s">
        <v>3196</v>
      </c>
      <c r="F330" s="1747" t="s">
        <v>2735</v>
      </c>
      <c r="G330" s="1747" t="s">
        <v>17</v>
      </c>
      <c r="H330" s="1747" t="s">
        <v>17</v>
      </c>
      <c r="I330" s="1747" t="s">
        <v>1103</v>
      </c>
    </row>
    <row r="331" spans="1:9" ht="11.25" customHeight="1">
      <c r="A331" s="1747" t="s">
        <v>2503</v>
      </c>
      <c r="B331" s="1747" t="s">
        <v>3</v>
      </c>
      <c r="C331" s="1747" t="s">
        <v>3197</v>
      </c>
      <c r="D331" s="1747" t="s">
        <v>3198</v>
      </c>
      <c r="E331" s="1747" t="s">
        <v>3199</v>
      </c>
      <c r="F331" s="1747" t="s">
        <v>2694</v>
      </c>
      <c r="G331" s="1747" t="s">
        <v>3200</v>
      </c>
      <c r="H331" s="1747" t="s">
        <v>17</v>
      </c>
      <c r="I331" s="1747" t="s">
        <v>1103</v>
      </c>
    </row>
    <row r="332" spans="1:9" ht="11.25" customHeight="1">
      <c r="A332" s="1747" t="s">
        <v>2503</v>
      </c>
      <c r="B332" s="1747" t="s">
        <v>3</v>
      </c>
      <c r="C332" s="1747" t="s">
        <v>3201</v>
      </c>
      <c r="D332" s="1747" t="s">
        <v>3202</v>
      </c>
      <c r="E332" s="1747" t="s">
        <v>3203</v>
      </c>
      <c r="F332" s="1747" t="s">
        <v>45</v>
      </c>
      <c r="G332" s="1747" t="s">
        <v>17</v>
      </c>
      <c r="H332" s="1747" t="s">
        <v>17</v>
      </c>
      <c r="I332" s="1747" t="s">
        <v>1103</v>
      </c>
    </row>
    <row r="333" spans="1:9" ht="11.25" customHeight="1">
      <c r="A333" s="1747" t="s">
        <v>2503</v>
      </c>
      <c r="B333" s="1747" t="s">
        <v>3</v>
      </c>
      <c r="C333" s="1747" t="s">
        <v>2808</v>
      </c>
      <c r="D333" s="1747" t="s">
        <v>2809</v>
      </c>
      <c r="E333" s="1747" t="s">
        <v>2810</v>
      </c>
      <c r="F333" s="1747" t="s">
        <v>2525</v>
      </c>
      <c r="G333" s="1747" t="s">
        <v>2807</v>
      </c>
      <c r="H333" s="1747" t="s">
        <v>17</v>
      </c>
      <c r="I333" s="1747" t="s">
        <v>1103</v>
      </c>
    </row>
    <row r="334" spans="1:9" ht="11.25" customHeight="1">
      <c r="A334" s="1747" t="s">
        <v>2503</v>
      </c>
      <c r="B334" s="1747" t="s">
        <v>3</v>
      </c>
      <c r="C334" s="1747" t="s">
        <v>3204</v>
      </c>
      <c r="D334" s="1747" t="s">
        <v>3205</v>
      </c>
      <c r="E334" s="1747" t="s">
        <v>3206</v>
      </c>
      <c r="F334" s="1747" t="s">
        <v>2621</v>
      </c>
      <c r="G334" s="1747" t="s">
        <v>17</v>
      </c>
      <c r="H334" s="1747" t="s">
        <v>17</v>
      </c>
      <c r="I334" s="1747" t="s">
        <v>1103</v>
      </c>
    </row>
    <row r="335" spans="1:9" ht="11.25" customHeight="1">
      <c r="A335" s="1747" t="s">
        <v>2503</v>
      </c>
      <c r="B335" s="1747" t="s">
        <v>3</v>
      </c>
      <c r="C335" s="1747" t="s">
        <v>3207</v>
      </c>
      <c r="D335" s="1747" t="s">
        <v>3208</v>
      </c>
      <c r="E335" s="1747" t="s">
        <v>3209</v>
      </c>
      <c r="F335" s="1747" t="s">
        <v>2563</v>
      </c>
      <c r="G335" s="1747" t="s">
        <v>17</v>
      </c>
      <c r="H335" s="1747" t="s">
        <v>17</v>
      </c>
      <c r="I335" s="1747" t="s">
        <v>1103</v>
      </c>
    </row>
    <row r="336" spans="1:9" ht="11.25" customHeight="1">
      <c r="A336" s="1747" t="s">
        <v>2503</v>
      </c>
      <c r="B336" s="1747" t="s">
        <v>3</v>
      </c>
      <c r="C336" s="1747" t="s">
        <v>2814</v>
      </c>
      <c r="D336" s="1747" t="s">
        <v>2815</v>
      </c>
      <c r="E336" s="1747" t="s">
        <v>2816</v>
      </c>
      <c r="F336" s="1747" t="s">
        <v>2817</v>
      </c>
      <c r="G336" s="1747" t="s">
        <v>17</v>
      </c>
      <c r="H336" s="1747" t="s">
        <v>17</v>
      </c>
      <c r="I336" s="1747" t="s">
        <v>1103</v>
      </c>
    </row>
    <row r="337" spans="1:9" ht="11.25" customHeight="1">
      <c r="A337" s="1747" t="s">
        <v>2503</v>
      </c>
      <c r="B337" s="1747" t="s">
        <v>3</v>
      </c>
      <c r="C337" s="1747" t="s">
        <v>2818</v>
      </c>
      <c r="D337" s="1747" t="s">
        <v>2819</v>
      </c>
      <c r="E337" s="1747" t="s">
        <v>2820</v>
      </c>
      <c r="F337" s="1747" t="s">
        <v>2525</v>
      </c>
      <c r="G337" s="1747" t="s">
        <v>17</v>
      </c>
      <c r="H337" s="1747" t="s">
        <v>17</v>
      </c>
      <c r="I337" s="1747" t="s">
        <v>1103</v>
      </c>
    </row>
    <row r="338" spans="1:9" ht="11.25" customHeight="1">
      <c r="A338" s="1747" t="s">
        <v>2503</v>
      </c>
      <c r="B338" s="1747" t="s">
        <v>3</v>
      </c>
      <c r="C338" s="1747" t="s">
        <v>2821</v>
      </c>
      <c r="D338" s="1747" t="s">
        <v>2822</v>
      </c>
      <c r="E338" s="1747" t="s">
        <v>2823</v>
      </c>
      <c r="F338" s="1747" t="s">
        <v>2525</v>
      </c>
      <c r="G338" s="1747" t="s">
        <v>17</v>
      </c>
      <c r="H338" s="1747" t="s">
        <v>17</v>
      </c>
      <c r="I338" s="1747" t="s">
        <v>1103</v>
      </c>
    </row>
    <row r="339" spans="1:9" ht="11.25" customHeight="1">
      <c r="A339" s="1747" t="s">
        <v>2503</v>
      </c>
      <c r="B339" s="1747" t="s">
        <v>3</v>
      </c>
      <c r="C339" s="1747" t="s">
        <v>2824</v>
      </c>
      <c r="D339" s="1747" t="s">
        <v>2825</v>
      </c>
      <c r="E339" s="1747" t="s">
        <v>2826</v>
      </c>
      <c r="F339" s="1747" t="s">
        <v>2525</v>
      </c>
      <c r="G339" s="1747" t="s">
        <v>17</v>
      </c>
      <c r="H339" s="1747" t="s">
        <v>17</v>
      </c>
      <c r="I339" s="1747" t="s">
        <v>1103</v>
      </c>
    </row>
    <row r="340" spans="1:9" ht="11.25" customHeight="1">
      <c r="A340" s="1747" t="s">
        <v>2503</v>
      </c>
      <c r="B340" s="1747" t="s">
        <v>3</v>
      </c>
      <c r="C340" s="1747" t="s">
        <v>2830</v>
      </c>
      <c r="D340" s="1747" t="s">
        <v>2831</v>
      </c>
      <c r="E340" s="1747" t="s">
        <v>2832</v>
      </c>
      <c r="F340" s="1747" t="s">
        <v>2525</v>
      </c>
      <c r="G340" s="1747" t="s">
        <v>17</v>
      </c>
      <c r="H340" s="1747" t="s">
        <v>17</v>
      </c>
      <c r="I340" s="1747" t="s">
        <v>1103</v>
      </c>
    </row>
    <row r="341" spans="1:9" ht="11.25" customHeight="1">
      <c r="A341" s="1747" t="s">
        <v>2503</v>
      </c>
      <c r="B341" s="1747" t="s">
        <v>3</v>
      </c>
      <c r="C341" s="1747" t="s">
        <v>2836</v>
      </c>
      <c r="D341" s="1747" t="s">
        <v>2834</v>
      </c>
      <c r="E341" s="1747" t="s">
        <v>2837</v>
      </c>
      <c r="F341" s="1747" t="s">
        <v>2817</v>
      </c>
      <c r="G341" s="1747" t="s">
        <v>17</v>
      </c>
      <c r="H341" s="1747" t="s">
        <v>17</v>
      </c>
      <c r="I341" s="1747" t="s">
        <v>1103</v>
      </c>
    </row>
    <row r="342" spans="1:9" ht="11.25" customHeight="1">
      <c r="A342" s="1747" t="s">
        <v>2503</v>
      </c>
      <c r="B342" s="1747" t="s">
        <v>3</v>
      </c>
      <c r="C342" s="1747" t="s">
        <v>2838</v>
      </c>
      <c r="D342" s="1747" t="s">
        <v>2839</v>
      </c>
      <c r="E342" s="1747" t="s">
        <v>2840</v>
      </c>
      <c r="F342" s="1747" t="s">
        <v>2525</v>
      </c>
      <c r="G342" s="1747" t="s">
        <v>17</v>
      </c>
      <c r="H342" s="1747" t="s">
        <v>17</v>
      </c>
      <c r="I342" s="1747" t="s">
        <v>1103</v>
      </c>
    </row>
    <row r="343" spans="1:9" ht="11.25" customHeight="1">
      <c r="A343" s="1747" t="s">
        <v>2503</v>
      </c>
      <c r="B343" s="1747" t="s">
        <v>3</v>
      </c>
      <c r="C343" s="1747" t="s">
        <v>3210</v>
      </c>
      <c r="D343" s="1747" t="s">
        <v>3211</v>
      </c>
      <c r="E343" s="1747" t="s">
        <v>3212</v>
      </c>
      <c r="F343" s="1747" t="s">
        <v>2694</v>
      </c>
      <c r="G343" s="1747" t="s">
        <v>17</v>
      </c>
      <c r="H343" s="1747" t="s">
        <v>17</v>
      </c>
      <c r="I343" s="1747" t="s">
        <v>1103</v>
      </c>
    </row>
    <row r="344" spans="1:9" ht="11.25" customHeight="1">
      <c r="A344" s="1747" t="s">
        <v>2503</v>
      </c>
      <c r="B344" s="1747" t="s">
        <v>3</v>
      </c>
      <c r="C344" s="1747" t="s">
        <v>3213</v>
      </c>
      <c r="D344" s="1747" t="s">
        <v>3214</v>
      </c>
      <c r="E344" s="1747" t="s">
        <v>3215</v>
      </c>
      <c r="F344" s="1747" t="s">
        <v>2535</v>
      </c>
      <c r="G344" s="1747" t="s">
        <v>17</v>
      </c>
      <c r="H344" s="1747" t="s">
        <v>17</v>
      </c>
      <c r="I344" s="1747" t="s">
        <v>1103</v>
      </c>
    </row>
    <row r="345" spans="1:9" ht="11.25" customHeight="1">
      <c r="A345" s="1747" t="s">
        <v>2503</v>
      </c>
      <c r="B345" s="1747" t="s">
        <v>3</v>
      </c>
      <c r="C345" s="1747" t="s">
        <v>2841</v>
      </c>
      <c r="D345" s="1747" t="s">
        <v>2842</v>
      </c>
      <c r="E345" s="1747" t="s">
        <v>2843</v>
      </c>
      <c r="F345" s="1747" t="s">
        <v>2563</v>
      </c>
      <c r="G345" s="1747" t="s">
        <v>17</v>
      </c>
      <c r="H345" s="1747" t="s">
        <v>17</v>
      </c>
      <c r="I345" s="1747" t="s">
        <v>1103</v>
      </c>
    </row>
    <row r="346" spans="1:9" ht="11.25" customHeight="1">
      <c r="A346" s="1747" t="s">
        <v>2503</v>
      </c>
      <c r="B346" s="1747" t="s">
        <v>3</v>
      </c>
      <c r="C346" s="1747" t="s">
        <v>3216</v>
      </c>
      <c r="D346" s="1747" t="s">
        <v>3217</v>
      </c>
      <c r="E346" s="1747" t="s">
        <v>3218</v>
      </c>
      <c r="F346" s="1747" t="s">
        <v>2535</v>
      </c>
      <c r="G346" s="1747" t="s">
        <v>3219</v>
      </c>
      <c r="H346" s="1747" t="s">
        <v>17</v>
      </c>
      <c r="I346" s="1747" t="s">
        <v>1103</v>
      </c>
    </row>
    <row r="347" spans="1:9" ht="11.25" customHeight="1">
      <c r="A347" s="1747" t="s">
        <v>2503</v>
      </c>
      <c r="B347" s="1747" t="s">
        <v>3</v>
      </c>
      <c r="C347" s="1747" t="s">
        <v>3220</v>
      </c>
      <c r="D347" s="1747" t="s">
        <v>3221</v>
      </c>
      <c r="E347" s="1747" t="s">
        <v>3222</v>
      </c>
      <c r="F347" s="1747" t="s">
        <v>2694</v>
      </c>
      <c r="G347" s="1747" t="s">
        <v>17</v>
      </c>
      <c r="H347" s="1747" t="s">
        <v>17</v>
      </c>
      <c r="I347" s="1747" t="s">
        <v>1103</v>
      </c>
    </row>
    <row r="348" spans="1:9" ht="11.25" customHeight="1">
      <c r="A348" s="1747" t="s">
        <v>2503</v>
      </c>
      <c r="B348" s="1747" t="s">
        <v>3</v>
      </c>
      <c r="C348" s="1747" t="s">
        <v>2850</v>
      </c>
      <c r="D348" s="1747" t="s">
        <v>2851</v>
      </c>
      <c r="E348" s="1747" t="s">
        <v>2852</v>
      </c>
      <c r="F348" s="1747" t="s">
        <v>2694</v>
      </c>
      <c r="G348" s="1747" t="s">
        <v>17</v>
      </c>
      <c r="H348" s="1747" t="s">
        <v>17</v>
      </c>
      <c r="I348" s="1747" t="s">
        <v>1103</v>
      </c>
    </row>
    <row r="349" spans="1:9" ht="11.25" customHeight="1">
      <c r="A349" s="1747" t="s">
        <v>2503</v>
      </c>
      <c r="B349" s="1747" t="s">
        <v>3</v>
      </c>
      <c r="C349" s="1747" t="s">
        <v>2853</v>
      </c>
      <c r="D349" s="1747" t="s">
        <v>2854</v>
      </c>
      <c r="E349" s="1747" t="s">
        <v>2855</v>
      </c>
      <c r="F349" s="1747" t="s">
        <v>2625</v>
      </c>
      <c r="G349" s="1747" t="s">
        <v>17</v>
      </c>
      <c r="H349" s="1747" t="s">
        <v>17</v>
      </c>
      <c r="I349" s="1747" t="s">
        <v>1103</v>
      </c>
    </row>
    <row r="350" spans="1:9" ht="11.25" customHeight="1">
      <c r="A350" s="1747" t="s">
        <v>2503</v>
      </c>
      <c r="B350" s="1747" t="s">
        <v>3</v>
      </c>
      <c r="C350" s="1747" t="s">
        <v>3223</v>
      </c>
      <c r="D350" s="1747" t="s">
        <v>3224</v>
      </c>
      <c r="E350" s="1747" t="s">
        <v>3225</v>
      </c>
      <c r="F350" s="1747" t="s">
        <v>2683</v>
      </c>
      <c r="G350" s="1747" t="s">
        <v>17</v>
      </c>
      <c r="H350" s="1747" t="s">
        <v>17</v>
      </c>
      <c r="I350" s="1747" t="s">
        <v>1103</v>
      </c>
    </row>
    <row r="351" spans="1:9" ht="11.25" customHeight="1">
      <c r="A351" s="1747" t="s">
        <v>2503</v>
      </c>
      <c r="B351" s="1747" t="s">
        <v>3</v>
      </c>
      <c r="C351" s="1747" t="s">
        <v>2859</v>
      </c>
      <c r="D351" s="1747" t="s">
        <v>2860</v>
      </c>
      <c r="E351" s="1747" t="s">
        <v>2861</v>
      </c>
      <c r="F351" s="1747" t="s">
        <v>2735</v>
      </c>
      <c r="G351" s="1747" t="s">
        <v>17</v>
      </c>
      <c r="H351" s="1747" t="s">
        <v>17</v>
      </c>
      <c r="I351" s="1747" t="s">
        <v>1103</v>
      </c>
    </row>
    <row r="352" spans="1:9" ht="11.25" customHeight="1">
      <c r="A352" s="1747" t="s">
        <v>2503</v>
      </c>
      <c r="B352" s="1747" t="s">
        <v>3</v>
      </c>
      <c r="C352" s="1747" t="s">
        <v>3226</v>
      </c>
      <c r="D352" s="1747" t="s">
        <v>3227</v>
      </c>
      <c r="E352" s="1747" t="s">
        <v>3228</v>
      </c>
      <c r="F352" s="1747" t="s">
        <v>2625</v>
      </c>
      <c r="G352" s="1747" t="s">
        <v>17</v>
      </c>
      <c r="H352" s="1747" t="s">
        <v>17</v>
      </c>
      <c r="I352" s="1747" t="s">
        <v>1103</v>
      </c>
    </row>
    <row r="353" spans="1:9" ht="11.25" customHeight="1">
      <c r="A353" s="1747" t="s">
        <v>2503</v>
      </c>
      <c r="B353" s="1747" t="s">
        <v>3</v>
      </c>
      <c r="C353" s="1747" t="s">
        <v>3229</v>
      </c>
      <c r="D353" s="1747" t="s">
        <v>3230</v>
      </c>
      <c r="E353" s="1747" t="s">
        <v>3231</v>
      </c>
      <c r="F353" s="1747" t="s">
        <v>2535</v>
      </c>
      <c r="G353" s="1747" t="s">
        <v>17</v>
      </c>
      <c r="H353" s="1747" t="s">
        <v>17</v>
      </c>
      <c r="I353" s="1747" t="s">
        <v>1103</v>
      </c>
    </row>
    <row r="354" spans="1:9" ht="11.25" customHeight="1">
      <c r="A354" s="1747" t="s">
        <v>2503</v>
      </c>
      <c r="B354" s="1747" t="s">
        <v>3</v>
      </c>
      <c r="C354" s="1747" t="s">
        <v>2868</v>
      </c>
      <c r="D354" s="1747" t="s">
        <v>2869</v>
      </c>
      <c r="E354" s="1747" t="s">
        <v>2870</v>
      </c>
      <c r="F354" s="1747" t="s">
        <v>2610</v>
      </c>
      <c r="G354" s="1747" t="s">
        <v>17</v>
      </c>
      <c r="H354" s="1747" t="s">
        <v>17</v>
      </c>
      <c r="I354" s="1747" t="s">
        <v>1103</v>
      </c>
    </row>
    <row r="355" spans="1:9" ht="11.25" customHeight="1">
      <c r="A355" s="1747" t="s">
        <v>2503</v>
      </c>
      <c r="B355" s="1747" t="s">
        <v>3</v>
      </c>
      <c r="C355" s="1747" t="s">
        <v>2871</v>
      </c>
      <c r="D355" s="1747" t="s">
        <v>2872</v>
      </c>
      <c r="E355" s="1747" t="s">
        <v>2873</v>
      </c>
      <c r="F355" s="1747" t="s">
        <v>2525</v>
      </c>
      <c r="G355" s="1747" t="s">
        <v>17</v>
      </c>
      <c r="H355" s="1747" t="s">
        <v>17</v>
      </c>
      <c r="I355" s="1747" t="s">
        <v>1103</v>
      </c>
    </row>
    <row r="356" spans="1:9" ht="11.25" customHeight="1">
      <c r="A356" s="1747" t="s">
        <v>2503</v>
      </c>
      <c r="B356" s="1747" t="s">
        <v>3</v>
      </c>
      <c r="C356" s="1747" t="s">
        <v>3232</v>
      </c>
      <c r="D356" s="1747" t="s">
        <v>3233</v>
      </c>
      <c r="E356" s="1747" t="s">
        <v>3234</v>
      </c>
      <c r="F356" s="1747" t="s">
        <v>2683</v>
      </c>
      <c r="G356" s="1747" t="s">
        <v>17</v>
      </c>
      <c r="H356" s="1747" t="s">
        <v>17</v>
      </c>
      <c r="I356" s="1747" t="s">
        <v>1103</v>
      </c>
    </row>
    <row r="357" spans="1:9" ht="11.25" customHeight="1">
      <c r="A357" s="1747" t="s">
        <v>2503</v>
      </c>
      <c r="B357" s="1747" t="s">
        <v>3</v>
      </c>
      <c r="C357" s="1747" t="s">
        <v>2880</v>
      </c>
      <c r="D357" s="1747" t="s">
        <v>2881</v>
      </c>
      <c r="E357" s="1747" t="s">
        <v>2882</v>
      </c>
      <c r="F357" s="1747" t="s">
        <v>2683</v>
      </c>
      <c r="G357" s="1747" t="s">
        <v>17</v>
      </c>
      <c r="H357" s="1747" t="s">
        <v>17</v>
      </c>
      <c r="I357" s="1747" t="s">
        <v>1103</v>
      </c>
    </row>
    <row r="358" spans="1:9" ht="11.25" customHeight="1">
      <c r="A358" s="1747" t="s">
        <v>2503</v>
      </c>
      <c r="B358" s="1747" t="s">
        <v>3</v>
      </c>
      <c r="C358" s="1747" t="s">
        <v>2883</v>
      </c>
      <c r="D358" s="1747" t="s">
        <v>2884</v>
      </c>
      <c r="E358" s="1747" t="s">
        <v>2885</v>
      </c>
      <c r="F358" s="1747" t="s">
        <v>2625</v>
      </c>
      <c r="G358" s="1747" t="s">
        <v>17</v>
      </c>
      <c r="H358" s="1747" t="s">
        <v>17</v>
      </c>
      <c r="I358" s="1747" t="s">
        <v>1103</v>
      </c>
    </row>
    <row r="359" spans="1:9" ht="11.25" customHeight="1">
      <c r="A359" s="1747" t="s">
        <v>2503</v>
      </c>
      <c r="B359" s="1747" t="s">
        <v>3</v>
      </c>
      <c r="C359" s="1747" t="s">
        <v>3235</v>
      </c>
      <c r="D359" s="1747" t="s">
        <v>3236</v>
      </c>
      <c r="E359" s="1747" t="s">
        <v>3237</v>
      </c>
      <c r="F359" s="1747" t="s">
        <v>2683</v>
      </c>
      <c r="G359" s="1747" t="s">
        <v>17</v>
      </c>
      <c r="H359" s="1747" t="s">
        <v>3238</v>
      </c>
      <c r="I359" s="1747" t="s">
        <v>1103</v>
      </c>
    </row>
    <row r="360" spans="1:9" ht="11.25" customHeight="1">
      <c r="A360" s="1747" t="s">
        <v>2503</v>
      </c>
      <c r="B360" s="1747" t="s">
        <v>3</v>
      </c>
      <c r="C360" s="1747" t="s">
        <v>3239</v>
      </c>
      <c r="D360" s="1747" t="s">
        <v>3240</v>
      </c>
      <c r="E360" s="1747" t="s">
        <v>3241</v>
      </c>
      <c r="F360" s="1747" t="s">
        <v>2621</v>
      </c>
      <c r="G360" s="1747" t="s">
        <v>17</v>
      </c>
      <c r="H360" s="1747" t="s">
        <v>17</v>
      </c>
      <c r="I360" s="1747" t="s">
        <v>1103</v>
      </c>
    </row>
    <row r="361" spans="1:9" ht="11.25" customHeight="1">
      <c r="A361" s="1747" t="s">
        <v>2503</v>
      </c>
      <c r="B361" s="1747" t="s">
        <v>3</v>
      </c>
      <c r="C361" s="1747" t="s">
        <v>3242</v>
      </c>
      <c r="D361" s="1747" t="s">
        <v>3243</v>
      </c>
      <c r="E361" s="1747" t="s">
        <v>3244</v>
      </c>
      <c r="F361" s="1747" t="s">
        <v>2610</v>
      </c>
      <c r="G361" s="1747" t="s">
        <v>17</v>
      </c>
      <c r="H361" s="1747" t="s">
        <v>17</v>
      </c>
      <c r="I361" s="1747" t="s">
        <v>1103</v>
      </c>
    </row>
    <row r="362" spans="1:9" ht="11.25" customHeight="1">
      <c r="A362" s="1747" t="s">
        <v>2503</v>
      </c>
      <c r="B362" s="1747" t="s">
        <v>3</v>
      </c>
      <c r="C362" s="1747" t="s">
        <v>3245</v>
      </c>
      <c r="D362" s="1747" t="s">
        <v>3246</v>
      </c>
      <c r="E362" s="1747" t="s">
        <v>3247</v>
      </c>
      <c r="F362" s="1747" t="s">
        <v>2592</v>
      </c>
      <c r="G362" s="1747" t="s">
        <v>17</v>
      </c>
      <c r="H362" s="1747" t="s">
        <v>17</v>
      </c>
      <c r="I362" s="1747" t="s">
        <v>1103</v>
      </c>
    </row>
    <row r="363" spans="1:9" ht="11.25" customHeight="1">
      <c r="A363" s="1747" t="s">
        <v>2503</v>
      </c>
      <c r="B363" s="1747" t="s">
        <v>3</v>
      </c>
      <c r="C363" s="1747" t="s">
        <v>2920</v>
      </c>
      <c r="D363" s="1747" t="s">
        <v>2921</v>
      </c>
      <c r="E363" s="1747" t="s">
        <v>2922</v>
      </c>
      <c r="F363" s="1747" t="s">
        <v>2550</v>
      </c>
      <c r="G363" s="1747" t="s">
        <v>17</v>
      </c>
      <c r="H363" s="1747" t="s">
        <v>17</v>
      </c>
      <c r="I363" s="1747" t="s">
        <v>1103</v>
      </c>
    </row>
    <row r="364" spans="1:9" ht="11.25" customHeight="1">
      <c r="A364" s="1747" t="s">
        <v>2503</v>
      </c>
      <c r="B364" s="1747" t="s">
        <v>3</v>
      </c>
      <c r="C364" s="1747" t="s">
        <v>3248</v>
      </c>
      <c r="D364" s="1747" t="s">
        <v>3249</v>
      </c>
      <c r="E364" s="1747" t="s">
        <v>3250</v>
      </c>
      <c r="F364" s="1747" t="s">
        <v>2735</v>
      </c>
      <c r="G364" s="1747" t="s">
        <v>17</v>
      </c>
      <c r="H364" s="1747" t="s">
        <v>17</v>
      </c>
      <c r="I364" s="1747" t="s">
        <v>1103</v>
      </c>
    </row>
    <row r="365" spans="1:9" ht="11.25" customHeight="1">
      <c r="A365" s="1747" t="s">
        <v>2503</v>
      </c>
      <c r="B365" s="1747" t="s">
        <v>3</v>
      </c>
      <c r="C365" s="1747" t="s">
        <v>2936</v>
      </c>
      <c r="D365" s="1747" t="s">
        <v>2937</v>
      </c>
      <c r="E365" s="1747" t="s">
        <v>2938</v>
      </c>
      <c r="F365" s="1747" t="s">
        <v>2621</v>
      </c>
      <c r="G365" s="1747" t="s">
        <v>17</v>
      </c>
      <c r="H365" s="1747" t="s">
        <v>17</v>
      </c>
      <c r="I365" s="1747" t="s">
        <v>1103</v>
      </c>
    </row>
    <row r="366" spans="1:9" ht="11.25" customHeight="1">
      <c r="A366" s="1747" t="s">
        <v>2503</v>
      </c>
      <c r="B366" s="1747" t="s">
        <v>3</v>
      </c>
      <c r="C366" s="1747" t="s">
        <v>2939</v>
      </c>
      <c r="D366" s="1747" t="s">
        <v>2940</v>
      </c>
      <c r="E366" s="1747" t="s">
        <v>2941</v>
      </c>
      <c r="F366" s="1747" t="s">
        <v>2621</v>
      </c>
      <c r="G366" s="1747" t="s">
        <v>17</v>
      </c>
      <c r="H366" s="1747" t="s">
        <v>17</v>
      </c>
      <c r="I366" s="1747" t="s">
        <v>1103</v>
      </c>
    </row>
    <row r="367" spans="1:9" ht="11.25" customHeight="1">
      <c r="A367" s="1747" t="s">
        <v>2503</v>
      </c>
      <c r="B367" s="1747" t="s">
        <v>3</v>
      </c>
      <c r="C367" s="1747" t="s">
        <v>3251</v>
      </c>
      <c r="D367" s="1747" t="s">
        <v>3252</v>
      </c>
      <c r="E367" s="1747" t="s">
        <v>3253</v>
      </c>
      <c r="F367" s="1747" t="s">
        <v>2625</v>
      </c>
      <c r="G367" s="1747" t="s">
        <v>3254</v>
      </c>
      <c r="H367" s="1747" t="s">
        <v>17</v>
      </c>
      <c r="I367" s="1747" t="s">
        <v>1103</v>
      </c>
    </row>
    <row r="368" spans="1:9" ht="11.25" customHeight="1">
      <c r="A368" s="1747" t="s">
        <v>2503</v>
      </c>
      <c r="B368" s="1747" t="s">
        <v>3</v>
      </c>
      <c r="C368" s="1747" t="s">
        <v>2946</v>
      </c>
      <c r="D368" s="1747" t="s">
        <v>2947</v>
      </c>
      <c r="E368" s="1747" t="s">
        <v>2948</v>
      </c>
      <c r="F368" s="1747" t="s">
        <v>2949</v>
      </c>
      <c r="G368" s="1747" t="s">
        <v>17</v>
      </c>
      <c r="H368" s="1747" t="s">
        <v>17</v>
      </c>
      <c r="I368" s="1747" t="s">
        <v>1103</v>
      </c>
    </row>
    <row r="369" spans="1:9" ht="11.25" customHeight="1">
      <c r="A369" s="1747" t="s">
        <v>2503</v>
      </c>
      <c r="B369" s="1747" t="s">
        <v>3</v>
      </c>
      <c r="C369" s="1747" t="s">
        <v>3255</v>
      </c>
      <c r="D369" s="1747" t="s">
        <v>3256</v>
      </c>
      <c r="E369" s="1747" t="s">
        <v>3257</v>
      </c>
      <c r="F369" s="1747" t="s">
        <v>45</v>
      </c>
      <c r="G369" s="1747" t="s">
        <v>3258</v>
      </c>
      <c r="H369" s="1747" t="s">
        <v>17</v>
      </c>
      <c r="I369" s="1747" t="s">
        <v>1103</v>
      </c>
    </row>
    <row r="370" spans="1:9" ht="11.25" customHeight="1">
      <c r="A370" s="1747" t="s">
        <v>2503</v>
      </c>
      <c r="B370" s="1747" t="s">
        <v>3</v>
      </c>
      <c r="C370" s="1747" t="s">
        <v>2950</v>
      </c>
      <c r="D370" s="1747" t="s">
        <v>2951</v>
      </c>
      <c r="E370" s="1747" t="s">
        <v>2952</v>
      </c>
      <c r="F370" s="1747" t="s">
        <v>2953</v>
      </c>
      <c r="G370" s="1747" t="s">
        <v>17</v>
      </c>
      <c r="H370" s="1747" t="s">
        <v>17</v>
      </c>
      <c r="I370" s="1747" t="s">
        <v>1103</v>
      </c>
    </row>
    <row r="371" spans="1:9" ht="11.25" customHeight="1">
      <c r="A371" s="1747" t="s">
        <v>2503</v>
      </c>
      <c r="B371" s="1747" t="s">
        <v>3</v>
      </c>
      <c r="C371" s="1747" t="s">
        <v>3017</v>
      </c>
      <c r="D371" s="1747" t="s">
        <v>2951</v>
      </c>
      <c r="E371" s="1747" t="s">
        <v>2952</v>
      </c>
      <c r="F371" s="1747" t="s">
        <v>3018</v>
      </c>
      <c r="G371" s="1747" t="s">
        <v>17</v>
      </c>
      <c r="H371" s="1747" t="s">
        <v>17</v>
      </c>
      <c r="I371" s="1747" t="s">
        <v>1103</v>
      </c>
    </row>
    <row r="372" spans="1:9" ht="11.25" customHeight="1">
      <c r="A372" s="1747" t="s">
        <v>2503</v>
      </c>
      <c r="B372" s="1747" t="s">
        <v>3</v>
      </c>
      <c r="C372" s="1747" t="s">
        <v>3259</v>
      </c>
      <c r="D372" s="1747" t="s">
        <v>3260</v>
      </c>
      <c r="E372" s="1747" t="s">
        <v>3261</v>
      </c>
      <c r="F372" s="1747" t="s">
        <v>2735</v>
      </c>
      <c r="G372" s="1747" t="s">
        <v>17</v>
      </c>
      <c r="H372" s="1747" t="s">
        <v>17</v>
      </c>
      <c r="I372" s="1747" t="s">
        <v>1103</v>
      </c>
    </row>
    <row r="373" spans="1:9" ht="11.25" customHeight="1">
      <c r="A373" s="1747" t="s">
        <v>2503</v>
      </c>
      <c r="B373" s="1747" t="s">
        <v>3</v>
      </c>
      <c r="C373" s="1747" t="s">
        <v>3262</v>
      </c>
      <c r="D373" s="1747" t="s">
        <v>3263</v>
      </c>
      <c r="E373" s="1747" t="s">
        <v>3264</v>
      </c>
      <c r="F373" s="1747" t="s">
        <v>45</v>
      </c>
      <c r="G373" s="1747" t="s">
        <v>17</v>
      </c>
      <c r="H373" s="1747" t="s">
        <v>17</v>
      </c>
      <c r="I373" s="1747" t="s">
        <v>1103</v>
      </c>
    </row>
    <row r="374" spans="1:9" ht="11.25" customHeight="1">
      <c r="A374" s="1747" t="s">
        <v>2503</v>
      </c>
      <c r="B374" s="1747" t="s">
        <v>3</v>
      </c>
      <c r="C374" s="1747" t="s">
        <v>3265</v>
      </c>
      <c r="D374" s="1747" t="s">
        <v>3266</v>
      </c>
      <c r="E374" s="1747" t="s">
        <v>3267</v>
      </c>
      <c r="F374" s="1747" t="s">
        <v>2655</v>
      </c>
      <c r="G374" s="1747" t="s">
        <v>17</v>
      </c>
      <c r="H374" s="1747" t="s">
        <v>17</v>
      </c>
      <c r="I374" s="1747" t="s">
        <v>1103</v>
      </c>
    </row>
    <row r="375" spans="1:9" ht="11.25" customHeight="1">
      <c r="A375" s="1747" t="s">
        <v>2503</v>
      </c>
      <c r="B375" s="1747" t="s">
        <v>3</v>
      </c>
      <c r="C375" s="1747" t="s">
        <v>3268</v>
      </c>
      <c r="D375" s="1747" t="s">
        <v>3269</v>
      </c>
      <c r="E375" s="1747" t="s">
        <v>3270</v>
      </c>
      <c r="F375" s="1747" t="s">
        <v>2525</v>
      </c>
      <c r="G375" s="1747" t="s">
        <v>17</v>
      </c>
      <c r="H375" s="1747" t="s">
        <v>17</v>
      </c>
      <c r="I375" s="1747" t="s">
        <v>1103</v>
      </c>
    </row>
    <row r="376" spans="1:9" ht="11.25" customHeight="1">
      <c r="A376" s="1747" t="s">
        <v>2503</v>
      </c>
      <c r="B376" s="1747" t="s">
        <v>3</v>
      </c>
      <c r="C376" s="1747" t="s">
        <v>2957</v>
      </c>
      <c r="D376" s="1747" t="s">
        <v>2958</v>
      </c>
      <c r="E376" s="1747" t="s">
        <v>2959</v>
      </c>
      <c r="F376" s="1747" t="s">
        <v>2525</v>
      </c>
      <c r="G376" s="1747" t="s">
        <v>17</v>
      </c>
      <c r="H376" s="1747" t="s">
        <v>17</v>
      </c>
      <c r="I376" s="1747" t="s">
        <v>1103</v>
      </c>
    </row>
    <row r="377" spans="1:9" ht="11.25" customHeight="1">
      <c r="A377" s="1747" t="s">
        <v>2503</v>
      </c>
      <c r="B377" s="1747" t="s">
        <v>3</v>
      </c>
      <c r="C377" s="1747" t="s">
        <v>3271</v>
      </c>
      <c r="D377" s="1747" t="s">
        <v>3272</v>
      </c>
      <c r="E377" s="1747" t="s">
        <v>3273</v>
      </c>
      <c r="F377" s="1747" t="s">
        <v>2683</v>
      </c>
      <c r="G377" s="1747" t="s">
        <v>17</v>
      </c>
      <c r="H377" s="1747" t="s">
        <v>17</v>
      </c>
      <c r="I377" s="1747" t="s">
        <v>1103</v>
      </c>
    </row>
    <row r="378" spans="1:9" ht="11.25" customHeight="1">
      <c r="A378" s="1747" t="s">
        <v>2503</v>
      </c>
      <c r="B378" s="1747" t="s">
        <v>3</v>
      </c>
      <c r="C378" s="1747" t="s">
        <v>2972</v>
      </c>
      <c r="D378" s="1747" t="s">
        <v>2973</v>
      </c>
      <c r="E378" s="1747" t="s">
        <v>2974</v>
      </c>
      <c r="F378" s="1747" t="s">
        <v>2539</v>
      </c>
      <c r="G378" s="1747" t="s">
        <v>17</v>
      </c>
      <c r="H378" s="1747" t="s">
        <v>17</v>
      </c>
      <c r="I378" s="1747" t="s">
        <v>1103</v>
      </c>
    </row>
    <row r="379" spans="1:9" ht="11.25" customHeight="1">
      <c r="A379" s="1747" t="s">
        <v>2503</v>
      </c>
      <c r="B379" s="1747" t="s">
        <v>3</v>
      </c>
      <c r="C379" s="1747" t="s">
        <v>2975</v>
      </c>
      <c r="D379" s="1747" t="s">
        <v>2976</v>
      </c>
      <c r="E379" s="1747" t="s">
        <v>2977</v>
      </c>
      <c r="F379" s="1747" t="s">
        <v>2978</v>
      </c>
      <c r="G379" s="1747" t="s">
        <v>17</v>
      </c>
      <c r="H379" s="1747" t="s">
        <v>17</v>
      </c>
      <c r="I379" s="1747" t="s">
        <v>1103</v>
      </c>
    </row>
    <row r="380" spans="1:9" ht="11.25" customHeight="1">
      <c r="A380" s="1747" t="s">
        <v>2503</v>
      </c>
      <c r="B380" s="1747" t="s">
        <v>3</v>
      </c>
      <c r="C380" s="1747" t="s">
        <v>2983</v>
      </c>
      <c r="D380" s="1747" t="s">
        <v>2984</v>
      </c>
      <c r="E380" s="1747" t="s">
        <v>2985</v>
      </c>
      <c r="F380" s="1747" t="s">
        <v>2735</v>
      </c>
      <c r="G380" s="1747" t="s">
        <v>17</v>
      </c>
      <c r="H380" s="1747" t="s">
        <v>17</v>
      </c>
      <c r="I380" s="1747" t="s">
        <v>1103</v>
      </c>
    </row>
    <row r="381" spans="1:9" ht="11.25" customHeight="1">
      <c r="A381" s="1747" t="s">
        <v>2503</v>
      </c>
      <c r="B381" s="1747" t="s">
        <v>3</v>
      </c>
      <c r="C381" s="1747" t="s">
        <v>2986</v>
      </c>
      <c r="D381" s="1747" t="s">
        <v>2987</v>
      </c>
      <c r="E381" s="1747" t="s">
        <v>2988</v>
      </c>
      <c r="F381" s="1747" t="s">
        <v>2735</v>
      </c>
      <c r="G381" s="1747" t="s">
        <v>17</v>
      </c>
      <c r="H381" s="1747" t="s">
        <v>17</v>
      </c>
      <c r="I381" s="1747" t="s">
        <v>1103</v>
      </c>
    </row>
    <row r="382" spans="1:9" ht="11.25" customHeight="1">
      <c r="A382" s="1747" t="s">
        <v>2503</v>
      </c>
      <c r="B382" s="1747" t="s">
        <v>3</v>
      </c>
      <c r="C382" s="1747" t="s">
        <v>2989</v>
      </c>
      <c r="D382" s="1747" t="s">
        <v>2990</v>
      </c>
      <c r="E382" s="1747" t="s">
        <v>2991</v>
      </c>
      <c r="F382" s="1747" t="s">
        <v>2525</v>
      </c>
      <c r="G382" s="1747" t="s">
        <v>17</v>
      </c>
      <c r="H382" s="1747" t="s">
        <v>17</v>
      </c>
      <c r="I382" s="1747" t="s">
        <v>1103</v>
      </c>
    </row>
    <row r="383" spans="1:9" ht="11.25" customHeight="1">
      <c r="A383" s="1747" t="s">
        <v>2503</v>
      </c>
      <c r="B383" s="1747" t="s">
        <v>3</v>
      </c>
      <c r="C383" s="1747" t="s">
        <v>2996</v>
      </c>
      <c r="D383" s="1747" t="s">
        <v>2997</v>
      </c>
      <c r="E383" s="1747" t="s">
        <v>2998</v>
      </c>
      <c r="F383" s="1747" t="s">
        <v>2953</v>
      </c>
      <c r="G383" s="1747" t="s">
        <v>17</v>
      </c>
      <c r="H383" s="1747" t="s">
        <v>17</v>
      </c>
      <c r="I383" s="1747" t="s">
        <v>1103</v>
      </c>
    </row>
    <row r="384" spans="1:9" ht="11.25" customHeight="1">
      <c r="A384" s="1747" t="s">
        <v>2503</v>
      </c>
      <c r="B384" s="1747" t="s">
        <v>3</v>
      </c>
      <c r="C384" s="1747" t="s">
        <v>2999</v>
      </c>
      <c r="D384" s="1747" t="s">
        <v>3000</v>
      </c>
      <c r="E384" s="1747" t="s">
        <v>3001</v>
      </c>
      <c r="F384" s="1747" t="s">
        <v>3002</v>
      </c>
      <c r="G384" s="1747" t="s">
        <v>17</v>
      </c>
      <c r="H384" s="1747" t="s">
        <v>17</v>
      </c>
      <c r="I384" s="1747" t="s">
        <v>1103</v>
      </c>
    </row>
    <row r="385" spans="1:9" ht="11.25" customHeight="1">
      <c r="A385" s="1747" t="s">
        <v>2503</v>
      </c>
      <c r="B385" s="1747" t="s">
        <v>3</v>
      </c>
      <c r="C385" s="1747" t="s">
        <v>3006</v>
      </c>
      <c r="D385" s="1747" t="s">
        <v>3007</v>
      </c>
      <c r="E385" s="1747" t="s">
        <v>2971</v>
      </c>
      <c r="F385" s="1747" t="s">
        <v>3008</v>
      </c>
      <c r="G385" s="1747" t="s">
        <v>17</v>
      </c>
      <c r="H385" s="1747" t="s">
        <v>17</v>
      </c>
      <c r="I385" s="1747" t="s">
        <v>1103</v>
      </c>
    </row>
    <row r="386" spans="1:9" ht="11.25" customHeight="1">
      <c r="A386" s="1747" t="s">
        <v>2503</v>
      </c>
      <c r="B386" s="1747" t="s">
        <v>3</v>
      </c>
      <c r="C386" s="1747" t="s">
        <v>3274</v>
      </c>
      <c r="D386" s="1747" t="s">
        <v>3275</v>
      </c>
      <c r="E386" s="1747" t="s">
        <v>3276</v>
      </c>
      <c r="F386" s="1747" t="s">
        <v>2535</v>
      </c>
      <c r="G386" s="1747" t="s">
        <v>17</v>
      </c>
      <c r="H386" s="1747" t="s">
        <v>17</v>
      </c>
      <c r="I386" s="1747" t="s">
        <v>1156</v>
      </c>
    </row>
    <row r="387" spans="1:9" ht="11.25" customHeight="1">
      <c r="A387" s="1747" t="s">
        <v>2503</v>
      </c>
      <c r="B387" s="1747" t="s">
        <v>3</v>
      </c>
      <c r="C387" s="1747" t="s">
        <v>2504</v>
      </c>
      <c r="D387" s="1747" t="s">
        <v>2505</v>
      </c>
      <c r="E387" s="1747" t="s">
        <v>2506</v>
      </c>
      <c r="F387" s="1747" t="s">
        <v>2507</v>
      </c>
      <c r="G387" s="1747" t="s">
        <v>17</v>
      </c>
      <c r="H387" s="1747" t="s">
        <v>17</v>
      </c>
      <c r="I387" s="1747" t="s">
        <v>1156</v>
      </c>
    </row>
    <row r="388" spans="1:9" ht="11.25" customHeight="1">
      <c r="A388" s="1747" t="s">
        <v>2503</v>
      </c>
      <c r="B388" s="1747" t="s">
        <v>3</v>
      </c>
      <c r="C388" s="1747" t="s">
        <v>2508</v>
      </c>
      <c r="D388" s="1747" t="s">
        <v>2505</v>
      </c>
      <c r="E388" s="1747" t="s">
        <v>2506</v>
      </c>
      <c r="F388" s="1747" t="s">
        <v>2509</v>
      </c>
      <c r="G388" s="1747" t="s">
        <v>17</v>
      </c>
      <c r="H388" s="1747" t="s">
        <v>17</v>
      </c>
      <c r="I388" s="1747" t="s">
        <v>1156</v>
      </c>
    </row>
    <row r="389" spans="1:9" ht="11.25" customHeight="1">
      <c r="A389" s="1747" t="s">
        <v>2503</v>
      </c>
      <c r="B389" s="1747" t="s">
        <v>3</v>
      </c>
      <c r="C389" s="1747" t="s">
        <v>3277</v>
      </c>
      <c r="D389" s="1747" t="s">
        <v>3278</v>
      </c>
      <c r="E389" s="1747" t="s">
        <v>3279</v>
      </c>
      <c r="F389" s="1747" t="s">
        <v>3280</v>
      </c>
      <c r="G389" s="1747" t="s">
        <v>3281</v>
      </c>
      <c r="H389" s="1747" t="s">
        <v>17</v>
      </c>
      <c r="I389" s="1747" t="s">
        <v>1156</v>
      </c>
    </row>
    <row r="390" spans="1:9" ht="11.25" customHeight="1">
      <c r="A390" s="1747" t="s">
        <v>2503</v>
      </c>
      <c r="B390" s="1747" t="s">
        <v>3</v>
      </c>
      <c r="C390" s="1747" t="s">
        <v>2510</v>
      </c>
      <c r="D390" s="1747" t="s">
        <v>2511</v>
      </c>
      <c r="E390" s="1747" t="s">
        <v>2512</v>
      </c>
      <c r="F390" s="1747" t="s">
        <v>2513</v>
      </c>
      <c r="G390" s="1747" t="s">
        <v>17</v>
      </c>
      <c r="H390" s="1747" t="s">
        <v>17</v>
      </c>
      <c r="I390" s="1747" t="s">
        <v>1156</v>
      </c>
    </row>
    <row r="391" spans="1:9" ht="11.25" customHeight="1">
      <c r="A391" s="1747" t="s">
        <v>2503</v>
      </c>
      <c r="B391" s="1747" t="s">
        <v>3</v>
      </c>
      <c r="C391" s="1747" t="s">
        <v>2522</v>
      </c>
      <c r="D391" s="1747" t="s">
        <v>2523</v>
      </c>
      <c r="E391" s="1747" t="s">
        <v>2524</v>
      </c>
      <c r="F391" s="1747" t="s">
        <v>2525</v>
      </c>
      <c r="G391" s="1747" t="s">
        <v>17</v>
      </c>
      <c r="H391" s="1747" t="s">
        <v>17</v>
      </c>
      <c r="I391" s="1747" t="s">
        <v>1156</v>
      </c>
    </row>
    <row r="392" spans="1:9" ht="11.25" customHeight="1">
      <c r="A392" s="1747" t="s">
        <v>2503</v>
      </c>
      <c r="B392" s="1747" t="s">
        <v>3</v>
      </c>
      <c r="C392" s="1747" t="s">
        <v>2532</v>
      </c>
      <c r="D392" s="1747" t="s">
        <v>2533</v>
      </c>
      <c r="E392" s="1747" t="s">
        <v>2534</v>
      </c>
      <c r="F392" s="1747" t="s">
        <v>2535</v>
      </c>
      <c r="G392" s="1747" t="s">
        <v>17</v>
      </c>
      <c r="H392" s="1747" t="s">
        <v>17</v>
      </c>
      <c r="I392" s="1747" t="s">
        <v>1156</v>
      </c>
    </row>
    <row r="393" spans="1:9" ht="11.25" customHeight="1">
      <c r="A393" s="1747" t="s">
        <v>2503</v>
      </c>
      <c r="B393" s="1747" t="s">
        <v>3</v>
      </c>
      <c r="C393" s="1747" t="s">
        <v>3282</v>
      </c>
      <c r="D393" s="1747" t="s">
        <v>3283</v>
      </c>
      <c r="E393" s="1747" t="s">
        <v>3284</v>
      </c>
      <c r="F393" s="1747" t="s">
        <v>2535</v>
      </c>
      <c r="G393" s="1747" t="s">
        <v>17</v>
      </c>
      <c r="H393" s="1747" t="s">
        <v>17</v>
      </c>
      <c r="I393" s="1747" t="s">
        <v>1156</v>
      </c>
    </row>
    <row r="394" spans="1:9" ht="11.25" customHeight="1">
      <c r="A394" s="1747" t="s">
        <v>2503</v>
      </c>
      <c r="B394" s="1747" t="s">
        <v>3</v>
      </c>
      <c r="C394" s="1747" t="s">
        <v>2536</v>
      </c>
      <c r="D394" s="1747" t="s">
        <v>2537</v>
      </c>
      <c r="E394" s="1747" t="s">
        <v>2538</v>
      </c>
      <c r="F394" s="1747" t="s">
        <v>2539</v>
      </c>
      <c r="G394" s="1747" t="s">
        <v>17</v>
      </c>
      <c r="H394" s="1747" t="s">
        <v>17</v>
      </c>
      <c r="I394" s="1747" t="s">
        <v>1156</v>
      </c>
    </row>
    <row r="395" spans="1:9" ht="11.25" customHeight="1">
      <c r="A395" s="1747" t="s">
        <v>2503</v>
      </c>
      <c r="B395" s="1747" t="s">
        <v>3</v>
      </c>
      <c r="C395" s="1747" t="s">
        <v>17</v>
      </c>
      <c r="D395" s="1747" t="s">
        <v>2605</v>
      </c>
      <c r="E395" s="1747" t="s">
        <v>2606</v>
      </c>
      <c r="F395" s="1747" t="s">
        <v>2550</v>
      </c>
      <c r="G395" s="1747" t="s">
        <v>17</v>
      </c>
      <c r="H395" s="1747" t="s">
        <v>17</v>
      </c>
      <c r="I395" s="1747" t="s">
        <v>1156</v>
      </c>
    </row>
    <row r="396" spans="1:9" ht="11.25" customHeight="1">
      <c r="A396" s="1747" t="s">
        <v>2503</v>
      </c>
      <c r="B396" s="1747" t="s">
        <v>3</v>
      </c>
      <c r="C396" s="1747" t="s">
        <v>3029</v>
      </c>
      <c r="D396" s="1747" t="s">
        <v>3030</v>
      </c>
      <c r="E396" s="1747" t="s">
        <v>3031</v>
      </c>
      <c r="F396" s="1747" t="s">
        <v>2603</v>
      </c>
      <c r="G396" s="1747" t="s">
        <v>17</v>
      </c>
      <c r="H396" s="1747" t="s">
        <v>17</v>
      </c>
      <c r="I396" s="1747" t="s">
        <v>1156</v>
      </c>
    </row>
    <row r="397" spans="1:9" ht="11.25" customHeight="1">
      <c r="A397" s="1747" t="s">
        <v>2503</v>
      </c>
      <c r="B397" s="1747" t="s">
        <v>3</v>
      </c>
      <c r="C397" s="1747" t="s">
        <v>3032</v>
      </c>
      <c r="D397" s="1747" t="s">
        <v>3033</v>
      </c>
      <c r="E397" s="1747" t="s">
        <v>3034</v>
      </c>
      <c r="F397" s="1747" t="s">
        <v>2735</v>
      </c>
      <c r="G397" s="1747" t="s">
        <v>3035</v>
      </c>
      <c r="H397" s="1747" t="s">
        <v>17</v>
      </c>
      <c r="I397" s="1747" t="s">
        <v>1156</v>
      </c>
    </row>
    <row r="398" spans="1:9" ht="11.25" customHeight="1">
      <c r="A398" s="1747" t="s">
        <v>2503</v>
      </c>
      <c r="B398" s="1747" t="s">
        <v>3</v>
      </c>
      <c r="C398" s="1747" t="s">
        <v>3036</v>
      </c>
      <c r="D398" s="1747" t="s">
        <v>3037</v>
      </c>
      <c r="E398" s="1747" t="s">
        <v>3038</v>
      </c>
      <c r="F398" s="1747" t="s">
        <v>2610</v>
      </c>
      <c r="G398" s="1747" t="s">
        <v>17</v>
      </c>
      <c r="H398" s="1747" t="s">
        <v>3039</v>
      </c>
      <c r="I398" s="1747" t="s">
        <v>1156</v>
      </c>
    </row>
    <row r="399" spans="1:9" ht="11.25" customHeight="1">
      <c r="A399" s="1747" t="s">
        <v>2503</v>
      </c>
      <c r="B399" s="1747" t="s">
        <v>3</v>
      </c>
      <c r="C399" s="1747" t="s">
        <v>3040</v>
      </c>
      <c r="D399" s="1747" t="s">
        <v>3041</v>
      </c>
      <c r="E399" s="1747" t="s">
        <v>3042</v>
      </c>
      <c r="F399" s="1747" t="s">
        <v>2683</v>
      </c>
      <c r="G399" s="1747" t="s">
        <v>17</v>
      </c>
      <c r="H399" s="1747" t="s">
        <v>17</v>
      </c>
      <c r="I399" s="1747" t="s">
        <v>1156</v>
      </c>
    </row>
    <row r="400" spans="1:9" ht="11.25" customHeight="1">
      <c r="A400" s="1747" t="s">
        <v>2503</v>
      </c>
      <c r="B400" s="1747" t="s">
        <v>3</v>
      </c>
      <c r="C400" s="1747" t="s">
        <v>3043</v>
      </c>
      <c r="D400" s="1747" t="s">
        <v>2616</v>
      </c>
      <c r="E400" s="1747" t="s">
        <v>3044</v>
      </c>
      <c r="F400" s="1747" t="s">
        <v>2949</v>
      </c>
      <c r="G400" s="1747" t="s">
        <v>17</v>
      </c>
      <c r="H400" s="1747" t="s">
        <v>17</v>
      </c>
      <c r="I400" s="1747" t="s">
        <v>1156</v>
      </c>
    </row>
    <row r="401" spans="1:9" ht="11.25" customHeight="1">
      <c r="A401" s="1747" t="s">
        <v>2503</v>
      </c>
      <c r="B401" s="1747" t="s">
        <v>3</v>
      </c>
      <c r="C401" s="1747" t="s">
        <v>2615</v>
      </c>
      <c r="D401" s="1747" t="s">
        <v>2616</v>
      </c>
      <c r="E401" s="1747" t="s">
        <v>2617</v>
      </c>
      <c r="F401" s="1747" t="s">
        <v>2535</v>
      </c>
      <c r="G401" s="1747" t="s">
        <v>17</v>
      </c>
      <c r="H401" s="1747" t="s">
        <v>17</v>
      </c>
      <c r="I401" s="1747" t="s">
        <v>1156</v>
      </c>
    </row>
    <row r="402" spans="1:9" ht="11.25" customHeight="1">
      <c r="A402" s="1747" t="s">
        <v>2503</v>
      </c>
      <c r="B402" s="1747" t="s">
        <v>3</v>
      </c>
      <c r="C402" s="1747" t="s">
        <v>3045</v>
      </c>
      <c r="D402" s="1747" t="s">
        <v>2616</v>
      </c>
      <c r="E402" s="1747" t="s">
        <v>3046</v>
      </c>
      <c r="F402" s="1747" t="s">
        <v>2535</v>
      </c>
      <c r="G402" s="1747" t="s">
        <v>17</v>
      </c>
      <c r="H402" s="1747" t="s">
        <v>17</v>
      </c>
      <c r="I402" s="1747" t="s">
        <v>1156</v>
      </c>
    </row>
    <row r="403" spans="1:9" ht="11.25" customHeight="1">
      <c r="A403" s="1747" t="s">
        <v>2503</v>
      </c>
      <c r="B403" s="1747" t="s">
        <v>3</v>
      </c>
      <c r="C403" s="1747" t="s">
        <v>3047</v>
      </c>
      <c r="D403" s="1747" t="s">
        <v>2616</v>
      </c>
      <c r="E403" s="1747" t="s">
        <v>3048</v>
      </c>
      <c r="F403" s="1747" t="s">
        <v>2735</v>
      </c>
      <c r="G403" s="1747" t="s">
        <v>17</v>
      </c>
      <c r="H403" s="1747" t="s">
        <v>17</v>
      </c>
      <c r="I403" s="1747" t="s">
        <v>1156</v>
      </c>
    </row>
    <row r="404" spans="1:9" ht="11.25" customHeight="1">
      <c r="A404" s="1747" t="s">
        <v>2503</v>
      </c>
      <c r="B404" s="1747" t="s">
        <v>3</v>
      </c>
      <c r="C404" s="1747" t="s">
        <v>3049</v>
      </c>
      <c r="D404" s="1747" t="s">
        <v>2616</v>
      </c>
      <c r="E404" s="1747" t="s">
        <v>3050</v>
      </c>
      <c r="F404" s="1747" t="s">
        <v>2621</v>
      </c>
      <c r="G404" s="1747" t="s">
        <v>17</v>
      </c>
      <c r="H404" s="1747" t="s">
        <v>17</v>
      </c>
      <c r="I404" s="1747" t="s">
        <v>1156</v>
      </c>
    </row>
    <row r="405" spans="1:9" ht="11.25" customHeight="1">
      <c r="A405" s="1747" t="s">
        <v>2503</v>
      </c>
      <c r="B405" s="1747" t="s">
        <v>3</v>
      </c>
      <c r="C405" s="1747" t="s">
        <v>3051</v>
      </c>
      <c r="D405" s="1747" t="s">
        <v>3052</v>
      </c>
      <c r="E405" s="1747" t="s">
        <v>3053</v>
      </c>
      <c r="F405" s="1747" t="s">
        <v>2621</v>
      </c>
      <c r="G405" s="1747" t="s">
        <v>17</v>
      </c>
      <c r="H405" s="1747" t="s">
        <v>17</v>
      </c>
      <c r="I405" s="1747" t="s">
        <v>1156</v>
      </c>
    </row>
    <row r="406" spans="1:9" ht="11.25" customHeight="1">
      <c r="A406" s="1747" t="s">
        <v>2503</v>
      </c>
      <c r="B406" s="1747" t="s">
        <v>3</v>
      </c>
      <c r="C406" s="1747" t="s">
        <v>3054</v>
      </c>
      <c r="D406" s="1747" t="s">
        <v>3055</v>
      </c>
      <c r="E406" s="1747" t="s">
        <v>3056</v>
      </c>
      <c r="F406" s="1747" t="s">
        <v>2535</v>
      </c>
      <c r="G406" s="1747" t="s">
        <v>17</v>
      </c>
      <c r="H406" s="1747" t="s">
        <v>3057</v>
      </c>
      <c r="I406" s="1747" t="s">
        <v>1156</v>
      </c>
    </row>
    <row r="407" spans="1:9" ht="11.25" customHeight="1">
      <c r="A407" s="1747" t="s">
        <v>2503</v>
      </c>
      <c r="B407" s="1747" t="s">
        <v>3</v>
      </c>
      <c r="C407" s="1747" t="s">
        <v>3061</v>
      </c>
      <c r="D407" s="1747" t="s">
        <v>3062</v>
      </c>
      <c r="E407" s="1747" t="s">
        <v>3063</v>
      </c>
      <c r="F407" s="1747" t="s">
        <v>2683</v>
      </c>
      <c r="G407" s="1747" t="s">
        <v>17</v>
      </c>
      <c r="H407" s="1747" t="s">
        <v>17</v>
      </c>
      <c r="I407" s="1747" t="s">
        <v>1156</v>
      </c>
    </row>
    <row r="408" spans="1:9" ht="11.25" customHeight="1">
      <c r="A408" s="1747" t="s">
        <v>2503</v>
      </c>
      <c r="B408" s="1747" t="s">
        <v>3</v>
      </c>
      <c r="C408" s="1747" t="s">
        <v>3064</v>
      </c>
      <c r="D408" s="1747" t="s">
        <v>3065</v>
      </c>
      <c r="E408" s="1747" t="s">
        <v>3066</v>
      </c>
      <c r="F408" s="1747" t="s">
        <v>2683</v>
      </c>
      <c r="G408" s="1747" t="s">
        <v>17</v>
      </c>
      <c r="H408" s="1747" t="s">
        <v>17</v>
      </c>
      <c r="I408" s="1747" t="s">
        <v>1156</v>
      </c>
    </row>
    <row r="409" spans="1:9" ht="11.25" customHeight="1">
      <c r="A409" s="1747" t="s">
        <v>2503</v>
      </c>
      <c r="B409" s="1747" t="s">
        <v>3</v>
      </c>
      <c r="C409" s="1747" t="s">
        <v>3067</v>
      </c>
      <c r="D409" s="1747" t="s">
        <v>3068</v>
      </c>
      <c r="E409" s="1747" t="s">
        <v>3069</v>
      </c>
      <c r="F409" s="1747" t="s">
        <v>2535</v>
      </c>
      <c r="G409" s="1747" t="s">
        <v>17</v>
      </c>
      <c r="H409" s="1747" t="s">
        <v>17</v>
      </c>
      <c r="I409" s="1747" t="s">
        <v>1156</v>
      </c>
    </row>
    <row r="410" spans="1:9" ht="11.25" customHeight="1">
      <c r="A410" s="1747" t="s">
        <v>2503</v>
      </c>
      <c r="B410" s="1747" t="s">
        <v>3</v>
      </c>
      <c r="C410" s="1747" t="s">
        <v>3070</v>
      </c>
      <c r="D410" s="1747" t="s">
        <v>3071</v>
      </c>
      <c r="E410" s="1747" t="s">
        <v>3072</v>
      </c>
      <c r="F410" s="1747" t="s">
        <v>2683</v>
      </c>
      <c r="G410" s="1747" t="s">
        <v>17</v>
      </c>
      <c r="H410" s="1747" t="s">
        <v>17</v>
      </c>
      <c r="I410" s="1747" t="s">
        <v>1156</v>
      </c>
    </row>
    <row r="411" spans="1:9" ht="11.25" customHeight="1">
      <c r="A411" s="1747" t="s">
        <v>2503</v>
      </c>
      <c r="B411" s="1747" t="s">
        <v>3</v>
      </c>
      <c r="C411" s="1747" t="s">
        <v>3073</v>
      </c>
      <c r="D411" s="1747" t="s">
        <v>2619</v>
      </c>
      <c r="E411" s="1747" t="s">
        <v>3074</v>
      </c>
      <c r="F411" s="1747" t="s">
        <v>2683</v>
      </c>
      <c r="G411" s="1747" t="s">
        <v>17</v>
      </c>
      <c r="H411" s="1747" t="s">
        <v>17</v>
      </c>
      <c r="I411" s="1747" t="s">
        <v>1156</v>
      </c>
    </row>
    <row r="412" spans="1:9" ht="11.25" customHeight="1">
      <c r="A412" s="1747" t="s">
        <v>2503</v>
      </c>
      <c r="B412" s="1747" t="s">
        <v>3</v>
      </c>
      <c r="C412" s="1747" t="s">
        <v>3075</v>
      </c>
      <c r="D412" s="1747" t="s">
        <v>2619</v>
      </c>
      <c r="E412" s="1747" t="s">
        <v>3076</v>
      </c>
      <c r="F412" s="1747" t="s">
        <v>2735</v>
      </c>
      <c r="G412" s="1747" t="s">
        <v>17</v>
      </c>
      <c r="H412" s="1747" t="s">
        <v>17</v>
      </c>
      <c r="I412" s="1747" t="s">
        <v>1156</v>
      </c>
    </row>
    <row r="413" spans="1:9" ht="11.25" customHeight="1">
      <c r="A413" s="1747" t="s">
        <v>2503</v>
      </c>
      <c r="B413" s="1747" t="s">
        <v>3</v>
      </c>
      <c r="C413" s="1747" t="s">
        <v>2618</v>
      </c>
      <c r="D413" s="1747" t="s">
        <v>2619</v>
      </c>
      <c r="E413" s="1747" t="s">
        <v>2620</v>
      </c>
      <c r="F413" s="1747" t="s">
        <v>2621</v>
      </c>
      <c r="G413" s="1747" t="s">
        <v>17</v>
      </c>
      <c r="H413" s="1747" t="s">
        <v>17</v>
      </c>
      <c r="I413" s="1747" t="s">
        <v>1156</v>
      </c>
    </row>
    <row r="414" spans="1:9" ht="11.25" customHeight="1">
      <c r="A414" s="1747" t="s">
        <v>2503</v>
      </c>
      <c r="B414" s="1747" t="s">
        <v>3</v>
      </c>
      <c r="C414" s="1747" t="s">
        <v>3077</v>
      </c>
      <c r="D414" s="1747" t="s">
        <v>3078</v>
      </c>
      <c r="E414" s="1747" t="s">
        <v>3079</v>
      </c>
      <c r="F414" s="1747" t="s">
        <v>2525</v>
      </c>
      <c r="G414" s="1747" t="s">
        <v>3080</v>
      </c>
      <c r="H414" s="1747" t="s">
        <v>17</v>
      </c>
      <c r="I414" s="1747" t="s">
        <v>1156</v>
      </c>
    </row>
    <row r="415" spans="1:9" ht="11.25" customHeight="1">
      <c r="A415" s="1747" t="s">
        <v>2503</v>
      </c>
      <c r="B415" s="1747" t="s">
        <v>3</v>
      </c>
      <c r="C415" s="1747" t="s">
        <v>3081</v>
      </c>
      <c r="D415" s="1747" t="s">
        <v>3082</v>
      </c>
      <c r="E415" s="1747" t="s">
        <v>3083</v>
      </c>
      <c r="F415" s="1747" t="s">
        <v>2683</v>
      </c>
      <c r="G415" s="1747" t="s">
        <v>17</v>
      </c>
      <c r="H415" s="1747" t="s">
        <v>17</v>
      </c>
      <c r="I415" s="1747" t="s">
        <v>1156</v>
      </c>
    </row>
    <row r="416" spans="1:9" ht="11.25" customHeight="1">
      <c r="A416" s="1747" t="s">
        <v>2503</v>
      </c>
      <c r="B416" s="1747" t="s">
        <v>3</v>
      </c>
      <c r="C416" s="1747" t="s">
        <v>3084</v>
      </c>
      <c r="D416" s="1747" t="s">
        <v>3085</v>
      </c>
      <c r="E416" s="1747" t="s">
        <v>3086</v>
      </c>
      <c r="F416" s="1747" t="s">
        <v>2525</v>
      </c>
      <c r="G416" s="1747" t="s">
        <v>17</v>
      </c>
      <c r="H416" s="1747" t="s">
        <v>17</v>
      </c>
      <c r="I416" s="1747" t="s">
        <v>1156</v>
      </c>
    </row>
    <row r="417" spans="1:9" ht="11.25" customHeight="1">
      <c r="A417" s="1747" t="s">
        <v>2503</v>
      </c>
      <c r="B417" s="1747" t="s">
        <v>3</v>
      </c>
      <c r="C417" s="1747" t="s">
        <v>3087</v>
      </c>
      <c r="D417" s="1747" t="s">
        <v>3088</v>
      </c>
      <c r="E417" s="1747" t="s">
        <v>3089</v>
      </c>
      <c r="F417" s="1747" t="s">
        <v>3090</v>
      </c>
      <c r="G417" s="1747" t="s">
        <v>17</v>
      </c>
      <c r="H417" s="1747" t="s">
        <v>17</v>
      </c>
      <c r="I417" s="1747" t="s">
        <v>1156</v>
      </c>
    </row>
    <row r="418" spans="1:9" ht="11.25" customHeight="1">
      <c r="A418" s="1747" t="s">
        <v>2503</v>
      </c>
      <c r="B418" s="1747" t="s">
        <v>3</v>
      </c>
      <c r="C418" s="1747" t="s">
        <v>3091</v>
      </c>
      <c r="D418" s="1747" t="s">
        <v>3092</v>
      </c>
      <c r="E418" s="1747" t="s">
        <v>3093</v>
      </c>
      <c r="F418" s="1747" t="s">
        <v>3094</v>
      </c>
      <c r="G418" s="1747" t="s">
        <v>17</v>
      </c>
      <c r="H418" s="1747" t="s">
        <v>17</v>
      </c>
      <c r="I418" s="1747" t="s">
        <v>1156</v>
      </c>
    </row>
    <row r="419" spans="1:9" ht="11.25" customHeight="1">
      <c r="A419" s="1747" t="s">
        <v>2503</v>
      </c>
      <c r="B419" s="1747" t="s">
        <v>3</v>
      </c>
      <c r="C419" s="1747" t="s">
        <v>2622</v>
      </c>
      <c r="D419" s="1747" t="s">
        <v>2623</v>
      </c>
      <c r="E419" s="1747" t="s">
        <v>2624</v>
      </c>
      <c r="F419" s="1747" t="s">
        <v>2625</v>
      </c>
      <c r="G419" s="1747" t="s">
        <v>17</v>
      </c>
      <c r="H419" s="1747" t="s">
        <v>17</v>
      </c>
      <c r="I419" s="1747" t="s">
        <v>1156</v>
      </c>
    </row>
    <row r="420" spans="1:9" ht="11.25" customHeight="1">
      <c r="A420" s="1747" t="s">
        <v>2503</v>
      </c>
      <c r="B420" s="1747" t="s">
        <v>3</v>
      </c>
      <c r="C420" s="1747" t="s">
        <v>3095</v>
      </c>
      <c r="D420" s="1747" t="s">
        <v>3096</v>
      </c>
      <c r="E420" s="1747" t="s">
        <v>3097</v>
      </c>
      <c r="F420" s="1747" t="s">
        <v>2735</v>
      </c>
      <c r="G420" s="1747" t="s">
        <v>3098</v>
      </c>
      <c r="H420" s="1747" t="s">
        <v>17</v>
      </c>
      <c r="I420" s="1747" t="s">
        <v>1156</v>
      </c>
    </row>
    <row r="421" spans="1:9" ht="11.25" customHeight="1">
      <c r="A421" s="1747" t="s">
        <v>2503</v>
      </c>
      <c r="B421" s="1747" t="s">
        <v>3</v>
      </c>
      <c r="C421" s="1747" t="s">
        <v>2626</v>
      </c>
      <c r="D421" s="1747" t="s">
        <v>2627</v>
      </c>
      <c r="E421" s="1747" t="s">
        <v>2628</v>
      </c>
      <c r="F421" s="1747" t="s">
        <v>2629</v>
      </c>
      <c r="G421" s="1747" t="s">
        <v>17</v>
      </c>
      <c r="H421" s="1747" t="s">
        <v>17</v>
      </c>
      <c r="I421" s="1747" t="s">
        <v>1156</v>
      </c>
    </row>
    <row r="422" spans="1:9" ht="11.25" customHeight="1">
      <c r="A422" s="1747" t="s">
        <v>2503</v>
      </c>
      <c r="B422" s="1747" t="s">
        <v>3</v>
      </c>
      <c r="C422" s="1747" t="s">
        <v>2633</v>
      </c>
      <c r="D422" s="1747" t="s">
        <v>2634</v>
      </c>
      <c r="E422" s="1747" t="s">
        <v>2635</v>
      </c>
      <c r="F422" s="1747" t="s">
        <v>2525</v>
      </c>
      <c r="G422" s="1747" t="s">
        <v>17</v>
      </c>
      <c r="H422" s="1747" t="s">
        <v>17</v>
      </c>
      <c r="I422" s="1747" t="s">
        <v>1156</v>
      </c>
    </row>
    <row r="423" spans="1:9" ht="11.25" customHeight="1">
      <c r="A423" s="1747" t="s">
        <v>2503</v>
      </c>
      <c r="B423" s="1747" t="s">
        <v>3</v>
      </c>
      <c r="C423" s="1747" t="s">
        <v>2636</v>
      </c>
      <c r="D423" s="1747" t="s">
        <v>2637</v>
      </c>
      <c r="E423" s="1747" t="s">
        <v>2638</v>
      </c>
      <c r="F423" s="1747" t="s">
        <v>2639</v>
      </c>
      <c r="G423" s="1747" t="s">
        <v>2640</v>
      </c>
      <c r="H423" s="1747" t="s">
        <v>17</v>
      </c>
      <c r="I423" s="1747" t="s">
        <v>1156</v>
      </c>
    </row>
    <row r="424" spans="1:9" ht="11.25" customHeight="1">
      <c r="A424" s="1747" t="s">
        <v>2503</v>
      </c>
      <c r="B424" s="1747" t="s">
        <v>3</v>
      </c>
      <c r="C424" s="1747" t="s">
        <v>3009</v>
      </c>
      <c r="D424" s="1747" t="s">
        <v>3010</v>
      </c>
      <c r="E424" s="1747" t="s">
        <v>3011</v>
      </c>
      <c r="F424" s="1747" t="s">
        <v>3012</v>
      </c>
      <c r="G424" s="1747" t="s">
        <v>17</v>
      </c>
      <c r="H424" s="1747" t="s">
        <v>3013</v>
      </c>
      <c r="I424" s="1747" t="s">
        <v>1156</v>
      </c>
    </row>
    <row r="425" spans="1:9" ht="11.25" customHeight="1">
      <c r="A425" s="1747" t="s">
        <v>2503</v>
      </c>
      <c r="B425" s="1747" t="s">
        <v>3</v>
      </c>
      <c r="C425" s="1747" t="s">
        <v>2646</v>
      </c>
      <c r="D425" s="1747" t="s">
        <v>2647</v>
      </c>
      <c r="E425" s="1747" t="s">
        <v>2648</v>
      </c>
      <c r="F425" s="1747" t="s">
        <v>2614</v>
      </c>
      <c r="G425" s="1747" t="s">
        <v>17</v>
      </c>
      <c r="H425" s="1747" t="s">
        <v>2649</v>
      </c>
      <c r="I425" s="1747" t="s">
        <v>1156</v>
      </c>
    </row>
    <row r="426" spans="1:9" ht="11.25" customHeight="1">
      <c r="A426" s="1747" t="s">
        <v>2503</v>
      </c>
      <c r="B426" s="1747" t="s">
        <v>3</v>
      </c>
      <c r="C426" s="1747" t="s">
        <v>2653</v>
      </c>
      <c r="D426" s="1747" t="s">
        <v>2647</v>
      </c>
      <c r="E426" s="1747" t="s">
        <v>2654</v>
      </c>
      <c r="F426" s="1747" t="s">
        <v>2655</v>
      </c>
      <c r="G426" s="1747" t="s">
        <v>17</v>
      </c>
      <c r="H426" s="1747" t="s">
        <v>17</v>
      </c>
      <c r="I426" s="1747" t="s">
        <v>1156</v>
      </c>
    </row>
    <row r="427" spans="1:9" ht="11.25" customHeight="1">
      <c r="A427" s="1747" t="s">
        <v>2503</v>
      </c>
      <c r="B427" s="1747" t="s">
        <v>3</v>
      </c>
      <c r="C427" s="1747" t="s">
        <v>2656</v>
      </c>
      <c r="D427" s="1747" t="s">
        <v>2647</v>
      </c>
      <c r="E427" s="1747" t="s">
        <v>2657</v>
      </c>
      <c r="F427" s="1747" t="s">
        <v>2658</v>
      </c>
      <c r="G427" s="1747" t="s">
        <v>17</v>
      </c>
      <c r="H427" s="1747" t="s">
        <v>17</v>
      </c>
      <c r="I427" s="1747" t="s">
        <v>1156</v>
      </c>
    </row>
    <row r="428" spans="1:9" ht="11.25" customHeight="1">
      <c r="A428" s="1747" t="s">
        <v>2503</v>
      </c>
      <c r="B428" s="1747" t="s">
        <v>3</v>
      </c>
      <c r="C428" s="1747" t="s">
        <v>2659</v>
      </c>
      <c r="D428" s="1747" t="s">
        <v>2647</v>
      </c>
      <c r="E428" s="1747" t="s">
        <v>2660</v>
      </c>
      <c r="F428" s="1747" t="s">
        <v>2629</v>
      </c>
      <c r="G428" s="1747" t="s">
        <v>17</v>
      </c>
      <c r="H428" s="1747" t="s">
        <v>17</v>
      </c>
      <c r="I428" s="1747" t="s">
        <v>1156</v>
      </c>
    </row>
    <row r="429" spans="1:9" ht="11.25" customHeight="1">
      <c r="A429" s="1747" t="s">
        <v>2503</v>
      </c>
      <c r="B429" s="1747" t="s">
        <v>3</v>
      </c>
      <c r="C429" s="1747" t="s">
        <v>2661</v>
      </c>
      <c r="D429" s="1747" t="s">
        <v>2662</v>
      </c>
      <c r="E429" s="1747" t="s">
        <v>2663</v>
      </c>
      <c r="F429" s="1747" t="s">
        <v>2559</v>
      </c>
      <c r="G429" s="1747" t="s">
        <v>17</v>
      </c>
      <c r="H429" s="1747" t="s">
        <v>17</v>
      </c>
      <c r="I429" s="1747" t="s">
        <v>1156</v>
      </c>
    </row>
    <row r="430" spans="1:9" ht="11.25" customHeight="1">
      <c r="A430" s="1747" t="s">
        <v>2503</v>
      </c>
      <c r="B430" s="1747" t="s">
        <v>3</v>
      </c>
      <c r="C430" s="1747" t="s">
        <v>2664</v>
      </c>
      <c r="D430" s="1747" t="s">
        <v>2665</v>
      </c>
      <c r="E430" s="1747" t="s">
        <v>2666</v>
      </c>
      <c r="F430" s="1747" t="s">
        <v>2525</v>
      </c>
      <c r="G430" s="1747" t="s">
        <v>17</v>
      </c>
      <c r="H430" s="1747" t="s">
        <v>17</v>
      </c>
      <c r="I430" s="1747" t="s">
        <v>1156</v>
      </c>
    </row>
    <row r="431" spans="1:9" ht="11.25" customHeight="1">
      <c r="A431" s="1747" t="s">
        <v>2503</v>
      </c>
      <c r="B431" s="1747" t="s">
        <v>3</v>
      </c>
      <c r="C431" s="1747" t="s">
        <v>2667</v>
      </c>
      <c r="D431" s="1747" t="s">
        <v>2668</v>
      </c>
      <c r="E431" s="1747" t="s">
        <v>2669</v>
      </c>
      <c r="F431" s="1747" t="s">
        <v>2535</v>
      </c>
      <c r="G431" s="1747" t="s">
        <v>17</v>
      </c>
      <c r="H431" s="1747" t="s">
        <v>17</v>
      </c>
      <c r="I431" s="1747" t="s">
        <v>1156</v>
      </c>
    </row>
    <row r="432" spans="1:9" ht="11.25" customHeight="1">
      <c r="A432" s="1747" t="s">
        <v>2503</v>
      </c>
      <c r="B432" s="1747" t="s">
        <v>3</v>
      </c>
      <c r="C432" s="1747" t="s">
        <v>3113</v>
      </c>
      <c r="D432" s="1747" t="s">
        <v>3114</v>
      </c>
      <c r="E432" s="1747" t="s">
        <v>3115</v>
      </c>
      <c r="F432" s="1747" t="s">
        <v>2621</v>
      </c>
      <c r="G432" s="1747" t="s">
        <v>3116</v>
      </c>
      <c r="H432" s="1747" t="s">
        <v>17</v>
      </c>
      <c r="I432" s="1747" t="s">
        <v>1156</v>
      </c>
    </row>
    <row r="433" spans="1:9" ht="11.25" customHeight="1">
      <c r="A433" s="1747" t="s">
        <v>2503</v>
      </c>
      <c r="B433" s="1747" t="s">
        <v>3</v>
      </c>
      <c r="C433" s="1747" t="s">
        <v>3117</v>
      </c>
      <c r="D433" s="1747" t="s">
        <v>3118</v>
      </c>
      <c r="E433" s="1747" t="s">
        <v>3119</v>
      </c>
      <c r="F433" s="1747" t="s">
        <v>2535</v>
      </c>
      <c r="G433" s="1747" t="s">
        <v>17</v>
      </c>
      <c r="H433" s="1747" t="s">
        <v>17</v>
      </c>
      <c r="I433" s="1747" t="s">
        <v>1156</v>
      </c>
    </row>
    <row r="434" spans="1:9" ht="11.25" customHeight="1">
      <c r="A434" s="1747" t="s">
        <v>2503</v>
      </c>
      <c r="B434" s="1747" t="s">
        <v>3</v>
      </c>
      <c r="C434" s="1747" t="s">
        <v>3120</v>
      </c>
      <c r="D434" s="1747" t="s">
        <v>3121</v>
      </c>
      <c r="E434" s="1747" t="s">
        <v>3122</v>
      </c>
      <c r="F434" s="1747" t="s">
        <v>2535</v>
      </c>
      <c r="G434" s="1747" t="s">
        <v>17</v>
      </c>
      <c r="H434" s="1747" t="s">
        <v>17</v>
      </c>
      <c r="I434" s="1747" t="s">
        <v>1156</v>
      </c>
    </row>
    <row r="435" spans="1:9" ht="11.25" customHeight="1">
      <c r="A435" s="1747" t="s">
        <v>2503</v>
      </c>
      <c r="B435" s="1747" t="s">
        <v>3</v>
      </c>
      <c r="C435" s="1747" t="s">
        <v>2670</v>
      </c>
      <c r="D435" s="1747" t="s">
        <v>2671</v>
      </c>
      <c r="E435" s="1747" t="s">
        <v>2672</v>
      </c>
      <c r="F435" s="1747" t="s">
        <v>2525</v>
      </c>
      <c r="G435" s="1747" t="s">
        <v>2673</v>
      </c>
      <c r="H435" s="1747" t="s">
        <v>17</v>
      </c>
      <c r="I435" s="1747" t="s">
        <v>1156</v>
      </c>
    </row>
    <row r="436" spans="1:9" ht="11.25" customHeight="1">
      <c r="A436" s="1747" t="s">
        <v>2503</v>
      </c>
      <c r="B436" s="1747" t="s">
        <v>3</v>
      </c>
      <c r="C436" s="1747" t="s">
        <v>3126</v>
      </c>
      <c r="D436" s="1747" t="s">
        <v>3127</v>
      </c>
      <c r="E436" s="1747" t="s">
        <v>3128</v>
      </c>
      <c r="F436" s="1747" t="s">
        <v>2603</v>
      </c>
      <c r="G436" s="1747" t="s">
        <v>3129</v>
      </c>
      <c r="H436" s="1747" t="s">
        <v>17</v>
      </c>
      <c r="I436" s="1747" t="s">
        <v>1156</v>
      </c>
    </row>
    <row r="437" spans="1:9" ht="11.25" customHeight="1">
      <c r="A437" s="1747" t="s">
        <v>2503</v>
      </c>
      <c r="B437" s="1747" t="s">
        <v>3</v>
      </c>
      <c r="C437" s="1747" t="s">
        <v>3130</v>
      </c>
      <c r="D437" s="1747" t="s">
        <v>3131</v>
      </c>
      <c r="E437" s="1747" t="s">
        <v>3132</v>
      </c>
      <c r="F437" s="1747" t="s">
        <v>2599</v>
      </c>
      <c r="G437" s="1747" t="s">
        <v>17</v>
      </c>
      <c r="H437" s="1747" t="s">
        <v>17</v>
      </c>
      <c r="I437" s="1747" t="s">
        <v>1156</v>
      </c>
    </row>
    <row r="438" spans="1:9" ht="11.25" customHeight="1">
      <c r="A438" s="1747" t="s">
        <v>2503</v>
      </c>
      <c r="B438" s="1747" t="s">
        <v>3</v>
      </c>
      <c r="C438" s="1747" t="s">
        <v>2674</v>
      </c>
      <c r="D438" s="1747" t="s">
        <v>2675</v>
      </c>
      <c r="E438" s="1747" t="s">
        <v>2676</v>
      </c>
      <c r="F438" s="1747" t="s">
        <v>2610</v>
      </c>
      <c r="G438" s="1747" t="s">
        <v>17</v>
      </c>
      <c r="H438" s="1747" t="s">
        <v>17</v>
      </c>
      <c r="I438" s="1747" t="s">
        <v>1156</v>
      </c>
    </row>
    <row r="439" spans="1:9" ht="11.25" customHeight="1">
      <c r="A439" s="1747" t="s">
        <v>2503</v>
      </c>
      <c r="B439" s="1747" t="s">
        <v>3</v>
      </c>
      <c r="C439" s="1747" t="s">
        <v>3133</v>
      </c>
      <c r="D439" s="1747" t="s">
        <v>3134</v>
      </c>
      <c r="E439" s="1747" t="s">
        <v>3135</v>
      </c>
      <c r="F439" s="1747" t="s">
        <v>2525</v>
      </c>
      <c r="G439" s="1747" t="s">
        <v>17</v>
      </c>
      <c r="H439" s="1747" t="s">
        <v>17</v>
      </c>
      <c r="I439" s="1747" t="s">
        <v>1156</v>
      </c>
    </row>
    <row r="440" spans="1:9" ht="11.25" customHeight="1">
      <c r="A440" s="1747" t="s">
        <v>2503</v>
      </c>
      <c r="B440" s="1747" t="s">
        <v>3</v>
      </c>
      <c r="C440" s="1747" t="s">
        <v>3136</v>
      </c>
      <c r="D440" s="1747" t="s">
        <v>3137</v>
      </c>
      <c r="E440" s="1747" t="s">
        <v>3138</v>
      </c>
      <c r="F440" s="1747" t="s">
        <v>2535</v>
      </c>
      <c r="G440" s="1747" t="s">
        <v>3139</v>
      </c>
      <c r="H440" s="1747" t="s">
        <v>3140</v>
      </c>
      <c r="I440" s="1747" t="s">
        <v>1156</v>
      </c>
    </row>
    <row r="441" spans="1:9" ht="11.25" customHeight="1">
      <c r="A441" s="1747" t="s">
        <v>2503</v>
      </c>
      <c r="B441" s="1747" t="s">
        <v>3</v>
      </c>
      <c r="C441" s="1747" t="s">
        <v>3144</v>
      </c>
      <c r="D441" s="1747" t="s">
        <v>3145</v>
      </c>
      <c r="E441" s="1747" t="s">
        <v>3146</v>
      </c>
      <c r="F441" s="1747" t="s">
        <v>2621</v>
      </c>
      <c r="G441" s="1747" t="s">
        <v>17</v>
      </c>
      <c r="H441" s="1747" t="s">
        <v>17</v>
      </c>
      <c r="I441" s="1747" t="s">
        <v>1156</v>
      </c>
    </row>
    <row r="442" spans="1:9" ht="11.25" customHeight="1">
      <c r="A442" s="1747" t="s">
        <v>2503</v>
      </c>
      <c r="B442" s="1747" t="s">
        <v>3</v>
      </c>
      <c r="C442" s="1747" t="s">
        <v>2680</v>
      </c>
      <c r="D442" s="1747" t="s">
        <v>2681</v>
      </c>
      <c r="E442" s="1747" t="s">
        <v>2682</v>
      </c>
      <c r="F442" s="1747" t="s">
        <v>2683</v>
      </c>
      <c r="G442" s="1747" t="s">
        <v>17</v>
      </c>
      <c r="H442" s="1747" t="s">
        <v>17</v>
      </c>
      <c r="I442" s="1747" t="s">
        <v>1156</v>
      </c>
    </row>
    <row r="443" spans="1:9" ht="11.25" customHeight="1">
      <c r="A443" s="1747" t="s">
        <v>2503</v>
      </c>
      <c r="B443" s="1747" t="s">
        <v>3</v>
      </c>
      <c r="C443" s="1747" t="s">
        <v>2684</v>
      </c>
      <c r="D443" s="1747" t="s">
        <v>2685</v>
      </c>
      <c r="E443" s="1747" t="s">
        <v>2686</v>
      </c>
      <c r="F443" s="1747" t="s">
        <v>2621</v>
      </c>
      <c r="G443" s="1747" t="s">
        <v>2687</v>
      </c>
      <c r="H443" s="1747" t="s">
        <v>17</v>
      </c>
      <c r="I443" s="1747" t="s">
        <v>1156</v>
      </c>
    </row>
    <row r="444" spans="1:9" ht="11.25" customHeight="1">
      <c r="A444" s="1747" t="s">
        <v>2503</v>
      </c>
      <c r="B444" s="1747" t="s">
        <v>3</v>
      </c>
      <c r="C444" s="1747" t="s">
        <v>2688</v>
      </c>
      <c r="D444" s="1747" t="s">
        <v>2689</v>
      </c>
      <c r="E444" s="1747" t="s">
        <v>2690</v>
      </c>
      <c r="F444" s="1747" t="s">
        <v>2525</v>
      </c>
      <c r="G444" s="1747" t="s">
        <v>17</v>
      </c>
      <c r="H444" s="1747" t="s">
        <v>17</v>
      </c>
      <c r="I444" s="1747" t="s">
        <v>1156</v>
      </c>
    </row>
    <row r="445" spans="1:9" ht="11.25" customHeight="1">
      <c r="A445" s="1747" t="s">
        <v>2503</v>
      </c>
      <c r="B445" s="1747" t="s">
        <v>3</v>
      </c>
      <c r="C445" s="1747" t="s">
        <v>3147</v>
      </c>
      <c r="D445" s="1747" t="s">
        <v>3148</v>
      </c>
      <c r="E445" s="1747" t="s">
        <v>3149</v>
      </c>
      <c r="F445" s="1747" t="s">
        <v>2603</v>
      </c>
      <c r="G445" s="1747" t="s">
        <v>3150</v>
      </c>
      <c r="H445" s="1747" t="s">
        <v>17</v>
      </c>
      <c r="I445" s="1747" t="s">
        <v>1156</v>
      </c>
    </row>
    <row r="446" spans="1:9" ht="11.25" customHeight="1">
      <c r="A446" s="1747" t="s">
        <v>2503</v>
      </c>
      <c r="B446" s="1747" t="s">
        <v>3</v>
      </c>
      <c r="C446" s="1747" t="s">
        <v>3151</v>
      </c>
      <c r="D446" s="1747" t="s">
        <v>3152</v>
      </c>
      <c r="E446" s="1747" t="s">
        <v>3153</v>
      </c>
      <c r="F446" s="1747" t="s">
        <v>2683</v>
      </c>
      <c r="G446" s="1747" t="s">
        <v>17</v>
      </c>
      <c r="H446" s="1747" t="s">
        <v>17</v>
      </c>
      <c r="I446" s="1747" t="s">
        <v>1156</v>
      </c>
    </row>
    <row r="447" spans="1:9" ht="11.25" customHeight="1">
      <c r="A447" s="1747" t="s">
        <v>2503</v>
      </c>
      <c r="B447" s="1747" t="s">
        <v>3</v>
      </c>
      <c r="C447" s="1747" t="s">
        <v>2696</v>
      </c>
      <c r="D447" s="1747" t="s">
        <v>2697</v>
      </c>
      <c r="E447" s="1747" t="s">
        <v>2698</v>
      </c>
      <c r="F447" s="1747" t="s">
        <v>2699</v>
      </c>
      <c r="G447" s="1747" t="s">
        <v>17</v>
      </c>
      <c r="H447" s="1747" t="s">
        <v>17</v>
      </c>
      <c r="I447" s="1747" t="s">
        <v>1156</v>
      </c>
    </row>
    <row r="448" spans="1:9" ht="11.25" customHeight="1">
      <c r="A448" s="1747" t="s">
        <v>2503</v>
      </c>
      <c r="B448" s="1747" t="s">
        <v>3</v>
      </c>
      <c r="C448" s="1747" t="s">
        <v>2700</v>
      </c>
      <c r="D448" s="1747" t="s">
        <v>2701</v>
      </c>
      <c r="E448" s="1747" t="s">
        <v>2702</v>
      </c>
      <c r="F448" s="1747" t="s">
        <v>2614</v>
      </c>
      <c r="G448" s="1747" t="s">
        <v>17</v>
      </c>
      <c r="H448" s="1747" t="s">
        <v>17</v>
      </c>
      <c r="I448" s="1747" t="s">
        <v>1156</v>
      </c>
    </row>
    <row r="449" spans="1:9" ht="11.25" customHeight="1">
      <c r="A449" s="1747" t="s">
        <v>2503</v>
      </c>
      <c r="B449" s="1747" t="s">
        <v>3</v>
      </c>
      <c r="C449" s="1747" t="s">
        <v>2703</v>
      </c>
      <c r="D449" s="1747" t="s">
        <v>2704</v>
      </c>
      <c r="E449" s="1747" t="s">
        <v>2705</v>
      </c>
      <c r="F449" s="1747" t="s">
        <v>2599</v>
      </c>
      <c r="G449" s="1747" t="s">
        <v>17</v>
      </c>
      <c r="H449" s="1747" t="s">
        <v>17</v>
      </c>
      <c r="I449" s="1747" t="s">
        <v>1156</v>
      </c>
    </row>
    <row r="450" spans="1:9" ht="11.25" customHeight="1">
      <c r="A450" s="1747" t="s">
        <v>2503</v>
      </c>
      <c r="B450" s="1747" t="s">
        <v>3</v>
      </c>
      <c r="C450" s="1747" t="s">
        <v>3157</v>
      </c>
      <c r="D450" s="1747" t="s">
        <v>3158</v>
      </c>
      <c r="E450" s="1747" t="s">
        <v>3159</v>
      </c>
      <c r="F450" s="1747" t="s">
        <v>2535</v>
      </c>
      <c r="G450" s="1747" t="s">
        <v>17</v>
      </c>
      <c r="H450" s="1747" t="s">
        <v>3160</v>
      </c>
      <c r="I450" s="1747" t="s">
        <v>1156</v>
      </c>
    </row>
    <row r="451" spans="1:9" ht="11.25" customHeight="1">
      <c r="A451" s="1747" t="s">
        <v>2503</v>
      </c>
      <c r="B451" s="1747" t="s">
        <v>3</v>
      </c>
      <c r="C451" s="1747" t="s">
        <v>2706</v>
      </c>
      <c r="D451" s="1747" t="s">
        <v>2707</v>
      </c>
      <c r="E451" s="1747" t="s">
        <v>2708</v>
      </c>
      <c r="F451" s="1747" t="s">
        <v>2525</v>
      </c>
      <c r="G451" s="1747" t="s">
        <v>17</v>
      </c>
      <c r="H451" s="1747" t="s">
        <v>17</v>
      </c>
      <c r="I451" s="1747" t="s">
        <v>1156</v>
      </c>
    </row>
    <row r="452" spans="1:9" ht="11.25" customHeight="1">
      <c r="A452" s="1747" t="s">
        <v>2503</v>
      </c>
      <c r="B452" s="1747" t="s">
        <v>3</v>
      </c>
      <c r="C452" s="1747" t="s">
        <v>2709</v>
      </c>
      <c r="D452" s="1747" t="s">
        <v>2710</v>
      </c>
      <c r="E452" s="1747" t="s">
        <v>2711</v>
      </c>
      <c r="F452" s="1747" t="s">
        <v>2610</v>
      </c>
      <c r="G452" s="1747" t="s">
        <v>17</v>
      </c>
      <c r="H452" s="1747" t="s">
        <v>17</v>
      </c>
      <c r="I452" s="1747" t="s">
        <v>1156</v>
      </c>
    </row>
    <row r="453" spans="1:9" ht="11.25" customHeight="1">
      <c r="A453" s="1747" t="s">
        <v>2503</v>
      </c>
      <c r="B453" s="1747" t="s">
        <v>3</v>
      </c>
      <c r="C453" s="1747" t="s">
        <v>2712</v>
      </c>
      <c r="D453" s="1747" t="s">
        <v>2713</v>
      </c>
      <c r="E453" s="1747" t="s">
        <v>2714</v>
      </c>
      <c r="F453" s="1747" t="s">
        <v>2610</v>
      </c>
      <c r="G453" s="1747" t="s">
        <v>17</v>
      </c>
      <c r="H453" s="1747" t="s">
        <v>17</v>
      </c>
      <c r="I453" s="1747" t="s">
        <v>1156</v>
      </c>
    </row>
    <row r="454" spans="1:9" ht="11.25" customHeight="1">
      <c r="A454" s="1747" t="s">
        <v>2503</v>
      </c>
      <c r="B454" s="1747" t="s">
        <v>3</v>
      </c>
      <c r="C454" s="1747" t="s">
        <v>2715</v>
      </c>
      <c r="D454" s="1747" t="s">
        <v>2716</v>
      </c>
      <c r="E454" s="1747" t="s">
        <v>2717</v>
      </c>
      <c r="F454" s="1747" t="s">
        <v>2610</v>
      </c>
      <c r="G454" s="1747" t="s">
        <v>17</v>
      </c>
      <c r="H454" s="1747" t="s">
        <v>17</v>
      </c>
      <c r="I454" s="1747" t="s">
        <v>1156</v>
      </c>
    </row>
    <row r="455" spans="1:9" ht="11.25" customHeight="1">
      <c r="A455" s="1747" t="s">
        <v>2503</v>
      </c>
      <c r="B455" s="1747" t="s">
        <v>3</v>
      </c>
      <c r="C455" s="1747" t="s">
        <v>3161</v>
      </c>
      <c r="D455" s="1747" t="s">
        <v>3162</v>
      </c>
      <c r="E455" s="1747" t="s">
        <v>3163</v>
      </c>
      <c r="F455" s="1747" t="s">
        <v>2625</v>
      </c>
      <c r="G455" s="1747" t="s">
        <v>17</v>
      </c>
      <c r="H455" s="1747" t="s">
        <v>3164</v>
      </c>
      <c r="I455" s="1747" t="s">
        <v>1156</v>
      </c>
    </row>
    <row r="456" spans="1:9" ht="11.25" customHeight="1">
      <c r="A456" s="1747" t="s">
        <v>2503</v>
      </c>
      <c r="B456" s="1747" t="s">
        <v>3</v>
      </c>
      <c r="C456" s="1747" t="s">
        <v>2721</v>
      </c>
      <c r="D456" s="1747" t="s">
        <v>2722</v>
      </c>
      <c r="E456" s="1747" t="s">
        <v>2723</v>
      </c>
      <c r="F456" s="1747" t="s">
        <v>2625</v>
      </c>
      <c r="G456" s="1747" t="s">
        <v>2724</v>
      </c>
      <c r="H456" s="1747" t="s">
        <v>17</v>
      </c>
      <c r="I456" s="1747" t="s">
        <v>1156</v>
      </c>
    </row>
    <row r="457" spans="1:9" ht="11.25" customHeight="1">
      <c r="A457" s="1747" t="s">
        <v>2503</v>
      </c>
      <c r="B457" s="1747" t="s">
        <v>3</v>
      </c>
      <c r="C457" s="1747" t="s">
        <v>2725</v>
      </c>
      <c r="D457" s="1747" t="s">
        <v>2726</v>
      </c>
      <c r="E457" s="1747" t="s">
        <v>2727</v>
      </c>
      <c r="F457" s="1747" t="s">
        <v>2525</v>
      </c>
      <c r="G457" s="1747" t="s">
        <v>17</v>
      </c>
      <c r="H457" s="1747" t="s">
        <v>17</v>
      </c>
      <c r="I457" s="1747" t="s">
        <v>1156</v>
      </c>
    </row>
    <row r="458" spans="1:9" ht="11.25" customHeight="1">
      <c r="A458" s="1747" t="s">
        <v>2503</v>
      </c>
      <c r="B458" s="1747" t="s">
        <v>3</v>
      </c>
      <c r="C458" s="1747" t="s">
        <v>2728</v>
      </c>
      <c r="D458" s="1747" t="s">
        <v>2729</v>
      </c>
      <c r="E458" s="1747" t="s">
        <v>2730</v>
      </c>
      <c r="F458" s="1747" t="s">
        <v>2731</v>
      </c>
      <c r="G458" s="1747" t="s">
        <v>17</v>
      </c>
      <c r="H458" s="1747" t="s">
        <v>17</v>
      </c>
      <c r="I458" s="1747" t="s">
        <v>1156</v>
      </c>
    </row>
    <row r="459" spans="1:9" ht="11.25" customHeight="1">
      <c r="A459" s="1747" t="s">
        <v>2503</v>
      </c>
      <c r="B459" s="1747" t="s">
        <v>3</v>
      </c>
      <c r="C459" s="1747" t="s">
        <v>2732</v>
      </c>
      <c r="D459" s="1747" t="s">
        <v>2733</v>
      </c>
      <c r="E459" s="1747" t="s">
        <v>2734</v>
      </c>
      <c r="F459" s="1747" t="s">
        <v>2735</v>
      </c>
      <c r="G459" s="1747" t="s">
        <v>17</v>
      </c>
      <c r="H459" s="1747" t="s">
        <v>17</v>
      </c>
      <c r="I459" s="1747" t="s">
        <v>1156</v>
      </c>
    </row>
    <row r="460" spans="1:9" ht="11.25" customHeight="1">
      <c r="A460" s="1747" t="s">
        <v>2503</v>
      </c>
      <c r="B460" s="1747" t="s">
        <v>3</v>
      </c>
      <c r="C460" s="1747" t="s">
        <v>3172</v>
      </c>
      <c r="D460" s="1747" t="s">
        <v>3173</v>
      </c>
      <c r="E460" s="1747" t="s">
        <v>3174</v>
      </c>
      <c r="F460" s="1747" t="s">
        <v>2683</v>
      </c>
      <c r="G460" s="1747" t="s">
        <v>17</v>
      </c>
      <c r="H460" s="1747" t="s">
        <v>17</v>
      </c>
      <c r="I460" s="1747" t="s">
        <v>1156</v>
      </c>
    </row>
    <row r="461" spans="1:9" ht="11.25" customHeight="1">
      <c r="A461" s="1747" t="s">
        <v>2503</v>
      </c>
      <c r="B461" s="1747" t="s">
        <v>3</v>
      </c>
      <c r="C461" s="1747" t="s">
        <v>2745</v>
      </c>
      <c r="D461" s="1747" t="s">
        <v>2746</v>
      </c>
      <c r="E461" s="1747" t="s">
        <v>2747</v>
      </c>
      <c r="F461" s="1747" t="s">
        <v>2735</v>
      </c>
      <c r="G461" s="1747" t="s">
        <v>17</v>
      </c>
      <c r="H461" s="1747" t="s">
        <v>17</v>
      </c>
      <c r="I461" s="1747" t="s">
        <v>1156</v>
      </c>
    </row>
    <row r="462" spans="1:9" ht="11.25" customHeight="1">
      <c r="A462" s="1747" t="s">
        <v>2503</v>
      </c>
      <c r="B462" s="1747" t="s">
        <v>3</v>
      </c>
      <c r="C462" s="1747" t="s">
        <v>3182</v>
      </c>
      <c r="D462" s="1747" t="s">
        <v>3183</v>
      </c>
      <c r="E462" s="1747" t="s">
        <v>3184</v>
      </c>
      <c r="F462" s="1747" t="s">
        <v>2694</v>
      </c>
      <c r="G462" s="1747" t="s">
        <v>17</v>
      </c>
      <c r="H462" s="1747" t="s">
        <v>17</v>
      </c>
      <c r="I462" s="1747" t="s">
        <v>1156</v>
      </c>
    </row>
    <row r="463" spans="1:9" ht="11.25" customHeight="1">
      <c r="A463" s="1747" t="s">
        <v>2503</v>
      </c>
      <c r="B463" s="1747" t="s">
        <v>3</v>
      </c>
      <c r="C463" s="1747" t="s">
        <v>2764</v>
      </c>
      <c r="D463" s="1747" t="s">
        <v>2765</v>
      </c>
      <c r="E463" s="1747" t="s">
        <v>2766</v>
      </c>
      <c r="F463" s="1747" t="s">
        <v>2767</v>
      </c>
      <c r="G463" s="1747" t="s">
        <v>17</v>
      </c>
      <c r="H463" s="1747" t="s">
        <v>17</v>
      </c>
      <c r="I463" s="1747" t="s">
        <v>1156</v>
      </c>
    </row>
    <row r="464" spans="1:9" ht="11.25" customHeight="1">
      <c r="A464" s="1747" t="s">
        <v>2503</v>
      </c>
      <c r="B464" s="1747" t="s">
        <v>3</v>
      </c>
      <c r="C464" s="1747" t="s">
        <v>3185</v>
      </c>
      <c r="D464" s="1747" t="s">
        <v>3186</v>
      </c>
      <c r="E464" s="1747" t="s">
        <v>3187</v>
      </c>
      <c r="F464" s="1747" t="s">
        <v>2683</v>
      </c>
      <c r="G464" s="1747" t="s">
        <v>17</v>
      </c>
      <c r="H464" s="1747" t="s">
        <v>17</v>
      </c>
      <c r="I464" s="1747" t="s">
        <v>1156</v>
      </c>
    </row>
    <row r="465" spans="1:9" ht="11.25" customHeight="1">
      <c r="A465" s="1747" t="s">
        <v>2503</v>
      </c>
      <c r="B465" s="1747" t="s">
        <v>3</v>
      </c>
      <c r="C465" s="1747" t="s">
        <v>3285</v>
      </c>
      <c r="D465" s="1747" t="s">
        <v>3286</v>
      </c>
      <c r="E465" s="1747" t="s">
        <v>3287</v>
      </c>
      <c r="F465" s="1747" t="s">
        <v>3288</v>
      </c>
      <c r="G465" s="1747" t="s">
        <v>17</v>
      </c>
      <c r="H465" s="1747" t="s">
        <v>17</v>
      </c>
      <c r="I465" s="1747" t="s">
        <v>1156</v>
      </c>
    </row>
    <row r="466" spans="1:9" ht="11.25" customHeight="1">
      <c r="A466" s="1747" t="s">
        <v>2503</v>
      </c>
      <c r="B466" s="1747" t="s">
        <v>3</v>
      </c>
      <c r="C466" s="1747" t="s">
        <v>3289</v>
      </c>
      <c r="D466" s="1747" t="s">
        <v>3290</v>
      </c>
      <c r="E466" s="1747" t="s">
        <v>3291</v>
      </c>
      <c r="F466" s="1747" t="s">
        <v>2525</v>
      </c>
      <c r="G466" s="1747" t="s">
        <v>3292</v>
      </c>
      <c r="H466" s="1747" t="s">
        <v>17</v>
      </c>
      <c r="I466" s="1747" t="s">
        <v>1156</v>
      </c>
    </row>
    <row r="467" spans="1:9" ht="11.25" customHeight="1">
      <c r="A467" s="1747" t="s">
        <v>2503</v>
      </c>
      <c r="B467" s="1747" t="s">
        <v>3</v>
      </c>
      <c r="C467" s="1747" t="s">
        <v>3293</v>
      </c>
      <c r="D467" s="1747" t="s">
        <v>3294</v>
      </c>
      <c r="E467" s="1747" t="s">
        <v>3295</v>
      </c>
      <c r="F467" s="1747" t="s">
        <v>2694</v>
      </c>
      <c r="G467" s="1747" t="s">
        <v>17</v>
      </c>
      <c r="H467" s="1747" t="s">
        <v>17</v>
      </c>
      <c r="I467" s="1747" t="s">
        <v>1156</v>
      </c>
    </row>
    <row r="468" spans="1:9" ht="11.25" customHeight="1">
      <c r="A468" s="1747" t="s">
        <v>2503</v>
      </c>
      <c r="B468" s="1747" t="s">
        <v>3</v>
      </c>
      <c r="C468" s="1747" t="s">
        <v>2774</v>
      </c>
      <c r="D468" s="1747" t="s">
        <v>2775</v>
      </c>
      <c r="E468" s="1747" t="s">
        <v>2776</v>
      </c>
      <c r="F468" s="1747" t="s">
        <v>45</v>
      </c>
      <c r="G468" s="1747" t="s">
        <v>17</v>
      </c>
      <c r="H468" s="1747" t="s">
        <v>17</v>
      </c>
      <c r="I468" s="1747" t="s">
        <v>1156</v>
      </c>
    </row>
    <row r="469" spans="1:9" ht="11.25" customHeight="1">
      <c r="A469" s="1747" t="s">
        <v>2503</v>
      </c>
      <c r="B469" s="1747" t="s">
        <v>3</v>
      </c>
      <c r="C469" s="1747" t="s">
        <v>3188</v>
      </c>
      <c r="D469" s="1747" t="s">
        <v>3189</v>
      </c>
      <c r="E469" s="1747" t="s">
        <v>3190</v>
      </c>
      <c r="F469" s="1747" t="s">
        <v>2625</v>
      </c>
      <c r="G469" s="1747" t="s">
        <v>17</v>
      </c>
      <c r="H469" s="1747" t="s">
        <v>17</v>
      </c>
      <c r="I469" s="1747" t="s">
        <v>1156</v>
      </c>
    </row>
    <row r="470" spans="1:9" ht="11.25" customHeight="1">
      <c r="A470" s="1747" t="s">
        <v>2503</v>
      </c>
      <c r="B470" s="1747" t="s">
        <v>3</v>
      </c>
      <c r="C470" s="1747" t="s">
        <v>2780</v>
      </c>
      <c r="D470" s="1747" t="s">
        <v>2781</v>
      </c>
      <c r="E470" s="1747" t="s">
        <v>2782</v>
      </c>
      <c r="F470" s="1747" t="s">
        <v>2694</v>
      </c>
      <c r="G470" s="1747" t="s">
        <v>17</v>
      </c>
      <c r="H470" s="1747" t="s">
        <v>17</v>
      </c>
      <c r="I470" s="1747" t="s">
        <v>1156</v>
      </c>
    </row>
    <row r="471" spans="1:9" ht="11.25" customHeight="1">
      <c r="A471" s="1747" t="s">
        <v>2503</v>
      </c>
      <c r="B471" s="1747" t="s">
        <v>3</v>
      </c>
      <c r="C471" s="1747" t="s">
        <v>3191</v>
      </c>
      <c r="D471" s="1747" t="s">
        <v>3192</v>
      </c>
      <c r="E471" s="1747" t="s">
        <v>3193</v>
      </c>
      <c r="F471" s="1747" t="s">
        <v>2694</v>
      </c>
      <c r="G471" s="1747" t="s">
        <v>17</v>
      </c>
      <c r="H471" s="1747" t="s">
        <v>17</v>
      </c>
      <c r="I471" s="1747" t="s">
        <v>1156</v>
      </c>
    </row>
    <row r="472" spans="1:9" ht="11.25" customHeight="1">
      <c r="A472" s="1747" t="s">
        <v>2503</v>
      </c>
      <c r="B472" s="1747" t="s">
        <v>3</v>
      </c>
      <c r="C472" s="1747" t="s">
        <v>2786</v>
      </c>
      <c r="D472" s="1747" t="s">
        <v>2787</v>
      </c>
      <c r="E472" s="1747" t="s">
        <v>2788</v>
      </c>
      <c r="F472" s="1747" t="s">
        <v>2625</v>
      </c>
      <c r="G472" s="1747" t="s">
        <v>17</v>
      </c>
      <c r="H472" s="1747" t="s">
        <v>17</v>
      </c>
      <c r="I472" s="1747" t="s">
        <v>1156</v>
      </c>
    </row>
    <row r="473" spans="1:9" ht="11.25" customHeight="1">
      <c r="A473" s="1747" t="s">
        <v>2503</v>
      </c>
      <c r="B473" s="1747" t="s">
        <v>3</v>
      </c>
      <c r="C473" s="1747" t="s">
        <v>2801</v>
      </c>
      <c r="D473" s="1747" t="s">
        <v>2802</v>
      </c>
      <c r="E473" s="1747" t="s">
        <v>2803</v>
      </c>
      <c r="F473" s="1747" t="s">
        <v>2735</v>
      </c>
      <c r="G473" s="1747" t="s">
        <v>17</v>
      </c>
      <c r="H473" s="1747" t="s">
        <v>17</v>
      </c>
      <c r="I473" s="1747" t="s">
        <v>1156</v>
      </c>
    </row>
    <row r="474" spans="1:9" ht="11.25" customHeight="1">
      <c r="A474" s="1747" t="s">
        <v>2503</v>
      </c>
      <c r="B474" s="1747" t="s">
        <v>3</v>
      </c>
      <c r="C474" s="1747" t="s">
        <v>2804</v>
      </c>
      <c r="D474" s="1747" t="s">
        <v>2805</v>
      </c>
      <c r="E474" s="1747" t="s">
        <v>2806</v>
      </c>
      <c r="F474" s="1747" t="s">
        <v>2735</v>
      </c>
      <c r="G474" s="1747" t="s">
        <v>2807</v>
      </c>
      <c r="H474" s="1747" t="s">
        <v>17</v>
      </c>
      <c r="I474" s="1747" t="s">
        <v>1156</v>
      </c>
    </row>
    <row r="475" spans="1:9" ht="11.25" customHeight="1">
      <c r="A475" s="1747" t="s">
        <v>2503</v>
      </c>
      <c r="B475" s="1747" t="s">
        <v>3</v>
      </c>
      <c r="C475" s="1747" t="s">
        <v>3197</v>
      </c>
      <c r="D475" s="1747" t="s">
        <v>3198</v>
      </c>
      <c r="E475" s="1747" t="s">
        <v>3199</v>
      </c>
      <c r="F475" s="1747" t="s">
        <v>2694</v>
      </c>
      <c r="G475" s="1747" t="s">
        <v>3200</v>
      </c>
      <c r="H475" s="1747" t="s">
        <v>17</v>
      </c>
      <c r="I475" s="1747" t="s">
        <v>1156</v>
      </c>
    </row>
    <row r="476" spans="1:9" ht="11.25" customHeight="1">
      <c r="A476" s="1747" t="s">
        <v>2503</v>
      </c>
      <c r="B476" s="1747" t="s">
        <v>3</v>
      </c>
      <c r="C476" s="1747" t="s">
        <v>2808</v>
      </c>
      <c r="D476" s="1747" t="s">
        <v>2809</v>
      </c>
      <c r="E476" s="1747" t="s">
        <v>2810</v>
      </c>
      <c r="F476" s="1747" t="s">
        <v>2525</v>
      </c>
      <c r="G476" s="1747" t="s">
        <v>2807</v>
      </c>
      <c r="H476" s="1747" t="s">
        <v>17</v>
      </c>
      <c r="I476" s="1747" t="s">
        <v>1156</v>
      </c>
    </row>
    <row r="477" spans="1:9" ht="11.25" customHeight="1">
      <c r="A477" s="1747" t="s">
        <v>2503</v>
      </c>
      <c r="B477" s="1747" t="s">
        <v>3</v>
      </c>
      <c r="C477" s="1747" t="s">
        <v>3296</v>
      </c>
      <c r="D477" s="1747" t="s">
        <v>3297</v>
      </c>
      <c r="E477" s="1747" t="s">
        <v>3298</v>
      </c>
      <c r="F477" s="1747" t="s">
        <v>2621</v>
      </c>
      <c r="G477" s="1747" t="s">
        <v>17</v>
      </c>
      <c r="H477" s="1747" t="s">
        <v>17</v>
      </c>
      <c r="I477" s="1747" t="s">
        <v>1156</v>
      </c>
    </row>
    <row r="478" spans="1:9" ht="11.25" customHeight="1">
      <c r="A478" s="1747" t="s">
        <v>2503</v>
      </c>
      <c r="B478" s="1747" t="s">
        <v>3</v>
      </c>
      <c r="C478" s="1747" t="s">
        <v>3204</v>
      </c>
      <c r="D478" s="1747" t="s">
        <v>3205</v>
      </c>
      <c r="E478" s="1747" t="s">
        <v>3206</v>
      </c>
      <c r="F478" s="1747" t="s">
        <v>2621</v>
      </c>
      <c r="G478" s="1747" t="s">
        <v>17</v>
      </c>
      <c r="H478" s="1747" t="s">
        <v>17</v>
      </c>
      <c r="I478" s="1747" t="s">
        <v>1156</v>
      </c>
    </row>
    <row r="479" spans="1:9" ht="11.25" customHeight="1">
      <c r="A479" s="1747" t="s">
        <v>2503</v>
      </c>
      <c r="B479" s="1747" t="s">
        <v>3</v>
      </c>
      <c r="C479" s="1747" t="s">
        <v>3207</v>
      </c>
      <c r="D479" s="1747" t="s">
        <v>3208</v>
      </c>
      <c r="E479" s="1747" t="s">
        <v>3209</v>
      </c>
      <c r="F479" s="1747" t="s">
        <v>2563</v>
      </c>
      <c r="G479" s="1747" t="s">
        <v>17</v>
      </c>
      <c r="H479" s="1747" t="s">
        <v>17</v>
      </c>
      <c r="I479" s="1747" t="s">
        <v>1156</v>
      </c>
    </row>
    <row r="480" spans="1:9" ht="11.25" customHeight="1">
      <c r="A480" s="1747" t="s">
        <v>2503</v>
      </c>
      <c r="B480" s="1747" t="s">
        <v>3</v>
      </c>
      <c r="C480" s="1747" t="s">
        <v>2818</v>
      </c>
      <c r="D480" s="1747" t="s">
        <v>2819</v>
      </c>
      <c r="E480" s="1747" t="s">
        <v>2820</v>
      </c>
      <c r="F480" s="1747" t="s">
        <v>2525</v>
      </c>
      <c r="G480" s="1747" t="s">
        <v>17</v>
      </c>
      <c r="H480" s="1747" t="s">
        <v>17</v>
      </c>
      <c r="I480" s="1747" t="s">
        <v>1156</v>
      </c>
    </row>
    <row r="481" spans="1:9" ht="11.25" customHeight="1">
      <c r="A481" s="1747" t="s">
        <v>2503</v>
      </c>
      <c r="B481" s="1747" t="s">
        <v>3</v>
      </c>
      <c r="C481" s="1747" t="s">
        <v>2821</v>
      </c>
      <c r="D481" s="1747" t="s">
        <v>2822</v>
      </c>
      <c r="E481" s="1747" t="s">
        <v>2823</v>
      </c>
      <c r="F481" s="1747" t="s">
        <v>2525</v>
      </c>
      <c r="G481" s="1747" t="s">
        <v>17</v>
      </c>
      <c r="H481" s="1747" t="s">
        <v>17</v>
      </c>
      <c r="I481" s="1747" t="s">
        <v>1156</v>
      </c>
    </row>
    <row r="482" spans="1:9" ht="11.25" customHeight="1">
      <c r="A482" s="1747" t="s">
        <v>2503</v>
      </c>
      <c r="B482" s="1747" t="s">
        <v>3</v>
      </c>
      <c r="C482" s="1747" t="s">
        <v>2824</v>
      </c>
      <c r="D482" s="1747" t="s">
        <v>2825</v>
      </c>
      <c r="E482" s="1747" t="s">
        <v>2826</v>
      </c>
      <c r="F482" s="1747" t="s">
        <v>2525</v>
      </c>
      <c r="G482" s="1747" t="s">
        <v>17</v>
      </c>
      <c r="H482" s="1747" t="s">
        <v>17</v>
      </c>
      <c r="I482" s="1747" t="s">
        <v>1156</v>
      </c>
    </row>
    <row r="483" spans="1:9" ht="11.25" customHeight="1">
      <c r="A483" s="1747" t="s">
        <v>2503</v>
      </c>
      <c r="B483" s="1747" t="s">
        <v>3</v>
      </c>
      <c r="C483" s="1747" t="s">
        <v>2830</v>
      </c>
      <c r="D483" s="1747" t="s">
        <v>2831</v>
      </c>
      <c r="E483" s="1747" t="s">
        <v>2832</v>
      </c>
      <c r="F483" s="1747" t="s">
        <v>2525</v>
      </c>
      <c r="G483" s="1747" t="s">
        <v>17</v>
      </c>
      <c r="H483" s="1747" t="s">
        <v>17</v>
      </c>
      <c r="I483" s="1747" t="s">
        <v>1156</v>
      </c>
    </row>
    <row r="484" spans="1:9" ht="11.25" customHeight="1">
      <c r="A484" s="1747" t="s">
        <v>2503</v>
      </c>
      <c r="B484" s="1747" t="s">
        <v>3</v>
      </c>
      <c r="C484" s="1747" t="s">
        <v>2836</v>
      </c>
      <c r="D484" s="1747" t="s">
        <v>2834</v>
      </c>
      <c r="E484" s="1747" t="s">
        <v>2837</v>
      </c>
      <c r="F484" s="1747" t="s">
        <v>2817</v>
      </c>
      <c r="G484" s="1747" t="s">
        <v>17</v>
      </c>
      <c r="H484" s="1747" t="s">
        <v>17</v>
      </c>
      <c r="I484" s="1747" t="s">
        <v>1156</v>
      </c>
    </row>
    <row r="485" spans="1:9" ht="11.25" customHeight="1">
      <c r="A485" s="1747" t="s">
        <v>2503</v>
      </c>
      <c r="B485" s="1747" t="s">
        <v>3</v>
      </c>
      <c r="C485" s="1747" t="s">
        <v>2838</v>
      </c>
      <c r="D485" s="1747" t="s">
        <v>2839</v>
      </c>
      <c r="E485" s="1747" t="s">
        <v>2840</v>
      </c>
      <c r="F485" s="1747" t="s">
        <v>2525</v>
      </c>
      <c r="G485" s="1747" t="s">
        <v>17</v>
      </c>
      <c r="H485" s="1747" t="s">
        <v>17</v>
      </c>
      <c r="I485" s="1747" t="s">
        <v>1156</v>
      </c>
    </row>
    <row r="486" spans="1:9" ht="11.25" customHeight="1">
      <c r="A486" s="1747" t="s">
        <v>2503</v>
      </c>
      <c r="B486" s="1747" t="s">
        <v>3</v>
      </c>
      <c r="C486" s="1747" t="s">
        <v>3210</v>
      </c>
      <c r="D486" s="1747" t="s">
        <v>3211</v>
      </c>
      <c r="E486" s="1747" t="s">
        <v>3212</v>
      </c>
      <c r="F486" s="1747" t="s">
        <v>2694</v>
      </c>
      <c r="G486" s="1747" t="s">
        <v>17</v>
      </c>
      <c r="H486" s="1747" t="s">
        <v>17</v>
      </c>
      <c r="I486" s="1747" t="s">
        <v>1156</v>
      </c>
    </row>
    <row r="487" spans="1:9" ht="11.25" customHeight="1">
      <c r="A487" s="1747" t="s">
        <v>2503</v>
      </c>
      <c r="B487" s="1747" t="s">
        <v>3</v>
      </c>
      <c r="C487" s="1747" t="s">
        <v>2841</v>
      </c>
      <c r="D487" s="1747" t="s">
        <v>2842</v>
      </c>
      <c r="E487" s="1747" t="s">
        <v>2843</v>
      </c>
      <c r="F487" s="1747" t="s">
        <v>2563</v>
      </c>
      <c r="G487" s="1747" t="s">
        <v>17</v>
      </c>
      <c r="H487" s="1747" t="s">
        <v>17</v>
      </c>
      <c r="I487" s="1747" t="s">
        <v>1156</v>
      </c>
    </row>
    <row r="488" spans="1:9" ht="11.25" customHeight="1">
      <c r="A488" s="1747" t="s">
        <v>2503</v>
      </c>
      <c r="B488" s="1747" t="s">
        <v>3</v>
      </c>
      <c r="C488" s="1747" t="s">
        <v>3220</v>
      </c>
      <c r="D488" s="1747" t="s">
        <v>3221</v>
      </c>
      <c r="E488" s="1747" t="s">
        <v>3222</v>
      </c>
      <c r="F488" s="1747" t="s">
        <v>2694</v>
      </c>
      <c r="G488" s="1747" t="s">
        <v>17</v>
      </c>
      <c r="H488" s="1747" t="s">
        <v>17</v>
      </c>
      <c r="I488" s="1747" t="s">
        <v>1156</v>
      </c>
    </row>
    <row r="489" spans="1:9" ht="11.25" customHeight="1">
      <c r="A489" s="1747" t="s">
        <v>2503</v>
      </c>
      <c r="B489" s="1747" t="s">
        <v>3</v>
      </c>
      <c r="C489" s="1747" t="s">
        <v>2850</v>
      </c>
      <c r="D489" s="1747" t="s">
        <v>2851</v>
      </c>
      <c r="E489" s="1747" t="s">
        <v>2852</v>
      </c>
      <c r="F489" s="1747" t="s">
        <v>2694</v>
      </c>
      <c r="G489" s="1747" t="s">
        <v>17</v>
      </c>
      <c r="H489" s="1747" t="s">
        <v>17</v>
      </c>
      <c r="I489" s="1747" t="s">
        <v>1156</v>
      </c>
    </row>
    <row r="490" spans="1:9" ht="11.25" customHeight="1">
      <c r="A490" s="1747" t="s">
        <v>2503</v>
      </c>
      <c r="B490" s="1747" t="s">
        <v>3</v>
      </c>
      <c r="C490" s="1747" t="s">
        <v>2853</v>
      </c>
      <c r="D490" s="1747" t="s">
        <v>2854</v>
      </c>
      <c r="E490" s="1747" t="s">
        <v>2855</v>
      </c>
      <c r="F490" s="1747" t="s">
        <v>2625</v>
      </c>
      <c r="G490" s="1747" t="s">
        <v>17</v>
      </c>
      <c r="H490" s="1747" t="s">
        <v>17</v>
      </c>
      <c r="I490" s="1747" t="s">
        <v>1156</v>
      </c>
    </row>
    <row r="491" spans="1:9" ht="11.25" customHeight="1">
      <c r="A491" s="1747" t="s">
        <v>2503</v>
      </c>
      <c r="B491" s="1747" t="s">
        <v>3</v>
      </c>
      <c r="C491" s="1747" t="s">
        <v>3223</v>
      </c>
      <c r="D491" s="1747" t="s">
        <v>3224</v>
      </c>
      <c r="E491" s="1747" t="s">
        <v>3225</v>
      </c>
      <c r="F491" s="1747" t="s">
        <v>2683</v>
      </c>
      <c r="G491" s="1747" t="s">
        <v>17</v>
      </c>
      <c r="H491" s="1747" t="s">
        <v>17</v>
      </c>
      <c r="I491" s="1747" t="s">
        <v>1156</v>
      </c>
    </row>
    <row r="492" spans="1:9" ht="11.25" customHeight="1">
      <c r="A492" s="1747" t="s">
        <v>2503</v>
      </c>
      <c r="B492" s="1747" t="s">
        <v>3</v>
      </c>
      <c r="C492" s="1747" t="s">
        <v>3226</v>
      </c>
      <c r="D492" s="1747" t="s">
        <v>3227</v>
      </c>
      <c r="E492" s="1747" t="s">
        <v>3228</v>
      </c>
      <c r="F492" s="1747" t="s">
        <v>2625</v>
      </c>
      <c r="G492" s="1747" t="s">
        <v>17</v>
      </c>
      <c r="H492" s="1747" t="s">
        <v>17</v>
      </c>
      <c r="I492" s="1747" t="s">
        <v>1156</v>
      </c>
    </row>
    <row r="493" spans="1:9" ht="11.25" customHeight="1">
      <c r="A493" s="1747" t="s">
        <v>2503</v>
      </c>
      <c r="B493" s="1747" t="s">
        <v>3</v>
      </c>
      <c r="C493" s="1747" t="s">
        <v>2868</v>
      </c>
      <c r="D493" s="1747" t="s">
        <v>2869</v>
      </c>
      <c r="E493" s="1747" t="s">
        <v>2870</v>
      </c>
      <c r="F493" s="1747" t="s">
        <v>2610</v>
      </c>
      <c r="G493" s="1747" t="s">
        <v>17</v>
      </c>
      <c r="H493" s="1747" t="s">
        <v>17</v>
      </c>
      <c r="I493" s="1747" t="s">
        <v>1156</v>
      </c>
    </row>
    <row r="494" spans="1:9" ht="11.25" customHeight="1">
      <c r="A494" s="1747" t="s">
        <v>2503</v>
      </c>
      <c r="B494" s="1747" t="s">
        <v>3</v>
      </c>
      <c r="C494" s="1747" t="s">
        <v>2871</v>
      </c>
      <c r="D494" s="1747" t="s">
        <v>2872</v>
      </c>
      <c r="E494" s="1747" t="s">
        <v>2873</v>
      </c>
      <c r="F494" s="1747" t="s">
        <v>2525</v>
      </c>
      <c r="G494" s="1747" t="s">
        <v>17</v>
      </c>
      <c r="H494" s="1747" t="s">
        <v>17</v>
      </c>
      <c r="I494" s="1747" t="s">
        <v>1156</v>
      </c>
    </row>
    <row r="495" spans="1:9" ht="11.25" customHeight="1">
      <c r="A495" s="1747" t="s">
        <v>2503</v>
      </c>
      <c r="B495" s="1747" t="s">
        <v>3</v>
      </c>
      <c r="C495" s="1747" t="s">
        <v>3299</v>
      </c>
      <c r="D495" s="1747" t="s">
        <v>3300</v>
      </c>
      <c r="E495" s="1747" t="s">
        <v>3301</v>
      </c>
      <c r="F495" s="1747" t="s">
        <v>3302</v>
      </c>
      <c r="G495" s="1747" t="s">
        <v>3303</v>
      </c>
      <c r="H495" s="1747" t="s">
        <v>17</v>
      </c>
      <c r="I495" s="1747" t="s">
        <v>1156</v>
      </c>
    </row>
    <row r="496" spans="1:9" ht="11.25" customHeight="1">
      <c r="A496" s="1747" t="s">
        <v>2503</v>
      </c>
      <c r="B496" s="1747" t="s">
        <v>3</v>
      </c>
      <c r="C496" s="1747" t="s">
        <v>3232</v>
      </c>
      <c r="D496" s="1747" t="s">
        <v>3233</v>
      </c>
      <c r="E496" s="1747" t="s">
        <v>3234</v>
      </c>
      <c r="F496" s="1747" t="s">
        <v>2683</v>
      </c>
      <c r="G496" s="1747" t="s">
        <v>17</v>
      </c>
      <c r="H496" s="1747" t="s">
        <v>17</v>
      </c>
      <c r="I496" s="1747" t="s">
        <v>1156</v>
      </c>
    </row>
    <row r="497" spans="1:9" ht="11.25" customHeight="1">
      <c r="A497" s="1747" t="s">
        <v>2503</v>
      </c>
      <c r="B497" s="1747" t="s">
        <v>3</v>
      </c>
      <c r="C497" s="1747" t="s">
        <v>2880</v>
      </c>
      <c r="D497" s="1747" t="s">
        <v>2881</v>
      </c>
      <c r="E497" s="1747" t="s">
        <v>2882</v>
      </c>
      <c r="F497" s="1747" t="s">
        <v>2683</v>
      </c>
      <c r="G497" s="1747" t="s">
        <v>17</v>
      </c>
      <c r="H497" s="1747" t="s">
        <v>17</v>
      </c>
      <c r="I497" s="1747" t="s">
        <v>1156</v>
      </c>
    </row>
    <row r="498" spans="1:9" ht="11.25" customHeight="1">
      <c r="A498" s="1747" t="s">
        <v>2503</v>
      </c>
      <c r="B498" s="1747" t="s">
        <v>3</v>
      </c>
      <c r="C498" s="1747" t="s">
        <v>2883</v>
      </c>
      <c r="D498" s="1747" t="s">
        <v>2884</v>
      </c>
      <c r="E498" s="1747" t="s">
        <v>2885</v>
      </c>
      <c r="F498" s="1747" t="s">
        <v>2625</v>
      </c>
      <c r="G498" s="1747" t="s">
        <v>17</v>
      </c>
      <c r="H498" s="1747" t="s">
        <v>17</v>
      </c>
      <c r="I498" s="1747" t="s">
        <v>1156</v>
      </c>
    </row>
    <row r="499" spans="1:9" ht="11.25" customHeight="1">
      <c r="A499" s="1747" t="s">
        <v>2503</v>
      </c>
      <c r="B499" s="1747" t="s">
        <v>3</v>
      </c>
      <c r="C499" s="1747" t="s">
        <v>3245</v>
      </c>
      <c r="D499" s="1747" t="s">
        <v>3246</v>
      </c>
      <c r="E499" s="1747" t="s">
        <v>3247</v>
      </c>
      <c r="F499" s="1747" t="s">
        <v>2592</v>
      </c>
      <c r="G499" s="1747" t="s">
        <v>17</v>
      </c>
      <c r="H499" s="1747" t="s">
        <v>17</v>
      </c>
      <c r="I499" s="1747" t="s">
        <v>1156</v>
      </c>
    </row>
    <row r="500" spans="1:9" ht="11.25" customHeight="1">
      <c r="A500" s="1747" t="s">
        <v>2503</v>
      </c>
      <c r="B500" s="1747" t="s">
        <v>3</v>
      </c>
      <c r="C500" s="1747" t="s">
        <v>3304</v>
      </c>
      <c r="D500" s="1747" t="s">
        <v>3305</v>
      </c>
      <c r="E500" s="1747" t="s">
        <v>3306</v>
      </c>
      <c r="F500" s="1747" t="s">
        <v>2525</v>
      </c>
      <c r="G500" s="1747" t="s">
        <v>3307</v>
      </c>
      <c r="H500" s="1747" t="s">
        <v>17</v>
      </c>
      <c r="I500" s="1747" t="s">
        <v>1156</v>
      </c>
    </row>
    <row r="501" spans="1:9" ht="11.25" customHeight="1">
      <c r="A501" s="1747" t="s">
        <v>2503</v>
      </c>
      <c r="B501" s="1747" t="s">
        <v>3</v>
      </c>
      <c r="C501" s="1747" t="s">
        <v>3248</v>
      </c>
      <c r="D501" s="1747" t="s">
        <v>3249</v>
      </c>
      <c r="E501" s="1747" t="s">
        <v>3250</v>
      </c>
      <c r="F501" s="1747" t="s">
        <v>2735</v>
      </c>
      <c r="G501" s="1747" t="s">
        <v>17</v>
      </c>
      <c r="H501" s="1747" t="s">
        <v>17</v>
      </c>
      <c r="I501" s="1747" t="s">
        <v>1156</v>
      </c>
    </row>
    <row r="502" spans="1:9" ht="11.25" customHeight="1">
      <c r="A502" s="1747" t="s">
        <v>2503</v>
      </c>
      <c r="B502" s="1747" t="s">
        <v>3</v>
      </c>
      <c r="C502" s="1747" t="s">
        <v>2936</v>
      </c>
      <c r="D502" s="1747" t="s">
        <v>2937</v>
      </c>
      <c r="E502" s="1747" t="s">
        <v>2938</v>
      </c>
      <c r="F502" s="1747" t="s">
        <v>2621</v>
      </c>
      <c r="G502" s="1747" t="s">
        <v>17</v>
      </c>
      <c r="H502" s="1747" t="s">
        <v>17</v>
      </c>
      <c r="I502" s="1747" t="s">
        <v>1156</v>
      </c>
    </row>
    <row r="503" spans="1:9" ht="11.25" customHeight="1">
      <c r="A503" s="1747" t="s">
        <v>2503</v>
      </c>
      <c r="B503" s="1747" t="s">
        <v>3</v>
      </c>
      <c r="C503" s="1747" t="s">
        <v>2939</v>
      </c>
      <c r="D503" s="1747" t="s">
        <v>2940</v>
      </c>
      <c r="E503" s="1747" t="s">
        <v>2941</v>
      </c>
      <c r="F503" s="1747" t="s">
        <v>2621</v>
      </c>
      <c r="G503" s="1747" t="s">
        <v>17</v>
      </c>
      <c r="H503" s="1747" t="s">
        <v>17</v>
      </c>
      <c r="I503" s="1747" t="s">
        <v>1156</v>
      </c>
    </row>
    <row r="504" spans="1:9" ht="11.25" customHeight="1">
      <c r="A504" s="1747" t="s">
        <v>2503</v>
      </c>
      <c r="B504" s="1747" t="s">
        <v>3</v>
      </c>
      <c r="C504" s="1747" t="s">
        <v>3251</v>
      </c>
      <c r="D504" s="1747" t="s">
        <v>3252</v>
      </c>
      <c r="E504" s="1747" t="s">
        <v>3253</v>
      </c>
      <c r="F504" s="1747" t="s">
        <v>2625</v>
      </c>
      <c r="G504" s="1747" t="s">
        <v>3254</v>
      </c>
      <c r="H504" s="1747" t="s">
        <v>17</v>
      </c>
      <c r="I504" s="1747" t="s">
        <v>1156</v>
      </c>
    </row>
    <row r="505" spans="1:9" ht="11.25" customHeight="1">
      <c r="A505" s="1747" t="s">
        <v>2503</v>
      </c>
      <c r="B505" s="1747" t="s">
        <v>3</v>
      </c>
      <c r="C505" s="1747" t="s">
        <v>2946</v>
      </c>
      <c r="D505" s="1747" t="s">
        <v>2947</v>
      </c>
      <c r="E505" s="1747" t="s">
        <v>2948</v>
      </c>
      <c r="F505" s="1747" t="s">
        <v>2949</v>
      </c>
      <c r="G505" s="1747" t="s">
        <v>17</v>
      </c>
      <c r="H505" s="1747" t="s">
        <v>17</v>
      </c>
      <c r="I505" s="1747" t="s">
        <v>1156</v>
      </c>
    </row>
    <row r="506" spans="1:9" ht="11.25" customHeight="1">
      <c r="A506" s="1747" t="s">
        <v>2503</v>
      </c>
      <c r="B506" s="1747" t="s">
        <v>3</v>
      </c>
      <c r="C506" s="1747" t="s">
        <v>2950</v>
      </c>
      <c r="D506" s="1747" t="s">
        <v>2951</v>
      </c>
      <c r="E506" s="1747" t="s">
        <v>2952</v>
      </c>
      <c r="F506" s="1747" t="s">
        <v>2953</v>
      </c>
      <c r="G506" s="1747" t="s">
        <v>17</v>
      </c>
      <c r="H506" s="1747" t="s">
        <v>17</v>
      </c>
      <c r="I506" s="1747" t="s">
        <v>1156</v>
      </c>
    </row>
    <row r="507" spans="1:9" ht="11.25" customHeight="1">
      <c r="A507" s="1747" t="s">
        <v>2503</v>
      </c>
      <c r="B507" s="1747" t="s">
        <v>3</v>
      </c>
      <c r="C507" s="1747" t="s">
        <v>3017</v>
      </c>
      <c r="D507" s="1747" t="s">
        <v>2951</v>
      </c>
      <c r="E507" s="1747" t="s">
        <v>2952</v>
      </c>
      <c r="F507" s="1747" t="s">
        <v>3018</v>
      </c>
      <c r="G507" s="1747" t="s">
        <v>17</v>
      </c>
      <c r="H507" s="1747" t="s">
        <v>17</v>
      </c>
      <c r="I507" s="1747" t="s">
        <v>1156</v>
      </c>
    </row>
    <row r="508" spans="1:9" ht="11.25" customHeight="1">
      <c r="A508" s="1747" t="s">
        <v>2503</v>
      </c>
      <c r="B508" s="1747" t="s">
        <v>3</v>
      </c>
      <c r="C508" s="1747" t="s">
        <v>3259</v>
      </c>
      <c r="D508" s="1747" t="s">
        <v>3260</v>
      </c>
      <c r="E508" s="1747" t="s">
        <v>3261</v>
      </c>
      <c r="F508" s="1747" t="s">
        <v>2735</v>
      </c>
      <c r="G508" s="1747" t="s">
        <v>17</v>
      </c>
      <c r="H508" s="1747" t="s">
        <v>17</v>
      </c>
      <c r="I508" s="1747" t="s">
        <v>1156</v>
      </c>
    </row>
    <row r="509" spans="1:9" ht="11.25" customHeight="1">
      <c r="A509" s="1747" t="s">
        <v>2503</v>
      </c>
      <c r="B509" s="1747" t="s">
        <v>3</v>
      </c>
      <c r="C509" s="1747" t="s">
        <v>3262</v>
      </c>
      <c r="D509" s="1747" t="s">
        <v>3263</v>
      </c>
      <c r="E509" s="1747" t="s">
        <v>3264</v>
      </c>
      <c r="F509" s="1747" t="s">
        <v>45</v>
      </c>
      <c r="G509" s="1747" t="s">
        <v>17</v>
      </c>
      <c r="H509" s="1747" t="s">
        <v>17</v>
      </c>
      <c r="I509" s="1747" t="s">
        <v>1156</v>
      </c>
    </row>
    <row r="510" spans="1:9" ht="11.25" customHeight="1">
      <c r="A510" s="1747" t="s">
        <v>2503</v>
      </c>
      <c r="B510" s="1747" t="s">
        <v>3</v>
      </c>
      <c r="C510" s="1747" t="s">
        <v>2957</v>
      </c>
      <c r="D510" s="1747" t="s">
        <v>2958</v>
      </c>
      <c r="E510" s="1747" t="s">
        <v>2959</v>
      </c>
      <c r="F510" s="1747" t="s">
        <v>2525</v>
      </c>
      <c r="G510" s="1747" t="s">
        <v>17</v>
      </c>
      <c r="H510" s="1747" t="s">
        <v>17</v>
      </c>
      <c r="I510" s="1747" t="s">
        <v>1156</v>
      </c>
    </row>
    <row r="511" spans="1:9" ht="11.25" customHeight="1">
      <c r="A511" s="1747" t="s">
        <v>2503</v>
      </c>
      <c r="B511" s="1747" t="s">
        <v>3</v>
      </c>
      <c r="C511" s="1747" t="s">
        <v>3271</v>
      </c>
      <c r="D511" s="1747" t="s">
        <v>3272</v>
      </c>
      <c r="E511" s="1747" t="s">
        <v>3273</v>
      </c>
      <c r="F511" s="1747" t="s">
        <v>2683</v>
      </c>
      <c r="G511" s="1747" t="s">
        <v>17</v>
      </c>
      <c r="H511" s="1747" t="s">
        <v>17</v>
      </c>
      <c r="I511" s="1747" t="s">
        <v>1156</v>
      </c>
    </row>
    <row r="512" spans="1:9" ht="11.25" customHeight="1">
      <c r="A512" s="1747" t="s">
        <v>2503</v>
      </c>
      <c r="B512" s="1747" t="s">
        <v>3</v>
      </c>
      <c r="C512" s="1747" t="s">
        <v>2966</v>
      </c>
      <c r="D512" s="1747" t="s">
        <v>2967</v>
      </c>
      <c r="E512" s="1747" t="s">
        <v>2730</v>
      </c>
      <c r="F512" s="1747" t="s">
        <v>2968</v>
      </c>
      <c r="G512" s="1747" t="s">
        <v>17</v>
      </c>
      <c r="H512" s="1747" t="s">
        <v>17</v>
      </c>
      <c r="I512" s="1747" t="s">
        <v>1156</v>
      </c>
    </row>
    <row r="513" spans="1:9" ht="11.25" customHeight="1">
      <c r="A513" s="1747" t="s">
        <v>2503</v>
      </c>
      <c r="B513" s="1747" t="s">
        <v>3</v>
      </c>
      <c r="C513" s="1747" t="s">
        <v>2975</v>
      </c>
      <c r="D513" s="1747" t="s">
        <v>2976</v>
      </c>
      <c r="E513" s="1747" t="s">
        <v>2977</v>
      </c>
      <c r="F513" s="1747" t="s">
        <v>2978</v>
      </c>
      <c r="G513" s="1747" t="s">
        <v>17</v>
      </c>
      <c r="H513" s="1747" t="s">
        <v>17</v>
      </c>
      <c r="I513" s="1747" t="s">
        <v>1156</v>
      </c>
    </row>
    <row r="514" spans="1:9" ht="11.25" customHeight="1">
      <c r="A514" s="1747" t="s">
        <v>2503</v>
      </c>
      <c r="B514" s="1747" t="s">
        <v>3</v>
      </c>
      <c r="C514" s="1747" t="s">
        <v>2983</v>
      </c>
      <c r="D514" s="1747" t="s">
        <v>2984</v>
      </c>
      <c r="E514" s="1747" t="s">
        <v>2985</v>
      </c>
      <c r="F514" s="1747" t="s">
        <v>2735</v>
      </c>
      <c r="G514" s="1747" t="s">
        <v>17</v>
      </c>
      <c r="H514" s="1747" t="s">
        <v>17</v>
      </c>
      <c r="I514" s="1747" t="s">
        <v>1156</v>
      </c>
    </row>
    <row r="515" spans="1:9" ht="11.25" customHeight="1">
      <c r="A515" s="1747" t="s">
        <v>2503</v>
      </c>
      <c r="B515" s="1747" t="s">
        <v>3</v>
      </c>
      <c r="C515" s="1747" t="s">
        <v>2986</v>
      </c>
      <c r="D515" s="1747" t="s">
        <v>2987</v>
      </c>
      <c r="E515" s="1747" t="s">
        <v>2988</v>
      </c>
      <c r="F515" s="1747" t="s">
        <v>2735</v>
      </c>
      <c r="G515" s="1747" t="s">
        <v>17</v>
      </c>
      <c r="H515" s="1747" t="s">
        <v>17</v>
      </c>
      <c r="I515" s="1747" t="s">
        <v>1156</v>
      </c>
    </row>
    <row r="516" spans="1:9" ht="11.25" customHeight="1">
      <c r="A516" s="1747" t="s">
        <v>2503</v>
      </c>
      <c r="B516" s="1747" t="s">
        <v>3</v>
      </c>
      <c r="C516" s="1747" t="s">
        <v>2989</v>
      </c>
      <c r="D516" s="1747" t="s">
        <v>2990</v>
      </c>
      <c r="E516" s="1747" t="s">
        <v>2991</v>
      </c>
      <c r="F516" s="1747" t="s">
        <v>2525</v>
      </c>
      <c r="G516" s="1747" t="s">
        <v>17</v>
      </c>
      <c r="H516" s="1747" t="s">
        <v>17</v>
      </c>
      <c r="I516" s="1747" t="s">
        <v>1156</v>
      </c>
    </row>
    <row r="517" spans="1:9" ht="11.25" customHeight="1">
      <c r="A517" s="1747" t="s">
        <v>2503</v>
      </c>
      <c r="B517" s="1747" t="s">
        <v>3</v>
      </c>
      <c r="C517" s="1747" t="s">
        <v>2999</v>
      </c>
      <c r="D517" s="1747" t="s">
        <v>3000</v>
      </c>
      <c r="E517" s="1747" t="s">
        <v>3001</v>
      </c>
      <c r="F517" s="1747" t="s">
        <v>3002</v>
      </c>
      <c r="G517" s="1747" t="s">
        <v>17</v>
      </c>
      <c r="H517" s="1747" t="s">
        <v>17</v>
      </c>
      <c r="I517" s="1747" t="s">
        <v>1156</v>
      </c>
    </row>
    <row r="518" spans="1:9" ht="11.25" customHeight="1">
      <c r="A518" s="1747" t="s">
        <v>2503</v>
      </c>
      <c r="B518" s="1747" t="s">
        <v>3</v>
      </c>
      <c r="C518" s="1747" t="s">
        <v>3006</v>
      </c>
      <c r="D518" s="1747" t="s">
        <v>3007</v>
      </c>
      <c r="E518" s="1747" t="s">
        <v>2971</v>
      </c>
      <c r="F518" s="1747" t="s">
        <v>3008</v>
      </c>
      <c r="G518" s="1747" t="s">
        <v>17</v>
      </c>
      <c r="H518" s="1747" t="s">
        <v>17</v>
      </c>
      <c r="I518" s="1747" t="s">
        <v>1156</v>
      </c>
    </row>
    <row r="519" spans="1:9" ht="11.25" customHeight="1">
      <c r="A519" s="1747" t="s">
        <v>2503</v>
      </c>
      <c r="B519" s="1747" t="s">
        <v>3</v>
      </c>
      <c r="C519" s="1747" t="s">
        <v>3308</v>
      </c>
      <c r="D519" s="1747" t="s">
        <v>3309</v>
      </c>
      <c r="E519" s="1747" t="s">
        <v>3310</v>
      </c>
      <c r="F519" s="1747" t="s">
        <v>45</v>
      </c>
      <c r="G519" s="1747" t="s">
        <v>17</v>
      </c>
      <c r="H519" s="1747" t="s">
        <v>17</v>
      </c>
      <c r="I519" s="1747" t="s">
        <v>1855</v>
      </c>
    </row>
    <row r="520" spans="1:9" ht="11.25" customHeight="1">
      <c r="A520" s="1747" t="s">
        <v>2503</v>
      </c>
      <c r="B520" s="1747" t="s">
        <v>3</v>
      </c>
      <c r="C520" s="1747" t="s">
        <v>17</v>
      </c>
      <c r="D520" s="1747" t="s">
        <v>2605</v>
      </c>
      <c r="E520" s="1747" t="s">
        <v>2606</v>
      </c>
      <c r="F520" s="1747" t="s">
        <v>2550</v>
      </c>
      <c r="G520" s="1747" t="s">
        <v>17</v>
      </c>
      <c r="H520" s="1747" t="s">
        <v>17</v>
      </c>
      <c r="I520" s="1747" t="s">
        <v>1855</v>
      </c>
    </row>
    <row r="521" spans="1:9" ht="11.25" customHeight="1">
      <c r="A521" s="1747" t="s">
        <v>2503</v>
      </c>
      <c r="B521" s="1747" t="s">
        <v>3</v>
      </c>
      <c r="C521" s="1747" t="s">
        <v>3311</v>
      </c>
      <c r="D521" s="1747" t="s">
        <v>3312</v>
      </c>
      <c r="E521" s="1747" t="s">
        <v>3313</v>
      </c>
      <c r="F521" s="1747" t="s">
        <v>45</v>
      </c>
      <c r="G521" s="1747" t="s">
        <v>17</v>
      </c>
      <c r="H521" s="1747" t="s">
        <v>17</v>
      </c>
      <c r="I521" s="1747" t="s">
        <v>1855</v>
      </c>
    </row>
    <row r="522" spans="1:9" ht="11.25" customHeight="1">
      <c r="A522" s="1747" t="s">
        <v>2503</v>
      </c>
      <c r="B522" s="1747" t="s">
        <v>3</v>
      </c>
      <c r="C522" s="1747" t="s">
        <v>3314</v>
      </c>
      <c r="D522" s="1747" t="s">
        <v>3315</v>
      </c>
      <c r="E522" s="1747" t="s">
        <v>3316</v>
      </c>
      <c r="F522" s="1747" t="s">
        <v>2735</v>
      </c>
      <c r="G522" s="1747" t="s">
        <v>17</v>
      </c>
      <c r="H522" s="1747" t="s">
        <v>17</v>
      </c>
      <c r="I522" s="1747" t="s">
        <v>1855</v>
      </c>
    </row>
    <row r="523" spans="1:9" ht="11.25" customHeight="1">
      <c r="A523" s="1747" t="s">
        <v>2503</v>
      </c>
      <c r="B523" s="1747" t="s">
        <v>3</v>
      </c>
      <c r="C523" s="1747" t="s">
        <v>3317</v>
      </c>
      <c r="D523" s="1747" t="s">
        <v>3318</v>
      </c>
      <c r="E523" s="1747" t="s">
        <v>3319</v>
      </c>
      <c r="F523" s="1747" t="s">
        <v>2525</v>
      </c>
      <c r="G523" s="1747" t="s">
        <v>17</v>
      </c>
      <c r="H523" s="1747" t="s">
        <v>17</v>
      </c>
      <c r="I523" s="1747" t="s">
        <v>1855</v>
      </c>
    </row>
    <row r="524" spans="1:9" ht="11.25" customHeight="1">
      <c r="A524" s="1747" t="s">
        <v>2503</v>
      </c>
      <c r="B524" s="1747" t="s">
        <v>3</v>
      </c>
      <c r="C524" s="1747" t="s">
        <v>2833</v>
      </c>
      <c r="D524" s="1747" t="s">
        <v>2834</v>
      </c>
      <c r="E524" s="1747" t="s">
        <v>2835</v>
      </c>
      <c r="F524" s="1747" t="s">
        <v>2625</v>
      </c>
      <c r="G524" s="1747" t="s">
        <v>17</v>
      </c>
      <c r="H524" s="1747" t="s">
        <v>17</v>
      </c>
      <c r="I524" s="1747" t="s">
        <v>1855</v>
      </c>
    </row>
    <row r="525" spans="1:9" ht="11.25" customHeight="1">
      <c r="A525" s="1747" t="s">
        <v>2503</v>
      </c>
      <c r="B525" s="1747" t="s">
        <v>3</v>
      </c>
      <c r="C525" s="1747" t="s">
        <v>3320</v>
      </c>
      <c r="D525" s="1747" t="s">
        <v>3321</v>
      </c>
      <c r="E525" s="1747" t="s">
        <v>3322</v>
      </c>
      <c r="F525" s="1747" t="s">
        <v>2610</v>
      </c>
      <c r="G525" s="1747" t="s">
        <v>17</v>
      </c>
      <c r="H525" s="1747" t="s">
        <v>17</v>
      </c>
      <c r="I525" s="1747" t="s">
        <v>1855</v>
      </c>
    </row>
    <row r="526" spans="1:9" ht="11.25" customHeight="1">
      <c r="A526" s="1747" t="s">
        <v>2503</v>
      </c>
      <c r="B526" s="1747" t="s">
        <v>3</v>
      </c>
      <c r="C526" s="1747" t="s">
        <v>3323</v>
      </c>
      <c r="D526" s="1747" t="s">
        <v>3324</v>
      </c>
      <c r="E526" s="1747" t="s">
        <v>3325</v>
      </c>
      <c r="F526" s="1747" t="s">
        <v>2694</v>
      </c>
      <c r="G526" s="1747" t="s">
        <v>17</v>
      </c>
      <c r="H526" s="1747" t="s">
        <v>17</v>
      </c>
      <c r="I526" s="1747" t="s">
        <v>1855</v>
      </c>
    </row>
    <row r="527" spans="1:9" ht="11.25" customHeight="1">
      <c r="A527" s="1747" t="s">
        <v>2503</v>
      </c>
      <c r="B527" s="1747" t="s">
        <v>3</v>
      </c>
      <c r="C527" s="1747" t="s">
        <v>3326</v>
      </c>
      <c r="D527" s="1747" t="s">
        <v>3327</v>
      </c>
      <c r="E527" s="1747" t="s">
        <v>3328</v>
      </c>
      <c r="F527" s="1747" t="s">
        <v>2535</v>
      </c>
      <c r="G527" s="1747" t="s">
        <v>17</v>
      </c>
      <c r="H527" s="1747" t="s">
        <v>17</v>
      </c>
      <c r="I527" s="1747" t="s">
        <v>1855</v>
      </c>
    </row>
    <row r="528" spans="1:9" ht="11.25" customHeight="1">
      <c r="A528" s="1747" t="s">
        <v>2503</v>
      </c>
      <c r="B528" s="1747" t="s">
        <v>3</v>
      </c>
      <c r="C528" s="1747" t="s">
        <v>2930</v>
      </c>
      <c r="D528" s="1747" t="s">
        <v>2931</v>
      </c>
      <c r="E528" s="1747" t="s">
        <v>2932</v>
      </c>
      <c r="F528" s="1747" t="s">
        <v>2694</v>
      </c>
      <c r="G528" s="1747" t="s">
        <v>17</v>
      </c>
      <c r="H528" s="1747" t="s">
        <v>17</v>
      </c>
      <c r="I528" s="1747" t="s">
        <v>1855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209"/>
  <sheetViews>
    <sheetView showGridLines="0" workbookViewId="0"/>
  </sheetViews>
  <sheetFormatPr defaultRowHeight="11.25" customHeight="1"/>
  <cols>
    <col min="1" max="1" width="9.140625" style="1747"/>
  </cols>
  <sheetData>
    <row r="1" spans="1:7" ht="11.25" customHeight="1">
      <c r="A1" s="309" t="s">
        <v>3329</v>
      </c>
      <c r="B1" s="3" t="s">
        <v>3330</v>
      </c>
      <c r="C1" s="3" t="s">
        <v>3331</v>
      </c>
      <c r="D1" s="3" t="s">
        <v>3332</v>
      </c>
      <c r="E1" s="2" t="s">
        <v>3333</v>
      </c>
      <c r="F1" s="2" t="s">
        <v>3334</v>
      </c>
      <c r="G1" s="2" t="s">
        <v>3335</v>
      </c>
    </row>
    <row r="2" spans="1:7" ht="11.25" customHeight="1">
      <c r="A2" s="309" t="s">
        <v>3</v>
      </c>
      <c r="B2" t="s">
        <v>3336</v>
      </c>
      <c r="C2" t="s">
        <v>3337</v>
      </c>
      <c r="D2" t="s">
        <v>3336</v>
      </c>
      <c r="E2" t="s">
        <v>3337</v>
      </c>
      <c r="F2" t="s">
        <v>3338</v>
      </c>
      <c r="G2" t="s">
        <v>218</v>
      </c>
    </row>
    <row r="3" spans="1:7" ht="11.25" customHeight="1">
      <c r="A3" s="309" t="s">
        <v>3</v>
      </c>
      <c r="B3" t="s">
        <v>3339</v>
      </c>
      <c r="C3" t="s">
        <v>3340</v>
      </c>
      <c r="D3" t="s">
        <v>3339</v>
      </c>
      <c r="E3" t="s">
        <v>3340</v>
      </c>
      <c r="F3" t="s">
        <v>3341</v>
      </c>
      <c r="G3" t="s">
        <v>95</v>
      </c>
    </row>
    <row r="4" spans="1:7" ht="11.25" customHeight="1">
      <c r="A4" s="309" t="s">
        <v>3</v>
      </c>
      <c r="B4" t="s">
        <v>3339</v>
      </c>
      <c r="C4" t="s">
        <v>3340</v>
      </c>
      <c r="D4" t="s">
        <v>3342</v>
      </c>
      <c r="E4" t="s">
        <v>3343</v>
      </c>
      <c r="F4" t="s">
        <v>3344</v>
      </c>
      <c r="G4" t="s">
        <v>81</v>
      </c>
    </row>
    <row r="5" spans="1:7" ht="11.25" customHeight="1">
      <c r="A5" s="309" t="s">
        <v>3</v>
      </c>
      <c r="B5" t="s">
        <v>3339</v>
      </c>
      <c r="C5" t="s">
        <v>3340</v>
      </c>
      <c r="D5" t="s">
        <v>3345</v>
      </c>
      <c r="E5" t="s">
        <v>3346</v>
      </c>
      <c r="F5" t="s">
        <v>3347</v>
      </c>
      <c r="G5" t="s">
        <v>82</v>
      </c>
    </row>
    <row r="6" spans="1:7" ht="11.25" customHeight="1">
      <c r="A6" s="309" t="s">
        <v>3</v>
      </c>
      <c r="B6" t="s">
        <v>3339</v>
      </c>
      <c r="C6" t="s">
        <v>3340</v>
      </c>
      <c r="D6" t="s">
        <v>3348</v>
      </c>
      <c r="E6" t="s">
        <v>3349</v>
      </c>
      <c r="F6" t="s">
        <v>3347</v>
      </c>
      <c r="G6" t="s">
        <v>109</v>
      </c>
    </row>
    <row r="7" spans="1:7" ht="11.25" customHeight="1">
      <c r="A7" s="309" t="s">
        <v>3</v>
      </c>
      <c r="B7" t="s">
        <v>3339</v>
      </c>
      <c r="C7" t="s">
        <v>3340</v>
      </c>
      <c r="D7" t="s">
        <v>3350</v>
      </c>
      <c r="E7" t="s">
        <v>3351</v>
      </c>
      <c r="F7" t="s">
        <v>3347</v>
      </c>
      <c r="G7" t="s">
        <v>83</v>
      </c>
    </row>
    <row r="8" spans="1:7" ht="11.25" customHeight="1">
      <c r="A8" s="309" t="s">
        <v>3</v>
      </c>
      <c r="B8" t="s">
        <v>3352</v>
      </c>
      <c r="C8" t="s">
        <v>3353</v>
      </c>
      <c r="D8" t="s">
        <v>3352</v>
      </c>
      <c r="E8" t="s">
        <v>3353</v>
      </c>
      <c r="F8" t="s">
        <v>3338</v>
      </c>
      <c r="G8" t="s">
        <v>84</v>
      </c>
    </row>
    <row r="9" spans="1:7" ht="11.25" customHeight="1">
      <c r="A9" s="309" t="s">
        <v>3</v>
      </c>
      <c r="B9" t="s">
        <v>91</v>
      </c>
      <c r="C9" t="s">
        <v>3354</v>
      </c>
      <c r="D9" t="s">
        <v>98</v>
      </c>
      <c r="E9" t="s">
        <v>99</v>
      </c>
      <c r="F9" t="s">
        <v>3347</v>
      </c>
      <c r="G9" t="s">
        <v>90</v>
      </c>
    </row>
    <row r="10" spans="1:7" ht="11.25" customHeight="1">
      <c r="A10" s="309" t="s">
        <v>3</v>
      </c>
      <c r="B10" t="s">
        <v>91</v>
      </c>
      <c r="C10" t="s">
        <v>3354</v>
      </c>
      <c r="D10" t="s">
        <v>91</v>
      </c>
      <c r="E10" t="s">
        <v>3354</v>
      </c>
      <c r="F10" t="s">
        <v>3341</v>
      </c>
      <c r="G10" t="s">
        <v>128</v>
      </c>
    </row>
    <row r="11" spans="1:7" ht="11.25" customHeight="1">
      <c r="A11" s="309" t="s">
        <v>3</v>
      </c>
      <c r="B11" t="s">
        <v>91</v>
      </c>
      <c r="C11" t="s">
        <v>3354</v>
      </c>
      <c r="D11" t="s">
        <v>92</v>
      </c>
      <c r="E11" t="s">
        <v>93</v>
      </c>
      <c r="F11" t="s">
        <v>3344</v>
      </c>
      <c r="G11" t="s">
        <v>133</v>
      </c>
    </row>
    <row r="12" spans="1:7" ht="11.25" customHeight="1">
      <c r="A12" s="309" t="s">
        <v>3</v>
      </c>
      <c r="B12" t="s">
        <v>91</v>
      </c>
      <c r="C12" t="s">
        <v>3354</v>
      </c>
      <c r="D12" t="s">
        <v>3355</v>
      </c>
      <c r="E12" t="s">
        <v>3356</v>
      </c>
      <c r="F12" t="s">
        <v>3347</v>
      </c>
      <c r="G12" t="s">
        <v>138</v>
      </c>
    </row>
    <row r="13" spans="1:7" ht="11.25" customHeight="1">
      <c r="A13" s="309" t="s">
        <v>3</v>
      </c>
      <c r="B13" t="s">
        <v>91</v>
      </c>
      <c r="C13" t="s">
        <v>3354</v>
      </c>
      <c r="D13" t="s">
        <v>3357</v>
      </c>
      <c r="E13" t="s">
        <v>3358</v>
      </c>
      <c r="F13" t="s">
        <v>3347</v>
      </c>
      <c r="G13" t="s">
        <v>147</v>
      </c>
    </row>
    <row r="14" spans="1:7" ht="11.25" customHeight="1">
      <c r="A14" s="309" t="s">
        <v>3</v>
      </c>
      <c r="B14" t="s">
        <v>91</v>
      </c>
      <c r="C14" t="s">
        <v>3354</v>
      </c>
      <c r="D14" t="s">
        <v>3359</v>
      </c>
      <c r="E14" t="s">
        <v>3360</v>
      </c>
      <c r="F14" t="s">
        <v>3347</v>
      </c>
      <c r="G14" t="s">
        <v>101</v>
      </c>
    </row>
    <row r="15" spans="1:7" ht="11.25" customHeight="1">
      <c r="A15" s="309" t="s">
        <v>3</v>
      </c>
      <c r="B15" t="s">
        <v>91</v>
      </c>
      <c r="C15" t="s">
        <v>3354</v>
      </c>
      <c r="D15" t="s">
        <v>3361</v>
      </c>
      <c r="E15" t="s">
        <v>3362</v>
      </c>
      <c r="F15" t="s">
        <v>3347</v>
      </c>
      <c r="G15" t="s">
        <v>154</v>
      </c>
    </row>
    <row r="16" spans="1:7" ht="11.25" customHeight="1">
      <c r="A16" s="309" t="s">
        <v>3</v>
      </c>
      <c r="B16" t="s">
        <v>91</v>
      </c>
      <c r="C16" t="s">
        <v>3354</v>
      </c>
      <c r="D16" t="s">
        <v>102</v>
      </c>
      <c r="E16" t="s">
        <v>103</v>
      </c>
      <c r="F16" t="s">
        <v>3347</v>
      </c>
      <c r="G16" t="s">
        <v>160</v>
      </c>
    </row>
    <row r="17" spans="1:7" ht="11.25" customHeight="1">
      <c r="A17" s="309" t="s">
        <v>3</v>
      </c>
      <c r="B17" t="s">
        <v>91</v>
      </c>
      <c r="C17" t="s">
        <v>3354</v>
      </c>
      <c r="D17" t="s">
        <v>3363</v>
      </c>
      <c r="E17" t="s">
        <v>3364</v>
      </c>
      <c r="F17" t="s">
        <v>3347</v>
      </c>
      <c r="G17" t="s">
        <v>105</v>
      </c>
    </row>
    <row r="18" spans="1:7" ht="11.25" customHeight="1">
      <c r="A18" s="309" t="s">
        <v>3</v>
      </c>
      <c r="B18" t="s">
        <v>3365</v>
      </c>
      <c r="C18" t="s">
        <v>3366</v>
      </c>
      <c r="D18" t="s">
        <v>3365</v>
      </c>
      <c r="E18" t="s">
        <v>3366</v>
      </c>
      <c r="F18" t="s">
        <v>3338</v>
      </c>
      <c r="G18" t="s">
        <v>171</v>
      </c>
    </row>
    <row r="19" spans="1:7" ht="11.25" customHeight="1">
      <c r="A19" s="309" t="s">
        <v>3</v>
      </c>
      <c r="B19" t="s">
        <v>106</v>
      </c>
      <c r="C19" t="s">
        <v>3367</v>
      </c>
      <c r="D19" t="s">
        <v>106</v>
      </c>
      <c r="E19" t="s">
        <v>3367</v>
      </c>
      <c r="F19" t="s">
        <v>3341</v>
      </c>
      <c r="G19" t="s">
        <v>111</v>
      </c>
    </row>
    <row r="20" spans="1:7" ht="11.25" customHeight="1">
      <c r="A20" s="309" t="s">
        <v>3</v>
      </c>
      <c r="B20" t="s">
        <v>106</v>
      </c>
      <c r="C20" t="s">
        <v>3367</v>
      </c>
      <c r="D20" t="s">
        <v>107</v>
      </c>
      <c r="E20" t="s">
        <v>108</v>
      </c>
      <c r="F20" t="s">
        <v>3344</v>
      </c>
      <c r="G20" t="s">
        <v>182</v>
      </c>
    </row>
    <row r="21" spans="1:7" ht="11.25" customHeight="1">
      <c r="A21" s="309" t="s">
        <v>3</v>
      </c>
      <c r="B21" t="s">
        <v>106</v>
      </c>
      <c r="C21" t="s">
        <v>3367</v>
      </c>
      <c r="D21" t="s">
        <v>3368</v>
      </c>
      <c r="E21" t="s">
        <v>3369</v>
      </c>
      <c r="F21" t="s">
        <v>3347</v>
      </c>
      <c r="G21" t="s">
        <v>187</v>
      </c>
    </row>
    <row r="22" spans="1:7" ht="11.25" customHeight="1">
      <c r="A22" s="309" t="s">
        <v>3</v>
      </c>
      <c r="B22" t="s">
        <v>106</v>
      </c>
      <c r="C22" t="s">
        <v>3367</v>
      </c>
      <c r="D22" t="s">
        <v>112</v>
      </c>
      <c r="E22" t="s">
        <v>113</v>
      </c>
      <c r="F22" t="s">
        <v>3347</v>
      </c>
      <c r="G22" t="s">
        <v>192</v>
      </c>
    </row>
    <row r="23" spans="1:7" ht="11.25" customHeight="1">
      <c r="A23" s="309" t="s">
        <v>3</v>
      </c>
      <c r="B23" t="s">
        <v>106</v>
      </c>
      <c r="C23" t="s">
        <v>3367</v>
      </c>
      <c r="D23" t="s">
        <v>3370</v>
      </c>
      <c r="E23" t="s">
        <v>3371</v>
      </c>
      <c r="F23" t="s">
        <v>3347</v>
      </c>
      <c r="G23" t="s">
        <v>197</v>
      </c>
    </row>
    <row r="24" spans="1:7" ht="11.25" customHeight="1">
      <c r="A24" s="309" t="s">
        <v>3</v>
      </c>
      <c r="B24" t="s">
        <v>3372</v>
      </c>
      <c r="C24" t="s">
        <v>3373</v>
      </c>
      <c r="D24" t="s">
        <v>3372</v>
      </c>
      <c r="E24" t="s">
        <v>3373</v>
      </c>
      <c r="F24" t="s">
        <v>3338</v>
      </c>
      <c r="G24" t="s">
        <v>202</v>
      </c>
    </row>
    <row r="25" spans="1:7" ht="11.25" customHeight="1">
      <c r="A25" s="309" t="s">
        <v>3</v>
      </c>
      <c r="B25" t="s">
        <v>3374</v>
      </c>
      <c r="C25" t="s">
        <v>3375</v>
      </c>
      <c r="D25" t="s">
        <v>3376</v>
      </c>
      <c r="E25" t="s">
        <v>3377</v>
      </c>
      <c r="F25" t="s">
        <v>3347</v>
      </c>
      <c r="G25" t="s">
        <v>207</v>
      </c>
    </row>
    <row r="26" spans="1:7" ht="11.25" customHeight="1">
      <c r="A26" s="309" t="s">
        <v>3</v>
      </c>
      <c r="B26" t="s">
        <v>3374</v>
      </c>
      <c r="C26" t="s">
        <v>3375</v>
      </c>
      <c r="D26" t="s">
        <v>3374</v>
      </c>
      <c r="E26" t="s">
        <v>3375</v>
      </c>
      <c r="F26" t="s">
        <v>3341</v>
      </c>
      <c r="G26" t="s">
        <v>1796</v>
      </c>
    </row>
    <row r="27" spans="1:7" ht="11.25" customHeight="1">
      <c r="A27" s="309" t="s">
        <v>3</v>
      </c>
      <c r="B27" t="s">
        <v>3374</v>
      </c>
      <c r="C27" t="s">
        <v>3375</v>
      </c>
      <c r="D27" t="s">
        <v>3378</v>
      </c>
      <c r="E27" t="s">
        <v>3379</v>
      </c>
      <c r="F27" t="s">
        <v>3347</v>
      </c>
      <c r="G27" t="s">
        <v>1801</v>
      </c>
    </row>
    <row r="28" spans="1:7" ht="11.25" customHeight="1">
      <c r="A28" s="309" t="s">
        <v>3</v>
      </c>
      <c r="B28" t="s">
        <v>3374</v>
      </c>
      <c r="C28" t="s">
        <v>3375</v>
      </c>
      <c r="D28" t="s">
        <v>3380</v>
      </c>
      <c r="E28" t="s">
        <v>3381</v>
      </c>
      <c r="F28" t="s">
        <v>3347</v>
      </c>
      <c r="G28" t="s">
        <v>1809</v>
      </c>
    </row>
    <row r="29" spans="1:7" ht="11.25" customHeight="1">
      <c r="A29" s="309" t="s">
        <v>3</v>
      </c>
      <c r="B29" t="s">
        <v>3382</v>
      </c>
      <c r="C29" t="s">
        <v>3383</v>
      </c>
      <c r="D29" t="s">
        <v>3382</v>
      </c>
      <c r="E29" t="s">
        <v>3383</v>
      </c>
      <c r="F29" t="s">
        <v>3384</v>
      </c>
      <c r="G29" t="s">
        <v>1811</v>
      </c>
    </row>
    <row r="30" spans="1:7" ht="11.25" customHeight="1">
      <c r="A30" s="309" t="s">
        <v>3</v>
      </c>
      <c r="B30" t="s">
        <v>3385</v>
      </c>
      <c r="C30" t="s">
        <v>3386</v>
      </c>
      <c r="D30" t="s">
        <v>3385</v>
      </c>
      <c r="E30" t="s">
        <v>3386</v>
      </c>
      <c r="F30" t="s">
        <v>3384</v>
      </c>
      <c r="G30" t="s">
        <v>1814</v>
      </c>
    </row>
    <row r="31" spans="1:7" ht="11.25" customHeight="1">
      <c r="A31" s="309" t="s">
        <v>3</v>
      </c>
      <c r="B31" t="s">
        <v>3387</v>
      </c>
      <c r="C31" t="s">
        <v>3388</v>
      </c>
      <c r="D31" t="s">
        <v>3387</v>
      </c>
      <c r="E31" t="s">
        <v>3388</v>
      </c>
      <c r="F31" t="s">
        <v>3338</v>
      </c>
      <c r="G31" t="s">
        <v>1819</v>
      </c>
    </row>
    <row r="32" spans="1:7" ht="11.25" customHeight="1">
      <c r="A32" s="309" t="s">
        <v>3</v>
      </c>
      <c r="B32" t="s">
        <v>3389</v>
      </c>
      <c r="C32" t="s">
        <v>3390</v>
      </c>
      <c r="D32" t="s">
        <v>3391</v>
      </c>
      <c r="E32" t="s">
        <v>3392</v>
      </c>
      <c r="F32" t="s">
        <v>3347</v>
      </c>
      <c r="G32" t="s">
        <v>1821</v>
      </c>
    </row>
    <row r="33" spans="1:7" ht="11.25" customHeight="1">
      <c r="A33" s="309" t="s">
        <v>3</v>
      </c>
      <c r="B33" t="s">
        <v>3389</v>
      </c>
      <c r="C33" t="s">
        <v>3390</v>
      </c>
      <c r="D33" t="s">
        <v>3389</v>
      </c>
      <c r="E33" t="s">
        <v>3390</v>
      </c>
      <c r="F33" t="s">
        <v>3341</v>
      </c>
      <c r="G33" t="s">
        <v>1823</v>
      </c>
    </row>
    <row r="34" spans="1:7" ht="11.25" customHeight="1">
      <c r="A34" s="309" t="s">
        <v>3</v>
      </c>
      <c r="B34" t="s">
        <v>3389</v>
      </c>
      <c r="C34" t="s">
        <v>3390</v>
      </c>
      <c r="D34" t="s">
        <v>3393</v>
      </c>
      <c r="E34" t="s">
        <v>3394</v>
      </c>
      <c r="F34" t="s">
        <v>3344</v>
      </c>
      <c r="G34" t="s">
        <v>1825</v>
      </c>
    </row>
    <row r="35" spans="1:7" ht="11.25" customHeight="1">
      <c r="A35" s="309" t="s">
        <v>3</v>
      </c>
      <c r="B35" t="s">
        <v>3389</v>
      </c>
      <c r="C35" t="s">
        <v>3390</v>
      </c>
      <c r="D35" t="s">
        <v>3395</v>
      </c>
      <c r="E35" t="s">
        <v>3396</v>
      </c>
      <c r="F35" t="s">
        <v>3347</v>
      </c>
      <c r="G35" t="s">
        <v>1830</v>
      </c>
    </row>
    <row r="36" spans="1:7" ht="11.25" customHeight="1">
      <c r="A36" s="309" t="s">
        <v>3</v>
      </c>
      <c r="B36" t="s">
        <v>3389</v>
      </c>
      <c r="C36" t="s">
        <v>3390</v>
      </c>
      <c r="D36" t="s">
        <v>3397</v>
      </c>
      <c r="E36" t="s">
        <v>3398</v>
      </c>
      <c r="F36" t="s">
        <v>3399</v>
      </c>
      <c r="G36" t="s">
        <v>1835</v>
      </c>
    </row>
    <row r="37" spans="1:7" ht="11.25" customHeight="1">
      <c r="A37" s="309" t="s">
        <v>3</v>
      </c>
      <c r="B37" t="s">
        <v>3389</v>
      </c>
      <c r="C37" t="s">
        <v>3390</v>
      </c>
      <c r="D37" t="s">
        <v>3400</v>
      </c>
      <c r="E37" t="s">
        <v>3401</v>
      </c>
      <c r="F37" t="s">
        <v>3347</v>
      </c>
      <c r="G37" t="s">
        <v>1839</v>
      </c>
    </row>
    <row r="38" spans="1:7" ht="11.25" customHeight="1">
      <c r="A38" s="309" t="s">
        <v>3</v>
      </c>
      <c r="B38" t="s">
        <v>3389</v>
      </c>
      <c r="C38" t="s">
        <v>3390</v>
      </c>
      <c r="D38" t="s">
        <v>3402</v>
      </c>
      <c r="E38" t="s">
        <v>3403</v>
      </c>
      <c r="F38" t="s">
        <v>3347</v>
      </c>
      <c r="G38" t="s">
        <v>173</v>
      </c>
    </row>
    <row r="39" spans="1:7" ht="11.25" customHeight="1">
      <c r="A39" s="309" t="s">
        <v>3</v>
      </c>
      <c r="B39" t="s">
        <v>200</v>
      </c>
      <c r="C39" t="s">
        <v>201</v>
      </c>
      <c r="D39" t="s">
        <v>200</v>
      </c>
      <c r="E39" t="s">
        <v>201</v>
      </c>
      <c r="F39" t="s">
        <v>3338</v>
      </c>
      <c r="G39" t="s">
        <v>199</v>
      </c>
    </row>
    <row r="40" spans="1:7" ht="11.25" customHeight="1">
      <c r="A40" s="309" t="s">
        <v>3</v>
      </c>
      <c r="B40" t="s">
        <v>174</v>
      </c>
      <c r="C40" t="s">
        <v>3404</v>
      </c>
      <c r="D40" t="s">
        <v>3405</v>
      </c>
      <c r="E40" t="s">
        <v>3406</v>
      </c>
      <c r="F40" t="s">
        <v>3347</v>
      </c>
      <c r="G40" t="s">
        <v>1856</v>
      </c>
    </row>
    <row r="41" spans="1:7" ht="11.25" customHeight="1">
      <c r="A41" s="309" t="s">
        <v>3</v>
      </c>
      <c r="B41" t="s">
        <v>174</v>
      </c>
      <c r="C41" t="s">
        <v>3404</v>
      </c>
      <c r="D41" t="s">
        <v>3407</v>
      </c>
      <c r="E41" t="s">
        <v>3408</v>
      </c>
      <c r="F41" t="s">
        <v>3399</v>
      </c>
      <c r="G41" t="s">
        <v>1860</v>
      </c>
    </row>
    <row r="42" spans="1:7" ht="11.25" customHeight="1">
      <c r="A42" s="309" t="s">
        <v>3</v>
      </c>
      <c r="B42" t="s">
        <v>174</v>
      </c>
      <c r="C42" t="s">
        <v>3404</v>
      </c>
      <c r="D42" t="s">
        <v>174</v>
      </c>
      <c r="E42" t="s">
        <v>3404</v>
      </c>
      <c r="F42" t="s">
        <v>3341</v>
      </c>
      <c r="G42" t="s">
        <v>1863</v>
      </c>
    </row>
    <row r="43" spans="1:7" ht="11.25" customHeight="1">
      <c r="A43" s="309" t="s">
        <v>3</v>
      </c>
      <c r="B43" t="s">
        <v>174</v>
      </c>
      <c r="C43" t="s">
        <v>3404</v>
      </c>
      <c r="D43" t="s">
        <v>3409</v>
      </c>
      <c r="E43" t="s">
        <v>3410</v>
      </c>
      <c r="F43" t="s">
        <v>3344</v>
      </c>
      <c r="G43" t="s">
        <v>1870</v>
      </c>
    </row>
    <row r="44" spans="1:7" ht="11.25" customHeight="1">
      <c r="A44" s="309" t="s">
        <v>3</v>
      </c>
      <c r="B44" t="s">
        <v>174</v>
      </c>
      <c r="C44" t="s">
        <v>3404</v>
      </c>
      <c r="D44" t="s">
        <v>175</v>
      </c>
      <c r="E44" t="s">
        <v>176</v>
      </c>
      <c r="F44" t="s">
        <v>3347</v>
      </c>
      <c r="G44" t="s">
        <v>1879</v>
      </c>
    </row>
    <row r="45" spans="1:7" ht="11.25" customHeight="1">
      <c r="A45" s="309" t="s">
        <v>3</v>
      </c>
      <c r="B45" t="s">
        <v>174</v>
      </c>
      <c r="C45" t="s">
        <v>3404</v>
      </c>
      <c r="D45" t="s">
        <v>3411</v>
      </c>
      <c r="E45" t="s">
        <v>3412</v>
      </c>
      <c r="F45" t="s">
        <v>3347</v>
      </c>
      <c r="G45" t="s">
        <v>1884</v>
      </c>
    </row>
    <row r="46" spans="1:7" ht="11.25" customHeight="1">
      <c r="A46" s="309" t="s">
        <v>3</v>
      </c>
      <c r="B46" t="s">
        <v>3413</v>
      </c>
      <c r="C46" t="s">
        <v>3414</v>
      </c>
      <c r="D46" t="s">
        <v>3413</v>
      </c>
      <c r="E46" t="s">
        <v>3414</v>
      </c>
      <c r="F46" t="s">
        <v>3338</v>
      </c>
      <c r="G46" t="s">
        <v>1888</v>
      </c>
    </row>
    <row r="47" spans="1:7" ht="11.25" customHeight="1">
      <c r="A47" s="309" t="s">
        <v>3</v>
      </c>
      <c r="B47" t="s">
        <v>3415</v>
      </c>
      <c r="C47" t="s">
        <v>3416</v>
      </c>
      <c r="D47" t="s">
        <v>3417</v>
      </c>
      <c r="E47" t="s">
        <v>3418</v>
      </c>
      <c r="F47" t="s">
        <v>3347</v>
      </c>
      <c r="G47" t="s">
        <v>1894</v>
      </c>
    </row>
    <row r="48" spans="1:7" ht="11.25" customHeight="1">
      <c r="A48" s="309" t="s">
        <v>3</v>
      </c>
      <c r="B48" t="s">
        <v>3415</v>
      </c>
      <c r="C48" t="s">
        <v>3416</v>
      </c>
      <c r="D48" t="s">
        <v>3415</v>
      </c>
      <c r="E48" t="s">
        <v>3416</v>
      </c>
      <c r="F48" t="s">
        <v>3341</v>
      </c>
      <c r="G48" t="s">
        <v>150</v>
      </c>
    </row>
    <row r="49" spans="1:7" ht="11.25" customHeight="1">
      <c r="A49" s="309" t="s">
        <v>3</v>
      </c>
      <c r="B49" t="s">
        <v>3415</v>
      </c>
      <c r="C49" t="s">
        <v>3416</v>
      </c>
      <c r="D49" t="s">
        <v>3419</v>
      </c>
      <c r="E49" t="s">
        <v>3420</v>
      </c>
      <c r="F49" t="s">
        <v>3344</v>
      </c>
      <c r="G49" t="s">
        <v>1901</v>
      </c>
    </row>
    <row r="50" spans="1:7" ht="11.25" customHeight="1">
      <c r="A50" s="309" t="s">
        <v>3</v>
      </c>
      <c r="B50" t="s">
        <v>3415</v>
      </c>
      <c r="C50" t="s">
        <v>3416</v>
      </c>
      <c r="D50" t="s">
        <v>3421</v>
      </c>
      <c r="E50" t="s">
        <v>3422</v>
      </c>
      <c r="F50" t="s">
        <v>3399</v>
      </c>
      <c r="G50" t="s">
        <v>1905</v>
      </c>
    </row>
    <row r="51" spans="1:7" ht="11.25" customHeight="1">
      <c r="A51" s="309" t="s">
        <v>3</v>
      </c>
      <c r="B51" t="s">
        <v>3415</v>
      </c>
      <c r="C51" t="s">
        <v>3416</v>
      </c>
      <c r="D51" t="s">
        <v>3423</v>
      </c>
      <c r="E51" t="s">
        <v>3424</v>
      </c>
      <c r="F51" t="s">
        <v>3347</v>
      </c>
      <c r="G51" t="s">
        <v>1909</v>
      </c>
    </row>
    <row r="52" spans="1:7" ht="11.25" customHeight="1">
      <c r="A52" s="309" t="s">
        <v>3</v>
      </c>
      <c r="B52" t="s">
        <v>3415</v>
      </c>
      <c r="C52" t="s">
        <v>3416</v>
      </c>
      <c r="D52" t="s">
        <v>3425</v>
      </c>
      <c r="E52" t="s">
        <v>3426</v>
      </c>
      <c r="F52" t="s">
        <v>3347</v>
      </c>
      <c r="G52" t="s">
        <v>1913</v>
      </c>
    </row>
    <row r="53" spans="1:7" ht="11.25" customHeight="1">
      <c r="A53" s="309" t="s">
        <v>3</v>
      </c>
      <c r="B53" t="s">
        <v>3427</v>
      </c>
      <c r="C53" t="s">
        <v>3428</v>
      </c>
      <c r="D53" t="s">
        <v>3427</v>
      </c>
      <c r="E53" t="s">
        <v>3428</v>
      </c>
      <c r="F53" t="s">
        <v>3338</v>
      </c>
      <c r="G53" t="s">
        <v>1915</v>
      </c>
    </row>
    <row r="54" spans="1:7" ht="11.25" customHeight="1">
      <c r="A54" s="309" t="s">
        <v>3</v>
      </c>
      <c r="B54" t="s">
        <v>151</v>
      </c>
      <c r="C54" t="s">
        <v>3429</v>
      </c>
      <c r="D54" t="s">
        <v>3430</v>
      </c>
      <c r="E54" t="s">
        <v>3431</v>
      </c>
      <c r="F54" t="s">
        <v>3347</v>
      </c>
      <c r="G54" t="s">
        <v>1918</v>
      </c>
    </row>
    <row r="55" spans="1:7" ht="11.25" customHeight="1">
      <c r="A55" s="309" t="s">
        <v>3</v>
      </c>
      <c r="B55" t="s">
        <v>151</v>
      </c>
      <c r="C55" t="s">
        <v>3429</v>
      </c>
      <c r="D55" t="s">
        <v>151</v>
      </c>
      <c r="E55" t="s">
        <v>3429</v>
      </c>
      <c r="F55" t="s">
        <v>3341</v>
      </c>
      <c r="G55" t="s">
        <v>1923</v>
      </c>
    </row>
    <row r="56" spans="1:7" ht="11.25" customHeight="1">
      <c r="A56" s="309" t="s">
        <v>3</v>
      </c>
      <c r="B56" t="s">
        <v>151</v>
      </c>
      <c r="C56" t="s">
        <v>3429</v>
      </c>
      <c r="D56" t="s">
        <v>152</v>
      </c>
      <c r="E56" t="s">
        <v>153</v>
      </c>
      <c r="F56" t="s">
        <v>3344</v>
      </c>
      <c r="G56" t="s">
        <v>1926</v>
      </c>
    </row>
    <row r="57" spans="1:7" ht="11.25" customHeight="1">
      <c r="A57" s="309" t="s">
        <v>3</v>
      </c>
      <c r="B57" t="s">
        <v>151</v>
      </c>
      <c r="C57" t="s">
        <v>3429</v>
      </c>
      <c r="D57" t="s">
        <v>3432</v>
      </c>
      <c r="E57" t="s">
        <v>3433</v>
      </c>
      <c r="F57" t="s">
        <v>3347</v>
      </c>
      <c r="G57" t="s">
        <v>1929</v>
      </c>
    </row>
    <row r="58" spans="1:7" ht="11.25" customHeight="1">
      <c r="A58" s="309" t="s">
        <v>3</v>
      </c>
      <c r="B58" t="s">
        <v>151</v>
      </c>
      <c r="C58" t="s">
        <v>3429</v>
      </c>
      <c r="D58" t="s">
        <v>3434</v>
      </c>
      <c r="E58" t="s">
        <v>3435</v>
      </c>
      <c r="F58" t="s">
        <v>3347</v>
      </c>
      <c r="G58" t="s">
        <v>1932</v>
      </c>
    </row>
    <row r="59" spans="1:7" ht="11.25" customHeight="1">
      <c r="A59" s="309" t="s">
        <v>3</v>
      </c>
      <c r="B59" t="s">
        <v>3436</v>
      </c>
      <c r="C59" t="s">
        <v>3437</v>
      </c>
      <c r="D59" t="s">
        <v>3436</v>
      </c>
      <c r="E59" t="s">
        <v>3437</v>
      </c>
      <c r="F59" t="s">
        <v>3338</v>
      </c>
      <c r="G59" t="s">
        <v>1936</v>
      </c>
    </row>
    <row r="60" spans="1:7" ht="11.25" customHeight="1">
      <c r="A60" s="309" t="s">
        <v>3</v>
      </c>
      <c r="B60" t="s">
        <v>3438</v>
      </c>
      <c r="C60" t="s">
        <v>3439</v>
      </c>
      <c r="D60" t="s">
        <v>3440</v>
      </c>
      <c r="E60" t="s">
        <v>3441</v>
      </c>
      <c r="F60" t="s">
        <v>3347</v>
      </c>
      <c r="G60" t="s">
        <v>1939</v>
      </c>
    </row>
    <row r="61" spans="1:7" ht="11.25" customHeight="1">
      <c r="A61" s="309" t="s">
        <v>3</v>
      </c>
      <c r="B61" t="s">
        <v>3438</v>
      </c>
      <c r="C61" t="s">
        <v>3439</v>
      </c>
      <c r="D61" t="s">
        <v>3438</v>
      </c>
      <c r="E61" t="s">
        <v>3439</v>
      </c>
      <c r="F61" t="s">
        <v>3341</v>
      </c>
      <c r="G61" t="s">
        <v>3442</v>
      </c>
    </row>
    <row r="62" spans="1:7" ht="11.25" customHeight="1">
      <c r="A62" s="309" t="s">
        <v>3</v>
      </c>
      <c r="B62" t="s">
        <v>3438</v>
      </c>
      <c r="C62" t="s">
        <v>3439</v>
      </c>
      <c r="D62" t="s">
        <v>3443</v>
      </c>
      <c r="E62" t="s">
        <v>3444</v>
      </c>
      <c r="F62" t="s">
        <v>3347</v>
      </c>
      <c r="G62" t="s">
        <v>3445</v>
      </c>
    </row>
    <row r="63" spans="1:7" ht="11.25" customHeight="1">
      <c r="A63" s="309" t="s">
        <v>3</v>
      </c>
      <c r="B63" t="s">
        <v>3438</v>
      </c>
      <c r="C63" t="s">
        <v>3439</v>
      </c>
      <c r="D63" t="s">
        <v>3446</v>
      </c>
      <c r="E63" t="s">
        <v>3447</v>
      </c>
      <c r="F63" t="s">
        <v>3347</v>
      </c>
      <c r="G63" t="s">
        <v>3448</v>
      </c>
    </row>
    <row r="64" spans="1:7" ht="11.25" customHeight="1">
      <c r="A64" s="309" t="s">
        <v>3</v>
      </c>
      <c r="B64" t="s">
        <v>3438</v>
      </c>
      <c r="C64" t="s">
        <v>3439</v>
      </c>
      <c r="D64" t="s">
        <v>3449</v>
      </c>
      <c r="E64" t="s">
        <v>3450</v>
      </c>
      <c r="F64" t="s">
        <v>3347</v>
      </c>
      <c r="G64" t="s">
        <v>3451</v>
      </c>
    </row>
    <row r="65" spans="1:7" ht="11.25" customHeight="1">
      <c r="A65" s="309" t="s">
        <v>3</v>
      </c>
      <c r="B65" t="s">
        <v>3452</v>
      </c>
      <c r="C65" t="s">
        <v>3453</v>
      </c>
      <c r="D65" t="s">
        <v>3452</v>
      </c>
      <c r="E65" t="s">
        <v>3453</v>
      </c>
      <c r="F65" t="s">
        <v>3338</v>
      </c>
      <c r="G65" t="s">
        <v>3454</v>
      </c>
    </row>
    <row r="66" spans="1:7" ht="11.25" customHeight="1">
      <c r="A66" s="309" t="s">
        <v>3</v>
      </c>
      <c r="B66" t="s">
        <v>3455</v>
      </c>
      <c r="C66" t="s">
        <v>3456</v>
      </c>
      <c r="D66" t="s">
        <v>3457</v>
      </c>
      <c r="E66" t="s">
        <v>3458</v>
      </c>
      <c r="F66" t="s">
        <v>3347</v>
      </c>
      <c r="G66" t="s">
        <v>3459</v>
      </c>
    </row>
    <row r="67" spans="1:7" ht="11.25" customHeight="1">
      <c r="A67" s="309" t="s">
        <v>3</v>
      </c>
      <c r="B67" t="s">
        <v>3455</v>
      </c>
      <c r="C67" t="s">
        <v>3456</v>
      </c>
      <c r="D67" t="s">
        <v>3455</v>
      </c>
      <c r="E67" t="s">
        <v>3456</v>
      </c>
      <c r="F67" t="s">
        <v>3341</v>
      </c>
      <c r="G67" t="s">
        <v>2277</v>
      </c>
    </row>
    <row r="68" spans="1:7" ht="11.25" customHeight="1">
      <c r="A68" s="309" t="s">
        <v>3</v>
      </c>
      <c r="B68" t="s">
        <v>3455</v>
      </c>
      <c r="C68" t="s">
        <v>3456</v>
      </c>
      <c r="D68" t="s">
        <v>3460</v>
      </c>
      <c r="E68" t="s">
        <v>3461</v>
      </c>
      <c r="F68" t="s">
        <v>3399</v>
      </c>
      <c r="G68" t="s">
        <v>3462</v>
      </c>
    </row>
    <row r="69" spans="1:7" ht="11.25" customHeight="1">
      <c r="A69" s="309" t="s">
        <v>3</v>
      </c>
      <c r="B69" t="s">
        <v>3455</v>
      </c>
      <c r="C69" t="s">
        <v>3456</v>
      </c>
      <c r="D69" t="s">
        <v>3463</v>
      </c>
      <c r="E69" t="s">
        <v>3464</v>
      </c>
      <c r="F69" t="s">
        <v>3347</v>
      </c>
      <c r="G69" t="s">
        <v>2480</v>
      </c>
    </row>
    <row r="70" spans="1:7" ht="11.25" customHeight="1">
      <c r="A70" s="309" t="s">
        <v>3</v>
      </c>
      <c r="B70" t="s">
        <v>3455</v>
      </c>
      <c r="C70" t="s">
        <v>3456</v>
      </c>
      <c r="D70" t="s">
        <v>3465</v>
      </c>
      <c r="E70" t="s">
        <v>3466</v>
      </c>
      <c r="F70" t="s">
        <v>3347</v>
      </c>
      <c r="G70" t="s">
        <v>3467</v>
      </c>
    </row>
    <row r="71" spans="1:7" ht="11.25" customHeight="1">
      <c r="A71" s="309" t="s">
        <v>3</v>
      </c>
      <c r="B71" t="s">
        <v>205</v>
      </c>
      <c r="C71" t="s">
        <v>206</v>
      </c>
      <c r="D71" t="s">
        <v>205</v>
      </c>
      <c r="E71" t="s">
        <v>206</v>
      </c>
      <c r="F71" t="s">
        <v>3338</v>
      </c>
      <c r="G71" t="s">
        <v>204</v>
      </c>
    </row>
    <row r="72" spans="1:7" ht="11.25" customHeight="1">
      <c r="A72" s="309" t="s">
        <v>3</v>
      </c>
      <c r="B72" t="s">
        <v>3468</v>
      </c>
      <c r="C72" t="s">
        <v>3469</v>
      </c>
      <c r="D72" t="s">
        <v>3470</v>
      </c>
      <c r="E72" t="s">
        <v>3471</v>
      </c>
      <c r="F72" t="s">
        <v>3347</v>
      </c>
      <c r="G72" t="s">
        <v>3472</v>
      </c>
    </row>
    <row r="73" spans="1:7" ht="11.25" customHeight="1">
      <c r="A73" s="309" t="s">
        <v>3</v>
      </c>
      <c r="B73" t="s">
        <v>3468</v>
      </c>
      <c r="C73" t="s">
        <v>3469</v>
      </c>
      <c r="D73" t="s">
        <v>3468</v>
      </c>
      <c r="E73" t="s">
        <v>3469</v>
      </c>
      <c r="F73" t="s">
        <v>3341</v>
      </c>
      <c r="G73" t="s">
        <v>3473</v>
      </c>
    </row>
    <row r="74" spans="1:7" ht="11.25" customHeight="1">
      <c r="A74" s="309" t="s">
        <v>3</v>
      </c>
      <c r="B74" t="s">
        <v>3468</v>
      </c>
      <c r="C74" t="s">
        <v>3469</v>
      </c>
      <c r="D74" t="s">
        <v>3474</v>
      </c>
      <c r="E74" t="s">
        <v>3475</v>
      </c>
      <c r="F74" t="s">
        <v>3399</v>
      </c>
      <c r="G74" t="s">
        <v>3476</v>
      </c>
    </row>
    <row r="75" spans="1:7" ht="11.25" customHeight="1">
      <c r="A75" s="309" t="s">
        <v>3</v>
      </c>
      <c r="B75" t="s">
        <v>3468</v>
      </c>
      <c r="C75" t="s">
        <v>3469</v>
      </c>
      <c r="D75" t="s">
        <v>3477</v>
      </c>
      <c r="E75" t="s">
        <v>3478</v>
      </c>
      <c r="F75" t="s">
        <v>3347</v>
      </c>
      <c r="G75" t="s">
        <v>3479</v>
      </c>
    </row>
    <row r="76" spans="1:7" ht="11.25" customHeight="1">
      <c r="A76" s="309" t="s">
        <v>3</v>
      </c>
      <c r="B76" t="s">
        <v>3468</v>
      </c>
      <c r="C76" t="s">
        <v>3469</v>
      </c>
      <c r="D76" t="s">
        <v>3480</v>
      </c>
      <c r="E76" t="s">
        <v>3481</v>
      </c>
      <c r="F76" t="s">
        <v>3347</v>
      </c>
      <c r="G76" t="s">
        <v>3482</v>
      </c>
    </row>
    <row r="77" spans="1:7" ht="11.25" customHeight="1">
      <c r="A77" s="309" t="s">
        <v>3</v>
      </c>
      <c r="B77" t="s">
        <v>3483</v>
      </c>
      <c r="C77" t="s">
        <v>3484</v>
      </c>
      <c r="D77" t="s">
        <v>3483</v>
      </c>
      <c r="E77" t="s">
        <v>3484</v>
      </c>
      <c r="F77" t="s">
        <v>3338</v>
      </c>
      <c r="G77" t="s">
        <v>3485</v>
      </c>
    </row>
    <row r="78" spans="1:7" ht="11.25" customHeight="1">
      <c r="A78" s="309" t="s">
        <v>3</v>
      </c>
      <c r="B78" t="s">
        <v>3486</v>
      </c>
      <c r="C78" t="s">
        <v>3487</v>
      </c>
      <c r="D78" t="s">
        <v>3488</v>
      </c>
      <c r="E78" t="s">
        <v>3489</v>
      </c>
      <c r="F78" t="s">
        <v>3347</v>
      </c>
      <c r="G78" t="s">
        <v>3490</v>
      </c>
    </row>
    <row r="79" spans="1:7" ht="11.25" customHeight="1">
      <c r="A79" s="309" t="s">
        <v>3</v>
      </c>
      <c r="B79" t="s">
        <v>3486</v>
      </c>
      <c r="C79" t="s">
        <v>3487</v>
      </c>
      <c r="D79" t="s">
        <v>3491</v>
      </c>
      <c r="E79" t="s">
        <v>3492</v>
      </c>
      <c r="F79" t="s">
        <v>3347</v>
      </c>
      <c r="G79" t="s">
        <v>3493</v>
      </c>
    </row>
    <row r="80" spans="1:7" ht="11.25" customHeight="1">
      <c r="A80" s="309" t="s">
        <v>3</v>
      </c>
      <c r="B80" t="s">
        <v>3486</v>
      </c>
      <c r="C80" t="s">
        <v>3487</v>
      </c>
      <c r="D80" t="s">
        <v>3494</v>
      </c>
      <c r="E80" t="s">
        <v>3495</v>
      </c>
      <c r="F80" t="s">
        <v>3347</v>
      </c>
      <c r="G80" t="s">
        <v>3496</v>
      </c>
    </row>
    <row r="81" spans="1:7" ht="11.25" customHeight="1">
      <c r="A81" s="309" t="s">
        <v>3</v>
      </c>
      <c r="B81" t="s">
        <v>3486</v>
      </c>
      <c r="C81" t="s">
        <v>3487</v>
      </c>
      <c r="D81" t="s">
        <v>3497</v>
      </c>
      <c r="E81" t="s">
        <v>3498</v>
      </c>
      <c r="F81" t="s">
        <v>3399</v>
      </c>
      <c r="G81" t="s">
        <v>130</v>
      </c>
    </row>
    <row r="82" spans="1:7" ht="11.25" customHeight="1">
      <c r="A82" s="309" t="s">
        <v>3</v>
      </c>
      <c r="B82" t="s">
        <v>3486</v>
      </c>
      <c r="C82" t="s">
        <v>3487</v>
      </c>
      <c r="D82" t="s">
        <v>3486</v>
      </c>
      <c r="E82" t="s">
        <v>3487</v>
      </c>
      <c r="F82" t="s">
        <v>3341</v>
      </c>
      <c r="G82" t="s">
        <v>3499</v>
      </c>
    </row>
    <row r="83" spans="1:7" ht="11.25" customHeight="1">
      <c r="A83" s="309" t="s">
        <v>3</v>
      </c>
      <c r="B83" t="s">
        <v>3486</v>
      </c>
      <c r="C83" t="s">
        <v>3487</v>
      </c>
      <c r="D83" t="s">
        <v>3500</v>
      </c>
      <c r="E83" t="s">
        <v>3501</v>
      </c>
      <c r="F83" t="s">
        <v>3347</v>
      </c>
      <c r="G83" t="s">
        <v>124</v>
      </c>
    </row>
    <row r="84" spans="1:7" ht="11.25" customHeight="1">
      <c r="A84" s="309" t="s">
        <v>3</v>
      </c>
      <c r="B84" t="s">
        <v>3486</v>
      </c>
      <c r="C84" t="s">
        <v>3487</v>
      </c>
      <c r="D84" t="s">
        <v>3502</v>
      </c>
      <c r="E84" t="s">
        <v>3503</v>
      </c>
      <c r="F84" t="s">
        <v>3347</v>
      </c>
      <c r="G84" t="s">
        <v>135</v>
      </c>
    </row>
    <row r="85" spans="1:7" ht="11.25" customHeight="1">
      <c r="A85" s="309" t="s">
        <v>3</v>
      </c>
      <c r="B85" t="s">
        <v>3486</v>
      </c>
      <c r="C85" t="s">
        <v>3487</v>
      </c>
      <c r="D85" t="s">
        <v>3504</v>
      </c>
      <c r="E85" t="s">
        <v>3505</v>
      </c>
      <c r="F85" t="s">
        <v>3347</v>
      </c>
      <c r="G85" t="s">
        <v>3506</v>
      </c>
    </row>
    <row r="86" spans="1:7" ht="11.25" customHeight="1">
      <c r="A86" s="309" t="s">
        <v>3</v>
      </c>
      <c r="B86" t="s">
        <v>3507</v>
      </c>
      <c r="C86" t="s">
        <v>3508</v>
      </c>
      <c r="D86" t="s">
        <v>3507</v>
      </c>
      <c r="E86" t="s">
        <v>3508</v>
      </c>
      <c r="F86" t="s">
        <v>3338</v>
      </c>
      <c r="G86" t="s">
        <v>3509</v>
      </c>
    </row>
    <row r="87" spans="1:7" ht="11.25" customHeight="1">
      <c r="A87" s="309" t="s">
        <v>3</v>
      </c>
      <c r="B87" t="s">
        <v>3510</v>
      </c>
      <c r="C87" t="s">
        <v>3511</v>
      </c>
      <c r="D87" t="s">
        <v>3512</v>
      </c>
      <c r="E87" t="s">
        <v>3513</v>
      </c>
      <c r="F87" t="s">
        <v>3347</v>
      </c>
      <c r="G87" t="s">
        <v>3514</v>
      </c>
    </row>
    <row r="88" spans="1:7" ht="11.25" customHeight="1">
      <c r="A88" s="309" t="s">
        <v>3</v>
      </c>
      <c r="B88" t="s">
        <v>3510</v>
      </c>
      <c r="C88" t="s">
        <v>3511</v>
      </c>
      <c r="D88" t="s">
        <v>3515</v>
      </c>
      <c r="E88" t="s">
        <v>3516</v>
      </c>
      <c r="F88" t="s">
        <v>3347</v>
      </c>
      <c r="G88" t="s">
        <v>3517</v>
      </c>
    </row>
    <row r="89" spans="1:7" ht="11.25" customHeight="1">
      <c r="A89" s="309" t="s">
        <v>3</v>
      </c>
      <c r="B89" t="s">
        <v>3510</v>
      </c>
      <c r="C89" t="s">
        <v>3511</v>
      </c>
      <c r="D89" t="s">
        <v>3518</v>
      </c>
      <c r="E89" t="s">
        <v>3519</v>
      </c>
      <c r="F89" t="s">
        <v>3347</v>
      </c>
      <c r="G89" t="s">
        <v>3520</v>
      </c>
    </row>
    <row r="90" spans="1:7" ht="11.25" customHeight="1">
      <c r="A90" s="309" t="s">
        <v>3</v>
      </c>
      <c r="B90" t="s">
        <v>3510</v>
      </c>
      <c r="C90" t="s">
        <v>3511</v>
      </c>
      <c r="D90" t="s">
        <v>3510</v>
      </c>
      <c r="E90" t="s">
        <v>3511</v>
      </c>
      <c r="F90" t="s">
        <v>3341</v>
      </c>
      <c r="G90" t="s">
        <v>3521</v>
      </c>
    </row>
    <row r="91" spans="1:7" ht="11.25" customHeight="1">
      <c r="A91" s="309" t="s">
        <v>3</v>
      </c>
      <c r="B91" t="s">
        <v>3510</v>
      </c>
      <c r="C91" t="s">
        <v>3511</v>
      </c>
      <c r="D91" t="s">
        <v>3522</v>
      </c>
      <c r="E91" t="s">
        <v>3523</v>
      </c>
      <c r="F91" t="s">
        <v>3347</v>
      </c>
      <c r="G91" t="s">
        <v>3524</v>
      </c>
    </row>
    <row r="92" spans="1:7" ht="11.25" customHeight="1">
      <c r="A92" s="309" t="s">
        <v>3</v>
      </c>
      <c r="B92" t="s">
        <v>3510</v>
      </c>
      <c r="C92" t="s">
        <v>3511</v>
      </c>
      <c r="D92" t="s">
        <v>3525</v>
      </c>
      <c r="E92" t="s">
        <v>3526</v>
      </c>
      <c r="F92" t="s">
        <v>3347</v>
      </c>
      <c r="G92" t="s">
        <v>120</v>
      </c>
    </row>
    <row r="93" spans="1:7" ht="11.25" customHeight="1">
      <c r="A93" s="309" t="s">
        <v>3</v>
      </c>
      <c r="B93" t="s">
        <v>3527</v>
      </c>
      <c r="C93" t="s">
        <v>3528</v>
      </c>
      <c r="D93" t="s">
        <v>3527</v>
      </c>
      <c r="E93" t="s">
        <v>3528</v>
      </c>
      <c r="F93" t="s">
        <v>3338</v>
      </c>
      <c r="G93" t="s">
        <v>3529</v>
      </c>
    </row>
    <row r="94" spans="1:7" ht="11.25" customHeight="1">
      <c r="A94" s="309" t="s">
        <v>3</v>
      </c>
      <c r="B94" t="s">
        <v>125</v>
      </c>
      <c r="C94" t="s">
        <v>3530</v>
      </c>
      <c r="D94" t="s">
        <v>3531</v>
      </c>
      <c r="E94" t="s">
        <v>3532</v>
      </c>
      <c r="F94" t="s">
        <v>3347</v>
      </c>
      <c r="G94" t="s">
        <v>3533</v>
      </c>
    </row>
    <row r="95" spans="1:7" ht="11.25" customHeight="1">
      <c r="A95" s="309" t="s">
        <v>3</v>
      </c>
      <c r="B95" t="s">
        <v>125</v>
      </c>
      <c r="C95" t="s">
        <v>3530</v>
      </c>
      <c r="D95" t="s">
        <v>131</v>
      </c>
      <c r="E95" t="s">
        <v>132</v>
      </c>
      <c r="F95" t="s">
        <v>3347</v>
      </c>
      <c r="G95" t="s">
        <v>3534</v>
      </c>
    </row>
    <row r="96" spans="1:7" ht="11.25" customHeight="1">
      <c r="A96" s="309" t="s">
        <v>3</v>
      </c>
      <c r="B96" t="s">
        <v>125</v>
      </c>
      <c r="C96" t="s">
        <v>3530</v>
      </c>
      <c r="D96" t="s">
        <v>125</v>
      </c>
      <c r="E96" t="s">
        <v>3530</v>
      </c>
      <c r="F96" t="s">
        <v>3341</v>
      </c>
      <c r="G96" t="s">
        <v>115</v>
      </c>
    </row>
    <row r="97" spans="1:7" ht="11.25" customHeight="1">
      <c r="A97" s="309" t="s">
        <v>3</v>
      </c>
      <c r="B97" t="s">
        <v>125</v>
      </c>
      <c r="C97" t="s">
        <v>3530</v>
      </c>
      <c r="D97" t="s">
        <v>126</v>
      </c>
      <c r="E97" t="s">
        <v>127</v>
      </c>
      <c r="F97" t="s">
        <v>3344</v>
      </c>
      <c r="G97" t="s">
        <v>3535</v>
      </c>
    </row>
    <row r="98" spans="1:7" ht="11.25" customHeight="1">
      <c r="A98" s="309" t="s">
        <v>3</v>
      </c>
      <c r="B98" t="s">
        <v>125</v>
      </c>
      <c r="C98" t="s">
        <v>3530</v>
      </c>
      <c r="D98" t="s">
        <v>136</v>
      </c>
      <c r="E98" t="s">
        <v>137</v>
      </c>
      <c r="F98" t="s">
        <v>3347</v>
      </c>
      <c r="G98" t="s">
        <v>3536</v>
      </c>
    </row>
    <row r="99" spans="1:7" ht="11.25" customHeight="1">
      <c r="A99" s="309" t="s">
        <v>3</v>
      </c>
      <c r="B99" t="s">
        <v>125</v>
      </c>
      <c r="C99" t="s">
        <v>3530</v>
      </c>
      <c r="D99" t="s">
        <v>3537</v>
      </c>
      <c r="E99" t="s">
        <v>3538</v>
      </c>
      <c r="F99" t="s">
        <v>3347</v>
      </c>
      <c r="G99" t="s">
        <v>3539</v>
      </c>
    </row>
    <row r="100" spans="1:7" ht="11.25" customHeight="1">
      <c r="A100" s="309" t="s">
        <v>3</v>
      </c>
      <c r="B100" t="s">
        <v>125</v>
      </c>
      <c r="C100" t="s">
        <v>3530</v>
      </c>
      <c r="D100" t="s">
        <v>3540</v>
      </c>
      <c r="E100" t="s">
        <v>3541</v>
      </c>
      <c r="F100" t="s">
        <v>3347</v>
      </c>
      <c r="G100" t="s">
        <v>3542</v>
      </c>
    </row>
    <row r="101" spans="1:7" ht="11.25" customHeight="1">
      <c r="A101" s="309" t="s">
        <v>3</v>
      </c>
      <c r="B101" t="s">
        <v>3543</v>
      </c>
      <c r="C101" t="s">
        <v>3544</v>
      </c>
      <c r="D101" t="s">
        <v>3543</v>
      </c>
      <c r="E101" t="s">
        <v>3544</v>
      </c>
      <c r="F101" t="s">
        <v>3338</v>
      </c>
      <c r="G101" t="s">
        <v>3545</v>
      </c>
    </row>
    <row r="102" spans="1:7" ht="11.25" customHeight="1">
      <c r="A102" s="309" t="s">
        <v>3</v>
      </c>
      <c r="B102" t="s">
        <v>116</v>
      </c>
      <c r="C102" t="s">
        <v>3546</v>
      </c>
      <c r="D102" t="s">
        <v>3547</v>
      </c>
      <c r="E102" t="s">
        <v>3548</v>
      </c>
      <c r="F102" t="s">
        <v>3347</v>
      </c>
      <c r="G102" t="s">
        <v>3549</v>
      </c>
    </row>
    <row r="103" spans="1:7" ht="11.25" customHeight="1">
      <c r="A103" s="309" t="s">
        <v>3</v>
      </c>
      <c r="B103" t="s">
        <v>116</v>
      </c>
      <c r="C103" t="s">
        <v>3546</v>
      </c>
      <c r="D103" t="s">
        <v>3550</v>
      </c>
      <c r="E103" t="s">
        <v>3551</v>
      </c>
      <c r="F103" t="s">
        <v>3347</v>
      </c>
      <c r="G103" t="s">
        <v>3552</v>
      </c>
    </row>
    <row r="104" spans="1:7" ht="11.25" customHeight="1">
      <c r="A104" s="309" t="s">
        <v>3</v>
      </c>
      <c r="B104" t="s">
        <v>116</v>
      </c>
      <c r="C104" t="s">
        <v>3546</v>
      </c>
      <c r="D104" t="s">
        <v>3553</v>
      </c>
      <c r="E104" t="s">
        <v>3554</v>
      </c>
      <c r="F104" t="s">
        <v>3347</v>
      </c>
      <c r="G104" t="s">
        <v>3555</v>
      </c>
    </row>
    <row r="105" spans="1:7" ht="11.25" customHeight="1">
      <c r="A105" s="309" t="s">
        <v>3</v>
      </c>
      <c r="B105" t="s">
        <v>116</v>
      </c>
      <c r="C105" t="s">
        <v>3546</v>
      </c>
      <c r="D105" t="s">
        <v>3556</v>
      </c>
      <c r="E105" t="s">
        <v>3557</v>
      </c>
      <c r="F105" t="s">
        <v>3347</v>
      </c>
      <c r="G105" t="s">
        <v>3558</v>
      </c>
    </row>
    <row r="106" spans="1:7" ht="11.25" customHeight="1">
      <c r="A106" s="309" t="s">
        <v>3</v>
      </c>
      <c r="B106" t="s">
        <v>116</v>
      </c>
      <c r="C106" t="s">
        <v>3546</v>
      </c>
      <c r="D106" t="s">
        <v>3559</v>
      </c>
      <c r="E106" t="s">
        <v>3560</v>
      </c>
      <c r="F106" t="s">
        <v>3347</v>
      </c>
      <c r="G106" t="s">
        <v>144</v>
      </c>
    </row>
    <row r="107" spans="1:7" ht="11.25" customHeight="1">
      <c r="A107" s="309" t="s">
        <v>3</v>
      </c>
      <c r="B107" t="s">
        <v>116</v>
      </c>
      <c r="C107" t="s">
        <v>3546</v>
      </c>
      <c r="D107" t="s">
        <v>121</v>
      </c>
      <c r="E107" t="s">
        <v>122</v>
      </c>
      <c r="F107" t="s">
        <v>3347</v>
      </c>
      <c r="G107" t="s">
        <v>3561</v>
      </c>
    </row>
    <row r="108" spans="1:7" ht="11.25" customHeight="1">
      <c r="A108" s="309" t="s">
        <v>3</v>
      </c>
      <c r="B108" t="s">
        <v>116</v>
      </c>
      <c r="C108" t="s">
        <v>3546</v>
      </c>
      <c r="D108" t="s">
        <v>3562</v>
      </c>
      <c r="E108" t="s">
        <v>3563</v>
      </c>
      <c r="F108" t="s">
        <v>3347</v>
      </c>
      <c r="G108" t="s">
        <v>3564</v>
      </c>
    </row>
    <row r="109" spans="1:7" ht="11.25" customHeight="1">
      <c r="A109" s="309" t="s">
        <v>3</v>
      </c>
      <c r="B109" t="s">
        <v>116</v>
      </c>
      <c r="C109" t="s">
        <v>3546</v>
      </c>
      <c r="D109" t="s">
        <v>3565</v>
      </c>
      <c r="E109" t="s">
        <v>3566</v>
      </c>
      <c r="F109" t="s">
        <v>3347</v>
      </c>
      <c r="G109" t="s">
        <v>3567</v>
      </c>
    </row>
    <row r="110" spans="1:7" ht="11.25" customHeight="1">
      <c r="A110" s="309" t="s">
        <v>3</v>
      </c>
      <c r="B110" t="s">
        <v>116</v>
      </c>
      <c r="C110" t="s">
        <v>3546</v>
      </c>
      <c r="D110" t="s">
        <v>116</v>
      </c>
      <c r="E110" t="s">
        <v>3546</v>
      </c>
      <c r="F110" t="s">
        <v>3341</v>
      </c>
      <c r="G110" t="s">
        <v>3568</v>
      </c>
    </row>
    <row r="111" spans="1:7" ht="11.25" customHeight="1">
      <c r="A111" s="309" t="s">
        <v>3</v>
      </c>
      <c r="B111" t="s">
        <v>116</v>
      </c>
      <c r="C111" t="s">
        <v>3546</v>
      </c>
      <c r="D111" t="s">
        <v>117</v>
      </c>
      <c r="E111" t="s">
        <v>118</v>
      </c>
      <c r="F111" t="s">
        <v>3344</v>
      </c>
      <c r="G111" t="s">
        <v>3569</v>
      </c>
    </row>
    <row r="112" spans="1:7" ht="11.25" customHeight="1">
      <c r="A112" s="309" t="s">
        <v>3</v>
      </c>
      <c r="B112" t="s">
        <v>116</v>
      </c>
      <c r="C112" t="s">
        <v>3546</v>
      </c>
      <c r="D112" t="s">
        <v>3570</v>
      </c>
      <c r="E112" t="s">
        <v>3571</v>
      </c>
      <c r="F112" t="s">
        <v>3347</v>
      </c>
      <c r="G112" t="s">
        <v>3572</v>
      </c>
    </row>
    <row r="113" spans="1:7" ht="11.25" customHeight="1">
      <c r="A113" s="309" t="s">
        <v>3</v>
      </c>
      <c r="B113" t="s">
        <v>3573</v>
      </c>
      <c r="C113" t="s">
        <v>3574</v>
      </c>
      <c r="D113" t="s">
        <v>3573</v>
      </c>
      <c r="E113" t="s">
        <v>3574</v>
      </c>
      <c r="F113" t="s">
        <v>3338</v>
      </c>
      <c r="G113" t="s">
        <v>3575</v>
      </c>
    </row>
    <row r="114" spans="1:7" ht="11.25" customHeight="1">
      <c r="A114" s="309" t="s">
        <v>3</v>
      </c>
      <c r="B114" t="s">
        <v>3576</v>
      </c>
      <c r="C114" t="s">
        <v>3577</v>
      </c>
      <c r="D114" t="s">
        <v>3578</v>
      </c>
      <c r="E114" t="s">
        <v>3579</v>
      </c>
      <c r="F114" t="s">
        <v>3399</v>
      </c>
      <c r="G114" t="s">
        <v>3580</v>
      </c>
    </row>
    <row r="115" spans="1:7" ht="11.25" customHeight="1">
      <c r="A115" s="309" t="s">
        <v>3</v>
      </c>
      <c r="B115" t="s">
        <v>3576</v>
      </c>
      <c r="C115" t="s">
        <v>3577</v>
      </c>
      <c r="D115" t="s">
        <v>3581</v>
      </c>
      <c r="E115" t="s">
        <v>3582</v>
      </c>
      <c r="F115" t="s">
        <v>3347</v>
      </c>
      <c r="G115" t="s">
        <v>3583</v>
      </c>
    </row>
    <row r="116" spans="1:7" ht="11.25" customHeight="1">
      <c r="A116" s="309" t="s">
        <v>3</v>
      </c>
      <c r="B116" t="s">
        <v>3576</v>
      </c>
      <c r="C116" t="s">
        <v>3577</v>
      </c>
      <c r="D116" t="s">
        <v>3584</v>
      </c>
      <c r="E116" t="s">
        <v>3585</v>
      </c>
      <c r="F116" t="s">
        <v>3347</v>
      </c>
      <c r="G116" t="s">
        <v>140</v>
      </c>
    </row>
    <row r="117" spans="1:7" ht="11.25" customHeight="1">
      <c r="A117" s="309" t="s">
        <v>3</v>
      </c>
      <c r="B117" t="s">
        <v>3576</v>
      </c>
      <c r="C117" t="s">
        <v>3577</v>
      </c>
      <c r="D117" t="s">
        <v>3586</v>
      </c>
      <c r="E117" t="s">
        <v>3587</v>
      </c>
      <c r="F117" t="s">
        <v>3347</v>
      </c>
      <c r="G117" t="s">
        <v>3588</v>
      </c>
    </row>
    <row r="118" spans="1:7" ht="11.25" customHeight="1">
      <c r="A118" s="309" t="s">
        <v>3</v>
      </c>
      <c r="B118" t="s">
        <v>3576</v>
      </c>
      <c r="C118" t="s">
        <v>3577</v>
      </c>
      <c r="D118" t="s">
        <v>3576</v>
      </c>
      <c r="E118" t="s">
        <v>3577</v>
      </c>
      <c r="F118" t="s">
        <v>3341</v>
      </c>
      <c r="G118" t="s">
        <v>3589</v>
      </c>
    </row>
    <row r="119" spans="1:7" ht="11.25" customHeight="1">
      <c r="A119" s="309" t="s">
        <v>3</v>
      </c>
      <c r="B119" t="s">
        <v>3576</v>
      </c>
      <c r="C119" t="s">
        <v>3577</v>
      </c>
      <c r="D119" t="s">
        <v>3590</v>
      </c>
      <c r="E119" t="s">
        <v>3591</v>
      </c>
      <c r="F119" t="s">
        <v>3344</v>
      </c>
      <c r="G119" t="s">
        <v>3592</v>
      </c>
    </row>
    <row r="120" spans="1:7" ht="11.25" customHeight="1">
      <c r="A120" s="309" t="s">
        <v>3</v>
      </c>
      <c r="B120" t="s">
        <v>3576</v>
      </c>
      <c r="C120" t="s">
        <v>3577</v>
      </c>
      <c r="D120" t="s">
        <v>3593</v>
      </c>
      <c r="E120" t="s">
        <v>3594</v>
      </c>
      <c r="F120" t="s">
        <v>3347</v>
      </c>
      <c r="G120" t="s">
        <v>3595</v>
      </c>
    </row>
    <row r="121" spans="1:7" ht="11.25" customHeight="1">
      <c r="A121" s="309" t="s">
        <v>3</v>
      </c>
      <c r="B121" t="s">
        <v>3596</v>
      </c>
      <c r="C121" t="s">
        <v>3597</v>
      </c>
      <c r="D121" t="s">
        <v>3596</v>
      </c>
      <c r="E121" t="s">
        <v>3597</v>
      </c>
      <c r="F121" t="s">
        <v>3338</v>
      </c>
      <c r="G121" t="s">
        <v>3598</v>
      </c>
    </row>
    <row r="122" spans="1:7" ht="11.25" customHeight="1">
      <c r="A122" s="309" t="s">
        <v>3</v>
      </c>
      <c r="B122" t="s">
        <v>141</v>
      </c>
      <c r="C122" t="s">
        <v>3599</v>
      </c>
      <c r="D122" t="s">
        <v>3600</v>
      </c>
      <c r="E122" t="s">
        <v>3601</v>
      </c>
      <c r="F122" t="s">
        <v>3347</v>
      </c>
      <c r="G122" t="s">
        <v>3602</v>
      </c>
    </row>
    <row r="123" spans="1:7" ht="11.25" customHeight="1">
      <c r="A123" s="309" t="s">
        <v>3</v>
      </c>
      <c r="B123" t="s">
        <v>141</v>
      </c>
      <c r="C123" t="s">
        <v>3599</v>
      </c>
      <c r="D123" t="s">
        <v>145</v>
      </c>
      <c r="E123" t="s">
        <v>146</v>
      </c>
      <c r="F123" t="s">
        <v>3347</v>
      </c>
      <c r="G123" t="s">
        <v>3603</v>
      </c>
    </row>
    <row r="124" spans="1:7" ht="11.25" customHeight="1">
      <c r="A124" s="309" t="s">
        <v>3</v>
      </c>
      <c r="B124" t="s">
        <v>141</v>
      </c>
      <c r="C124" t="s">
        <v>3599</v>
      </c>
      <c r="D124" t="s">
        <v>3604</v>
      </c>
      <c r="E124" t="s">
        <v>3605</v>
      </c>
      <c r="F124" t="s">
        <v>3347</v>
      </c>
      <c r="G124" t="s">
        <v>3606</v>
      </c>
    </row>
    <row r="125" spans="1:7" ht="11.25" customHeight="1">
      <c r="A125" s="309" t="s">
        <v>3</v>
      </c>
      <c r="B125" t="s">
        <v>141</v>
      </c>
      <c r="C125" t="s">
        <v>3599</v>
      </c>
      <c r="D125" t="s">
        <v>3607</v>
      </c>
      <c r="E125" t="s">
        <v>3608</v>
      </c>
      <c r="F125" t="s">
        <v>3347</v>
      </c>
      <c r="G125" t="s">
        <v>178</v>
      </c>
    </row>
    <row r="126" spans="1:7" ht="11.25" customHeight="1">
      <c r="A126" s="309" t="s">
        <v>3</v>
      </c>
      <c r="B126" t="s">
        <v>141</v>
      </c>
      <c r="C126" t="s">
        <v>3599</v>
      </c>
      <c r="D126" t="s">
        <v>3609</v>
      </c>
      <c r="E126" t="s">
        <v>3610</v>
      </c>
      <c r="F126" t="s">
        <v>3347</v>
      </c>
      <c r="G126" t="s">
        <v>3611</v>
      </c>
    </row>
    <row r="127" spans="1:7" ht="11.25" customHeight="1">
      <c r="A127" s="309" t="s">
        <v>3</v>
      </c>
      <c r="B127" t="s">
        <v>141</v>
      </c>
      <c r="C127" t="s">
        <v>3599</v>
      </c>
      <c r="D127" t="s">
        <v>3612</v>
      </c>
      <c r="E127" t="s">
        <v>3613</v>
      </c>
      <c r="F127" t="s">
        <v>3347</v>
      </c>
      <c r="G127" t="s">
        <v>194</v>
      </c>
    </row>
    <row r="128" spans="1:7" ht="11.25" customHeight="1">
      <c r="A128" s="309" t="s">
        <v>3</v>
      </c>
      <c r="B128" t="s">
        <v>141</v>
      </c>
      <c r="C128" t="s">
        <v>3599</v>
      </c>
      <c r="D128" t="s">
        <v>3614</v>
      </c>
      <c r="E128" t="s">
        <v>3615</v>
      </c>
      <c r="F128" t="s">
        <v>3347</v>
      </c>
      <c r="G128" t="s">
        <v>3616</v>
      </c>
    </row>
    <row r="129" spans="1:7" ht="11.25" customHeight="1">
      <c r="A129" s="309" t="s">
        <v>3</v>
      </c>
      <c r="B129" t="s">
        <v>141</v>
      </c>
      <c r="C129" t="s">
        <v>3599</v>
      </c>
      <c r="D129" t="s">
        <v>3617</v>
      </c>
      <c r="E129" t="s">
        <v>3618</v>
      </c>
      <c r="F129" t="s">
        <v>3347</v>
      </c>
      <c r="G129" t="s">
        <v>3619</v>
      </c>
    </row>
    <row r="130" spans="1:7" ht="11.25" customHeight="1">
      <c r="A130" s="309" t="s">
        <v>3</v>
      </c>
      <c r="B130" t="s">
        <v>141</v>
      </c>
      <c r="C130" t="s">
        <v>3599</v>
      </c>
      <c r="D130" t="s">
        <v>3620</v>
      </c>
      <c r="E130" t="s">
        <v>3621</v>
      </c>
      <c r="F130" t="s">
        <v>3347</v>
      </c>
      <c r="G130" t="s">
        <v>3622</v>
      </c>
    </row>
    <row r="131" spans="1:7" ht="11.25" customHeight="1">
      <c r="A131" s="309" t="s">
        <v>3</v>
      </c>
      <c r="B131" t="s">
        <v>141</v>
      </c>
      <c r="C131" t="s">
        <v>3599</v>
      </c>
      <c r="D131" t="s">
        <v>3623</v>
      </c>
      <c r="E131" t="s">
        <v>3624</v>
      </c>
      <c r="F131" t="s">
        <v>3347</v>
      </c>
      <c r="G131" t="s">
        <v>3625</v>
      </c>
    </row>
    <row r="132" spans="1:7" ht="11.25" customHeight="1">
      <c r="A132" s="309" t="s">
        <v>3</v>
      </c>
      <c r="B132" t="s">
        <v>141</v>
      </c>
      <c r="C132" t="s">
        <v>3599</v>
      </c>
      <c r="D132" t="s">
        <v>3626</v>
      </c>
      <c r="E132" t="s">
        <v>3627</v>
      </c>
      <c r="F132" t="s">
        <v>3347</v>
      </c>
      <c r="G132" t="s">
        <v>3628</v>
      </c>
    </row>
    <row r="133" spans="1:7" ht="11.25" customHeight="1">
      <c r="A133" s="309" t="s">
        <v>3</v>
      </c>
      <c r="B133" t="s">
        <v>141</v>
      </c>
      <c r="C133" t="s">
        <v>3599</v>
      </c>
      <c r="D133" t="s">
        <v>142</v>
      </c>
      <c r="E133" t="s">
        <v>143</v>
      </c>
      <c r="F133" t="s">
        <v>3344</v>
      </c>
      <c r="G133" t="s">
        <v>3629</v>
      </c>
    </row>
    <row r="134" spans="1:7" ht="11.25" customHeight="1">
      <c r="A134" s="309" t="s">
        <v>3</v>
      </c>
      <c r="B134" t="s">
        <v>141</v>
      </c>
      <c r="C134" t="s">
        <v>3599</v>
      </c>
      <c r="D134" t="s">
        <v>141</v>
      </c>
      <c r="E134" t="s">
        <v>3599</v>
      </c>
      <c r="F134" t="s">
        <v>3341</v>
      </c>
      <c r="G134" t="s">
        <v>184</v>
      </c>
    </row>
    <row r="135" spans="1:7" ht="11.25" customHeight="1">
      <c r="A135" s="309" t="s">
        <v>3</v>
      </c>
      <c r="B135" t="s">
        <v>141</v>
      </c>
      <c r="C135" t="s">
        <v>3599</v>
      </c>
      <c r="D135" t="s">
        <v>3630</v>
      </c>
      <c r="E135" t="s">
        <v>3631</v>
      </c>
      <c r="F135" t="s">
        <v>3347</v>
      </c>
      <c r="G135" t="s">
        <v>3632</v>
      </c>
    </row>
    <row r="136" spans="1:7" ht="11.25" customHeight="1">
      <c r="A136" s="309" t="s">
        <v>3</v>
      </c>
      <c r="B136" t="s">
        <v>3633</v>
      </c>
      <c r="C136" t="s">
        <v>3634</v>
      </c>
      <c r="D136" t="s">
        <v>3633</v>
      </c>
      <c r="E136" t="s">
        <v>3634</v>
      </c>
      <c r="F136" t="s">
        <v>3338</v>
      </c>
      <c r="G136" t="s">
        <v>3635</v>
      </c>
    </row>
    <row r="137" spans="1:7" ht="11.25" customHeight="1">
      <c r="A137" s="309" t="s">
        <v>3</v>
      </c>
      <c r="B137" t="s">
        <v>179</v>
      </c>
      <c r="C137" t="s">
        <v>3636</v>
      </c>
      <c r="D137" t="s">
        <v>3637</v>
      </c>
      <c r="E137" t="s">
        <v>3638</v>
      </c>
      <c r="F137" t="s">
        <v>3347</v>
      </c>
      <c r="G137" t="s">
        <v>189</v>
      </c>
    </row>
    <row r="138" spans="1:7" ht="11.25" customHeight="1">
      <c r="A138" s="309" t="s">
        <v>3</v>
      </c>
      <c r="B138" t="s">
        <v>179</v>
      </c>
      <c r="C138" t="s">
        <v>3636</v>
      </c>
      <c r="D138" t="s">
        <v>3639</v>
      </c>
      <c r="E138" t="s">
        <v>3640</v>
      </c>
      <c r="F138" t="s">
        <v>3347</v>
      </c>
      <c r="G138" t="s">
        <v>3641</v>
      </c>
    </row>
    <row r="139" spans="1:7" ht="11.25" customHeight="1">
      <c r="A139" s="309" t="s">
        <v>3</v>
      </c>
      <c r="B139" t="s">
        <v>179</v>
      </c>
      <c r="C139" t="s">
        <v>3636</v>
      </c>
      <c r="D139" t="s">
        <v>3642</v>
      </c>
      <c r="E139" t="s">
        <v>3643</v>
      </c>
      <c r="F139" t="s">
        <v>3347</v>
      </c>
      <c r="G139" t="s">
        <v>3644</v>
      </c>
    </row>
    <row r="140" spans="1:7" ht="11.25" customHeight="1">
      <c r="A140" s="309" t="s">
        <v>3</v>
      </c>
      <c r="B140" t="s">
        <v>179</v>
      </c>
      <c r="C140" t="s">
        <v>3636</v>
      </c>
      <c r="D140" t="s">
        <v>3645</v>
      </c>
      <c r="E140" t="s">
        <v>3646</v>
      </c>
      <c r="F140" t="s">
        <v>3347</v>
      </c>
      <c r="G140" t="s">
        <v>3647</v>
      </c>
    </row>
    <row r="141" spans="1:7" ht="11.25" customHeight="1">
      <c r="A141" s="309" t="s">
        <v>3</v>
      </c>
      <c r="B141" t="s">
        <v>179</v>
      </c>
      <c r="C141" t="s">
        <v>3636</v>
      </c>
      <c r="D141" t="s">
        <v>3648</v>
      </c>
      <c r="E141" t="s">
        <v>3649</v>
      </c>
      <c r="F141" t="s">
        <v>3347</v>
      </c>
      <c r="G141" t="s">
        <v>3650</v>
      </c>
    </row>
    <row r="142" spans="1:7" ht="11.25" customHeight="1">
      <c r="A142" s="309" t="s">
        <v>3</v>
      </c>
      <c r="B142" t="s">
        <v>179</v>
      </c>
      <c r="C142" t="s">
        <v>3636</v>
      </c>
      <c r="D142" t="s">
        <v>3651</v>
      </c>
      <c r="E142" t="s">
        <v>3652</v>
      </c>
      <c r="F142" t="s">
        <v>3347</v>
      </c>
      <c r="G142" t="s">
        <v>3653</v>
      </c>
    </row>
    <row r="143" spans="1:7" ht="11.25" customHeight="1">
      <c r="A143" s="309" t="s">
        <v>3</v>
      </c>
      <c r="B143" t="s">
        <v>179</v>
      </c>
      <c r="C143" t="s">
        <v>3636</v>
      </c>
      <c r="D143" t="s">
        <v>180</v>
      </c>
      <c r="E143" t="s">
        <v>181</v>
      </c>
      <c r="F143" t="s">
        <v>3347</v>
      </c>
      <c r="G143" t="s">
        <v>3654</v>
      </c>
    </row>
    <row r="144" spans="1:7" ht="11.25" customHeight="1">
      <c r="A144" s="309" t="s">
        <v>3</v>
      </c>
      <c r="B144" t="s">
        <v>179</v>
      </c>
      <c r="C144" t="s">
        <v>3636</v>
      </c>
      <c r="D144" t="s">
        <v>3655</v>
      </c>
      <c r="E144" t="s">
        <v>3656</v>
      </c>
      <c r="F144" t="s">
        <v>3347</v>
      </c>
      <c r="G144" t="s">
        <v>156</v>
      </c>
    </row>
    <row r="145" spans="1:7" ht="11.25" customHeight="1">
      <c r="A145" s="309" t="s">
        <v>3</v>
      </c>
      <c r="B145" t="s">
        <v>179</v>
      </c>
      <c r="C145" t="s">
        <v>3636</v>
      </c>
      <c r="D145" t="s">
        <v>195</v>
      </c>
      <c r="E145" t="s">
        <v>196</v>
      </c>
      <c r="F145" t="s">
        <v>3347</v>
      </c>
      <c r="G145" t="s">
        <v>3657</v>
      </c>
    </row>
    <row r="146" spans="1:7" ht="11.25" customHeight="1">
      <c r="A146" s="309" t="s">
        <v>3</v>
      </c>
      <c r="B146" t="s">
        <v>179</v>
      </c>
      <c r="C146" t="s">
        <v>3636</v>
      </c>
      <c r="D146" t="s">
        <v>3658</v>
      </c>
      <c r="E146" t="s">
        <v>3659</v>
      </c>
      <c r="F146" t="s">
        <v>3347</v>
      </c>
      <c r="G146" t="s">
        <v>3660</v>
      </c>
    </row>
    <row r="147" spans="1:7" ht="11.25" customHeight="1">
      <c r="A147" s="309" t="s">
        <v>3</v>
      </c>
      <c r="B147" t="s">
        <v>179</v>
      </c>
      <c r="C147" t="s">
        <v>3636</v>
      </c>
      <c r="D147" t="s">
        <v>3661</v>
      </c>
      <c r="E147" t="s">
        <v>3662</v>
      </c>
      <c r="F147" t="s">
        <v>3347</v>
      </c>
      <c r="G147" t="s">
        <v>3663</v>
      </c>
    </row>
    <row r="148" spans="1:7" ht="11.25" customHeight="1">
      <c r="A148" s="309" t="s">
        <v>3</v>
      </c>
      <c r="B148" t="s">
        <v>179</v>
      </c>
      <c r="C148" t="s">
        <v>3636</v>
      </c>
      <c r="D148" t="s">
        <v>3664</v>
      </c>
      <c r="E148" t="s">
        <v>3665</v>
      </c>
      <c r="F148" t="s">
        <v>3347</v>
      </c>
      <c r="G148" t="s">
        <v>3666</v>
      </c>
    </row>
    <row r="149" spans="1:7" ht="11.25" customHeight="1">
      <c r="A149" s="309" t="s">
        <v>3</v>
      </c>
      <c r="B149" t="s">
        <v>179</v>
      </c>
      <c r="C149" t="s">
        <v>3636</v>
      </c>
      <c r="D149" t="s">
        <v>3667</v>
      </c>
      <c r="E149" t="s">
        <v>3668</v>
      </c>
      <c r="F149" t="s">
        <v>3347</v>
      </c>
      <c r="G149" t="s">
        <v>3669</v>
      </c>
    </row>
    <row r="150" spans="1:7" ht="11.25" customHeight="1">
      <c r="A150" s="309" t="s">
        <v>3</v>
      </c>
      <c r="B150" t="s">
        <v>179</v>
      </c>
      <c r="C150" t="s">
        <v>3636</v>
      </c>
      <c r="D150" t="s">
        <v>3670</v>
      </c>
      <c r="E150" t="s">
        <v>3671</v>
      </c>
      <c r="F150" t="s">
        <v>3347</v>
      </c>
      <c r="G150" t="s">
        <v>3672</v>
      </c>
    </row>
    <row r="151" spans="1:7" ht="11.25" customHeight="1">
      <c r="A151" s="309" t="s">
        <v>3</v>
      </c>
      <c r="B151" t="s">
        <v>179</v>
      </c>
      <c r="C151" t="s">
        <v>3636</v>
      </c>
      <c r="D151" t="s">
        <v>3673</v>
      </c>
      <c r="E151" t="s">
        <v>3674</v>
      </c>
      <c r="F151" t="s">
        <v>3347</v>
      </c>
      <c r="G151" t="s">
        <v>3675</v>
      </c>
    </row>
    <row r="152" spans="1:7" ht="11.25" customHeight="1">
      <c r="A152" s="309" t="s">
        <v>3</v>
      </c>
      <c r="B152" t="s">
        <v>179</v>
      </c>
      <c r="C152" t="s">
        <v>3636</v>
      </c>
      <c r="D152" t="s">
        <v>185</v>
      </c>
      <c r="E152" t="s">
        <v>186</v>
      </c>
      <c r="F152" t="s">
        <v>3347</v>
      </c>
      <c r="G152" t="s">
        <v>3676</v>
      </c>
    </row>
    <row r="153" spans="1:7" ht="11.25" customHeight="1">
      <c r="A153" s="309" t="s">
        <v>3</v>
      </c>
      <c r="B153" t="s">
        <v>179</v>
      </c>
      <c r="C153" t="s">
        <v>3636</v>
      </c>
      <c r="D153" t="s">
        <v>179</v>
      </c>
      <c r="E153" t="s">
        <v>3636</v>
      </c>
      <c r="F153" t="s">
        <v>3341</v>
      </c>
      <c r="G153" t="s">
        <v>3677</v>
      </c>
    </row>
    <row r="154" spans="1:7" ht="11.25" customHeight="1">
      <c r="A154" s="309" t="s">
        <v>3</v>
      </c>
      <c r="B154" t="s">
        <v>179</v>
      </c>
      <c r="C154" t="s">
        <v>3636</v>
      </c>
      <c r="D154" t="s">
        <v>3678</v>
      </c>
      <c r="E154" t="s">
        <v>3679</v>
      </c>
      <c r="F154" t="s">
        <v>3347</v>
      </c>
      <c r="G154" t="s">
        <v>3680</v>
      </c>
    </row>
    <row r="155" spans="1:7" ht="11.25" customHeight="1">
      <c r="A155" s="309" t="s">
        <v>3</v>
      </c>
      <c r="B155" t="s">
        <v>179</v>
      </c>
      <c r="C155" t="s">
        <v>3636</v>
      </c>
      <c r="D155" t="s">
        <v>190</v>
      </c>
      <c r="E155" t="s">
        <v>191</v>
      </c>
      <c r="F155" t="s">
        <v>3347</v>
      </c>
      <c r="G155" t="s">
        <v>3681</v>
      </c>
    </row>
    <row r="156" spans="1:7" ht="11.25" customHeight="1">
      <c r="A156" s="309" t="s">
        <v>3</v>
      </c>
      <c r="B156" t="s">
        <v>179</v>
      </c>
      <c r="C156" t="s">
        <v>3636</v>
      </c>
      <c r="D156" t="s">
        <v>3682</v>
      </c>
      <c r="E156" t="s">
        <v>3683</v>
      </c>
      <c r="F156" t="s">
        <v>3347</v>
      </c>
      <c r="G156" t="s">
        <v>3684</v>
      </c>
    </row>
    <row r="157" spans="1:7" ht="11.25" customHeight="1">
      <c r="A157" s="309" t="s">
        <v>3</v>
      </c>
      <c r="B157" t="s">
        <v>3685</v>
      </c>
      <c r="C157" t="s">
        <v>3686</v>
      </c>
      <c r="D157" t="s">
        <v>3685</v>
      </c>
      <c r="E157" t="s">
        <v>3686</v>
      </c>
      <c r="F157" t="s">
        <v>3338</v>
      </c>
      <c r="G157" t="s">
        <v>3687</v>
      </c>
    </row>
    <row r="158" spans="1:7" ht="11.25" customHeight="1">
      <c r="A158" s="309" t="s">
        <v>3</v>
      </c>
      <c r="B158" t="s">
        <v>157</v>
      </c>
      <c r="C158" t="s">
        <v>3688</v>
      </c>
      <c r="D158" t="s">
        <v>3689</v>
      </c>
      <c r="E158" t="s">
        <v>3690</v>
      </c>
      <c r="F158" t="s">
        <v>3347</v>
      </c>
      <c r="G158" t="s">
        <v>3691</v>
      </c>
    </row>
    <row r="159" spans="1:7" ht="11.25" customHeight="1">
      <c r="A159" s="309" t="s">
        <v>3</v>
      </c>
      <c r="B159" t="s">
        <v>157</v>
      </c>
      <c r="C159" t="s">
        <v>3688</v>
      </c>
      <c r="D159" t="s">
        <v>3692</v>
      </c>
      <c r="E159" t="s">
        <v>3693</v>
      </c>
      <c r="F159" t="s">
        <v>3347</v>
      </c>
      <c r="G159" t="s">
        <v>3694</v>
      </c>
    </row>
    <row r="160" spans="1:7" ht="11.25" customHeight="1">
      <c r="A160" s="309" t="s">
        <v>3</v>
      </c>
      <c r="B160" t="s">
        <v>157</v>
      </c>
      <c r="C160" t="s">
        <v>3688</v>
      </c>
      <c r="D160" t="s">
        <v>3695</v>
      </c>
      <c r="E160" t="s">
        <v>3696</v>
      </c>
      <c r="F160" t="s">
        <v>3347</v>
      </c>
      <c r="G160" t="s">
        <v>3697</v>
      </c>
    </row>
    <row r="161" spans="1:7" ht="11.25" customHeight="1">
      <c r="A161" s="309" t="s">
        <v>3</v>
      </c>
      <c r="B161" t="s">
        <v>157</v>
      </c>
      <c r="C161" t="s">
        <v>3688</v>
      </c>
      <c r="D161" t="s">
        <v>3370</v>
      </c>
      <c r="E161" t="s">
        <v>3698</v>
      </c>
      <c r="F161" t="s">
        <v>3347</v>
      </c>
      <c r="G161" t="s">
        <v>3699</v>
      </c>
    </row>
    <row r="162" spans="1:7" ht="11.25" customHeight="1">
      <c r="A162" s="309" t="s">
        <v>3</v>
      </c>
      <c r="B162" t="s">
        <v>157</v>
      </c>
      <c r="C162" t="s">
        <v>3688</v>
      </c>
      <c r="D162" t="s">
        <v>157</v>
      </c>
      <c r="E162" t="s">
        <v>3688</v>
      </c>
      <c r="F162" t="s">
        <v>3341</v>
      </c>
      <c r="G162" t="s">
        <v>3700</v>
      </c>
    </row>
    <row r="163" spans="1:7" ht="11.25" customHeight="1">
      <c r="A163" s="309" t="s">
        <v>3</v>
      </c>
      <c r="B163" t="s">
        <v>157</v>
      </c>
      <c r="C163" t="s">
        <v>3688</v>
      </c>
      <c r="D163" t="s">
        <v>158</v>
      </c>
      <c r="E163" t="s">
        <v>159</v>
      </c>
      <c r="F163" t="s">
        <v>3344</v>
      </c>
      <c r="G163" t="s">
        <v>3701</v>
      </c>
    </row>
    <row r="164" spans="1:7" ht="11.25" customHeight="1">
      <c r="A164" s="309" t="s">
        <v>3</v>
      </c>
      <c r="B164" t="s">
        <v>3702</v>
      </c>
      <c r="C164" t="s">
        <v>3703</v>
      </c>
      <c r="D164" t="s">
        <v>3702</v>
      </c>
      <c r="E164" t="s">
        <v>3703</v>
      </c>
      <c r="F164" t="s">
        <v>3338</v>
      </c>
      <c r="G164" t="s">
        <v>3704</v>
      </c>
    </row>
    <row r="165" spans="1:7" ht="11.25" customHeight="1">
      <c r="A165" s="309" t="s">
        <v>3</v>
      </c>
      <c r="B165" t="s">
        <v>3705</v>
      </c>
      <c r="C165" t="s">
        <v>3706</v>
      </c>
      <c r="D165" t="s">
        <v>3707</v>
      </c>
      <c r="E165" t="s">
        <v>3708</v>
      </c>
      <c r="F165" t="s">
        <v>3347</v>
      </c>
      <c r="G165" t="s">
        <v>3709</v>
      </c>
    </row>
    <row r="166" spans="1:7" ht="11.25" customHeight="1">
      <c r="A166" s="309" t="s">
        <v>3</v>
      </c>
      <c r="B166" t="s">
        <v>3705</v>
      </c>
      <c r="C166" t="s">
        <v>3706</v>
      </c>
      <c r="D166" t="s">
        <v>3710</v>
      </c>
      <c r="E166" t="s">
        <v>3711</v>
      </c>
      <c r="F166" t="s">
        <v>3347</v>
      </c>
      <c r="G166" t="s">
        <v>3712</v>
      </c>
    </row>
    <row r="167" spans="1:7" ht="11.25" customHeight="1">
      <c r="A167" s="309" t="s">
        <v>3</v>
      </c>
      <c r="B167" t="s">
        <v>3705</v>
      </c>
      <c r="C167" t="s">
        <v>3706</v>
      </c>
      <c r="D167" t="s">
        <v>3713</v>
      </c>
      <c r="E167" t="s">
        <v>3714</v>
      </c>
      <c r="F167" t="s">
        <v>3347</v>
      </c>
      <c r="G167" t="s">
        <v>3715</v>
      </c>
    </row>
    <row r="168" spans="1:7" ht="11.25" customHeight="1">
      <c r="A168" s="309" t="s">
        <v>3</v>
      </c>
      <c r="B168" t="s">
        <v>3705</v>
      </c>
      <c r="C168" t="s">
        <v>3706</v>
      </c>
      <c r="D168" t="s">
        <v>3705</v>
      </c>
      <c r="E168" t="s">
        <v>3706</v>
      </c>
      <c r="F168" t="s">
        <v>3341</v>
      </c>
      <c r="G168" t="s">
        <v>162</v>
      </c>
    </row>
    <row r="169" spans="1:7" ht="11.25" customHeight="1">
      <c r="A169" s="309" t="s">
        <v>3</v>
      </c>
      <c r="B169" t="s">
        <v>3705</v>
      </c>
      <c r="C169" t="s">
        <v>3706</v>
      </c>
      <c r="D169" t="s">
        <v>3716</v>
      </c>
      <c r="E169" t="s">
        <v>3717</v>
      </c>
      <c r="F169" t="s">
        <v>3347</v>
      </c>
      <c r="G169" t="s">
        <v>3718</v>
      </c>
    </row>
    <row r="170" spans="1:7" ht="11.25" customHeight="1">
      <c r="A170" s="309" t="s">
        <v>3</v>
      </c>
      <c r="B170" t="s">
        <v>3719</v>
      </c>
      <c r="C170" t="s">
        <v>3720</v>
      </c>
      <c r="D170" t="s">
        <v>3719</v>
      </c>
      <c r="E170" t="s">
        <v>3720</v>
      </c>
      <c r="F170" t="s">
        <v>3338</v>
      </c>
      <c r="G170" t="s">
        <v>3721</v>
      </c>
    </row>
    <row r="171" spans="1:7" ht="11.25" customHeight="1">
      <c r="A171" s="309" t="s">
        <v>3</v>
      </c>
      <c r="B171" t="s">
        <v>3722</v>
      </c>
      <c r="C171" t="s">
        <v>3723</v>
      </c>
      <c r="D171" t="s">
        <v>3724</v>
      </c>
      <c r="E171" t="s">
        <v>3725</v>
      </c>
      <c r="F171" t="s">
        <v>3347</v>
      </c>
      <c r="G171" t="s">
        <v>3726</v>
      </c>
    </row>
    <row r="172" spans="1:7" ht="11.25" customHeight="1">
      <c r="A172" s="309" t="s">
        <v>3</v>
      </c>
      <c r="B172" t="s">
        <v>3722</v>
      </c>
      <c r="C172" t="s">
        <v>3723</v>
      </c>
      <c r="D172" t="s">
        <v>3727</v>
      </c>
      <c r="E172" t="s">
        <v>3728</v>
      </c>
      <c r="F172" t="s">
        <v>3347</v>
      </c>
      <c r="G172" t="s">
        <v>3729</v>
      </c>
    </row>
    <row r="173" spans="1:7" ht="11.25" customHeight="1">
      <c r="A173" s="309" t="s">
        <v>3</v>
      </c>
      <c r="B173" t="s">
        <v>3722</v>
      </c>
      <c r="C173" t="s">
        <v>3723</v>
      </c>
      <c r="D173" t="s">
        <v>3722</v>
      </c>
      <c r="E173" t="s">
        <v>3723</v>
      </c>
      <c r="F173" t="s">
        <v>3341</v>
      </c>
      <c r="G173" t="s">
        <v>3730</v>
      </c>
    </row>
    <row r="174" spans="1:7" ht="11.25" customHeight="1">
      <c r="A174" s="309" t="s">
        <v>3</v>
      </c>
      <c r="B174" t="s">
        <v>3722</v>
      </c>
      <c r="C174" t="s">
        <v>3723</v>
      </c>
      <c r="D174" t="s">
        <v>3731</v>
      </c>
      <c r="E174" t="s">
        <v>3732</v>
      </c>
      <c r="F174" t="s">
        <v>3347</v>
      </c>
      <c r="G174" t="s">
        <v>3733</v>
      </c>
    </row>
    <row r="175" spans="1:7" ht="11.25" customHeight="1">
      <c r="A175" s="309" t="s">
        <v>3</v>
      </c>
      <c r="B175" t="s">
        <v>3734</v>
      </c>
      <c r="C175" t="s">
        <v>3735</v>
      </c>
      <c r="D175" t="s">
        <v>3734</v>
      </c>
      <c r="E175" t="s">
        <v>3735</v>
      </c>
      <c r="F175" t="s">
        <v>3338</v>
      </c>
      <c r="G175" t="s">
        <v>3736</v>
      </c>
    </row>
    <row r="176" spans="1:7" ht="11.25" customHeight="1">
      <c r="A176" s="309" t="s">
        <v>3</v>
      </c>
      <c r="B176" t="s">
        <v>3737</v>
      </c>
      <c r="C176" t="s">
        <v>3738</v>
      </c>
      <c r="D176" t="s">
        <v>3739</v>
      </c>
      <c r="E176" t="s">
        <v>3740</v>
      </c>
      <c r="F176" t="s">
        <v>3347</v>
      </c>
      <c r="G176" t="s">
        <v>3741</v>
      </c>
    </row>
    <row r="177" spans="1:7" ht="11.25" customHeight="1">
      <c r="A177" s="309" t="s">
        <v>3</v>
      </c>
      <c r="B177" t="s">
        <v>3737</v>
      </c>
      <c r="C177" t="s">
        <v>3738</v>
      </c>
      <c r="D177" t="s">
        <v>3742</v>
      </c>
      <c r="E177" t="s">
        <v>3743</v>
      </c>
      <c r="F177" t="s">
        <v>3347</v>
      </c>
      <c r="G177" t="s">
        <v>3744</v>
      </c>
    </row>
    <row r="178" spans="1:7" ht="11.25" customHeight="1">
      <c r="A178" s="309" t="s">
        <v>3</v>
      </c>
      <c r="B178" t="s">
        <v>3737</v>
      </c>
      <c r="C178" t="s">
        <v>3738</v>
      </c>
      <c r="D178" t="s">
        <v>3745</v>
      </c>
      <c r="E178" t="s">
        <v>3746</v>
      </c>
      <c r="F178" t="s">
        <v>3347</v>
      </c>
      <c r="G178" t="s">
        <v>3747</v>
      </c>
    </row>
    <row r="179" spans="1:7" ht="11.25" customHeight="1">
      <c r="A179" s="309" t="s">
        <v>3</v>
      </c>
      <c r="B179" t="s">
        <v>3737</v>
      </c>
      <c r="C179" t="s">
        <v>3738</v>
      </c>
      <c r="D179" t="s">
        <v>3748</v>
      </c>
      <c r="E179" t="s">
        <v>3749</v>
      </c>
      <c r="F179" t="s">
        <v>3347</v>
      </c>
      <c r="G179" t="s">
        <v>3750</v>
      </c>
    </row>
    <row r="180" spans="1:7" ht="11.25" customHeight="1">
      <c r="A180" s="309" t="s">
        <v>3</v>
      </c>
      <c r="B180" t="s">
        <v>3737</v>
      </c>
      <c r="C180" t="s">
        <v>3738</v>
      </c>
      <c r="D180" t="s">
        <v>3751</v>
      </c>
      <c r="E180" t="s">
        <v>3752</v>
      </c>
      <c r="F180" t="s">
        <v>3347</v>
      </c>
      <c r="G180" t="s">
        <v>3753</v>
      </c>
    </row>
    <row r="181" spans="1:7" ht="11.25" customHeight="1">
      <c r="A181" s="309" t="s">
        <v>3</v>
      </c>
      <c r="B181" t="s">
        <v>3737</v>
      </c>
      <c r="C181" t="s">
        <v>3738</v>
      </c>
      <c r="D181" t="s">
        <v>3737</v>
      </c>
      <c r="E181" t="s">
        <v>3738</v>
      </c>
      <c r="F181" t="s">
        <v>3341</v>
      </c>
      <c r="G181" t="s">
        <v>3754</v>
      </c>
    </row>
    <row r="182" spans="1:7" ht="11.25" customHeight="1">
      <c r="A182" s="309" t="s">
        <v>3</v>
      </c>
      <c r="B182" t="s">
        <v>3737</v>
      </c>
      <c r="C182" t="s">
        <v>3738</v>
      </c>
      <c r="D182" t="s">
        <v>3755</v>
      </c>
      <c r="E182" t="s">
        <v>3756</v>
      </c>
      <c r="F182" t="s">
        <v>3399</v>
      </c>
      <c r="G182" t="s">
        <v>3757</v>
      </c>
    </row>
    <row r="183" spans="1:7" ht="11.25" customHeight="1">
      <c r="A183" s="309" t="s">
        <v>3</v>
      </c>
      <c r="B183" t="s">
        <v>3737</v>
      </c>
      <c r="C183" t="s">
        <v>3738</v>
      </c>
      <c r="D183" t="s">
        <v>3758</v>
      </c>
      <c r="E183" t="s">
        <v>3759</v>
      </c>
      <c r="F183" t="s">
        <v>3347</v>
      </c>
      <c r="G183" t="s">
        <v>3760</v>
      </c>
    </row>
    <row r="184" spans="1:7" ht="11.25" customHeight="1">
      <c r="A184" s="309" t="s">
        <v>3</v>
      </c>
      <c r="B184" t="s">
        <v>3761</v>
      </c>
      <c r="C184" t="s">
        <v>3762</v>
      </c>
      <c r="D184" t="s">
        <v>3761</v>
      </c>
      <c r="E184" t="s">
        <v>3762</v>
      </c>
      <c r="F184" t="s">
        <v>3338</v>
      </c>
      <c r="G184" t="s">
        <v>167</v>
      </c>
    </row>
    <row r="185" spans="1:7" ht="11.25" customHeight="1">
      <c r="A185" s="1747" t="s">
        <v>3</v>
      </c>
      <c r="B185" t="s">
        <v>163</v>
      </c>
      <c r="C185" t="s">
        <v>3763</v>
      </c>
      <c r="D185" t="s">
        <v>3764</v>
      </c>
      <c r="E185" t="s">
        <v>3765</v>
      </c>
      <c r="F185" t="s">
        <v>3347</v>
      </c>
      <c r="G185" t="s">
        <v>3766</v>
      </c>
    </row>
    <row r="186" spans="1:7" ht="11.25" customHeight="1">
      <c r="A186" s="1747" t="s">
        <v>3</v>
      </c>
      <c r="B186" t="s">
        <v>163</v>
      </c>
      <c r="C186" t="s">
        <v>3763</v>
      </c>
      <c r="D186" t="s">
        <v>3767</v>
      </c>
      <c r="E186" t="s">
        <v>3768</v>
      </c>
      <c r="F186" t="s">
        <v>3347</v>
      </c>
      <c r="G186" t="s">
        <v>3769</v>
      </c>
    </row>
    <row r="187" spans="1:7" ht="11.25" customHeight="1">
      <c r="A187" s="1747" t="s">
        <v>3</v>
      </c>
      <c r="B187" t="s">
        <v>163</v>
      </c>
      <c r="C187" t="s">
        <v>3763</v>
      </c>
      <c r="D187" t="s">
        <v>3770</v>
      </c>
      <c r="E187" t="s">
        <v>3771</v>
      </c>
      <c r="F187" t="s">
        <v>3347</v>
      </c>
      <c r="G187" t="s">
        <v>3772</v>
      </c>
    </row>
    <row r="188" spans="1:7" ht="11.25" customHeight="1">
      <c r="A188" s="1747" t="s">
        <v>3</v>
      </c>
      <c r="B188" t="s">
        <v>163</v>
      </c>
      <c r="C188" t="s">
        <v>3763</v>
      </c>
      <c r="D188" t="s">
        <v>3773</v>
      </c>
      <c r="E188" t="s">
        <v>3774</v>
      </c>
      <c r="F188" t="s">
        <v>3347</v>
      </c>
      <c r="G188" t="s">
        <v>3775</v>
      </c>
    </row>
    <row r="189" spans="1:7" ht="11.25" customHeight="1">
      <c r="A189" s="1747" t="s">
        <v>3</v>
      </c>
      <c r="B189" t="s">
        <v>163</v>
      </c>
      <c r="C189" t="s">
        <v>3763</v>
      </c>
      <c r="D189" t="s">
        <v>3776</v>
      </c>
      <c r="E189" t="s">
        <v>3777</v>
      </c>
      <c r="F189" t="s">
        <v>3347</v>
      </c>
      <c r="G189" t="s">
        <v>3778</v>
      </c>
    </row>
    <row r="190" spans="1:7" ht="11.25" customHeight="1">
      <c r="A190" s="1747" t="s">
        <v>3</v>
      </c>
      <c r="B190" t="s">
        <v>163</v>
      </c>
      <c r="C190" t="s">
        <v>3763</v>
      </c>
      <c r="D190" t="s">
        <v>163</v>
      </c>
      <c r="E190" t="s">
        <v>3763</v>
      </c>
      <c r="F190" t="s">
        <v>3341</v>
      </c>
      <c r="G190" t="s">
        <v>3779</v>
      </c>
    </row>
    <row r="191" spans="1:7" ht="11.25" customHeight="1">
      <c r="A191" s="1747" t="s">
        <v>3</v>
      </c>
      <c r="B191" t="s">
        <v>163</v>
      </c>
      <c r="C191" t="s">
        <v>3763</v>
      </c>
      <c r="D191" t="s">
        <v>164</v>
      </c>
      <c r="E191" t="s">
        <v>165</v>
      </c>
      <c r="F191" t="s">
        <v>3399</v>
      </c>
      <c r="G191" t="s">
        <v>3780</v>
      </c>
    </row>
    <row r="192" spans="1:7" ht="11.25" customHeight="1">
      <c r="A192" s="1747" t="s">
        <v>3</v>
      </c>
      <c r="B192" t="s">
        <v>210</v>
      </c>
      <c r="C192" t="s">
        <v>211</v>
      </c>
      <c r="D192" t="s">
        <v>210</v>
      </c>
      <c r="E192" t="s">
        <v>211</v>
      </c>
      <c r="F192" t="s">
        <v>3338</v>
      </c>
      <c r="G192" t="s">
        <v>209</v>
      </c>
    </row>
    <row r="193" spans="1:7" ht="11.25" customHeight="1">
      <c r="A193" s="1747" t="s">
        <v>3</v>
      </c>
      <c r="B193" t="s">
        <v>3781</v>
      </c>
      <c r="C193" t="s">
        <v>3782</v>
      </c>
      <c r="D193" t="s">
        <v>3783</v>
      </c>
      <c r="E193" t="s">
        <v>3784</v>
      </c>
      <c r="F193" t="s">
        <v>3347</v>
      </c>
      <c r="G193" t="s">
        <v>3785</v>
      </c>
    </row>
    <row r="194" spans="1:7" ht="11.25" customHeight="1">
      <c r="A194" s="1747" t="s">
        <v>3</v>
      </c>
      <c r="B194" t="s">
        <v>3781</v>
      </c>
      <c r="C194" t="s">
        <v>3782</v>
      </c>
      <c r="D194" t="s">
        <v>3786</v>
      </c>
      <c r="E194" t="s">
        <v>3787</v>
      </c>
      <c r="F194" t="s">
        <v>3347</v>
      </c>
      <c r="G194" t="s">
        <v>3788</v>
      </c>
    </row>
    <row r="195" spans="1:7" ht="11.25" customHeight="1">
      <c r="A195" s="1747" t="s">
        <v>3</v>
      </c>
      <c r="B195" t="s">
        <v>3781</v>
      </c>
      <c r="C195" t="s">
        <v>3782</v>
      </c>
      <c r="D195" t="s">
        <v>3789</v>
      </c>
      <c r="E195" t="s">
        <v>3790</v>
      </c>
      <c r="F195" t="s">
        <v>3347</v>
      </c>
      <c r="G195" t="s">
        <v>3791</v>
      </c>
    </row>
    <row r="196" spans="1:7" ht="11.25" customHeight="1">
      <c r="A196" s="1747" t="s">
        <v>3</v>
      </c>
      <c r="B196" t="s">
        <v>3781</v>
      </c>
      <c r="C196" t="s">
        <v>3782</v>
      </c>
      <c r="D196" t="s">
        <v>3792</v>
      </c>
      <c r="E196" t="s">
        <v>3793</v>
      </c>
      <c r="F196" t="s">
        <v>3347</v>
      </c>
      <c r="G196" t="s">
        <v>3794</v>
      </c>
    </row>
    <row r="197" spans="1:7" ht="11.25" customHeight="1">
      <c r="A197" s="1747" t="s">
        <v>3</v>
      </c>
      <c r="B197" t="s">
        <v>3781</v>
      </c>
      <c r="C197" t="s">
        <v>3782</v>
      </c>
      <c r="D197" t="s">
        <v>3795</v>
      </c>
      <c r="E197" t="s">
        <v>3796</v>
      </c>
      <c r="F197" t="s">
        <v>3347</v>
      </c>
      <c r="G197" t="s">
        <v>3797</v>
      </c>
    </row>
    <row r="198" spans="1:7" ht="11.25" customHeight="1">
      <c r="A198" s="1747" t="s">
        <v>3</v>
      </c>
      <c r="B198" t="s">
        <v>3781</v>
      </c>
      <c r="C198" t="s">
        <v>3782</v>
      </c>
      <c r="D198" t="s">
        <v>3798</v>
      </c>
      <c r="E198" t="s">
        <v>3799</v>
      </c>
      <c r="F198" t="s">
        <v>3347</v>
      </c>
      <c r="G198" t="s">
        <v>3800</v>
      </c>
    </row>
    <row r="199" spans="1:7" ht="11.25" customHeight="1">
      <c r="A199" s="1747" t="s">
        <v>3</v>
      </c>
      <c r="B199" t="s">
        <v>3781</v>
      </c>
      <c r="C199" t="s">
        <v>3782</v>
      </c>
      <c r="D199" t="s">
        <v>3801</v>
      </c>
      <c r="E199" t="s">
        <v>3802</v>
      </c>
      <c r="F199" t="s">
        <v>3347</v>
      </c>
      <c r="G199" t="s">
        <v>3803</v>
      </c>
    </row>
    <row r="200" spans="1:7" ht="11.25" customHeight="1">
      <c r="A200" s="1747" t="s">
        <v>3</v>
      </c>
      <c r="B200" t="s">
        <v>3781</v>
      </c>
      <c r="C200" t="s">
        <v>3782</v>
      </c>
      <c r="D200" t="s">
        <v>3781</v>
      </c>
      <c r="E200" t="s">
        <v>3782</v>
      </c>
      <c r="F200" t="s">
        <v>3341</v>
      </c>
      <c r="G200" t="s">
        <v>3804</v>
      </c>
    </row>
    <row r="201" spans="1:7" ht="11.25" customHeight="1">
      <c r="A201" s="1747" t="s">
        <v>3</v>
      </c>
      <c r="B201" t="s">
        <v>3781</v>
      </c>
      <c r="C201" t="s">
        <v>3782</v>
      </c>
      <c r="D201" t="s">
        <v>3805</v>
      </c>
      <c r="E201" t="s">
        <v>3806</v>
      </c>
      <c r="F201" t="s">
        <v>3399</v>
      </c>
      <c r="G201" t="s">
        <v>3807</v>
      </c>
    </row>
    <row r="202" spans="1:7" ht="11.25" customHeight="1">
      <c r="A202" s="1747" t="s">
        <v>3</v>
      </c>
      <c r="B202" t="s">
        <v>3808</v>
      </c>
      <c r="C202" t="s">
        <v>3809</v>
      </c>
      <c r="D202" t="s">
        <v>3808</v>
      </c>
      <c r="E202" t="s">
        <v>3809</v>
      </c>
      <c r="F202" t="s">
        <v>3338</v>
      </c>
      <c r="G202" t="s">
        <v>3810</v>
      </c>
    </row>
    <row r="203" spans="1:7" ht="11.25" customHeight="1">
      <c r="A203" s="1747" t="s">
        <v>3</v>
      </c>
      <c r="B203" t="s">
        <v>168</v>
      </c>
      <c r="C203" t="s">
        <v>3811</v>
      </c>
      <c r="D203" t="s">
        <v>3812</v>
      </c>
      <c r="E203" t="s">
        <v>3813</v>
      </c>
      <c r="F203" t="s">
        <v>3347</v>
      </c>
      <c r="G203" t="s">
        <v>3814</v>
      </c>
    </row>
    <row r="204" spans="1:7" ht="11.25" customHeight="1">
      <c r="A204" s="1747" t="s">
        <v>3</v>
      </c>
      <c r="B204" t="s">
        <v>168</v>
      </c>
      <c r="C204" t="s">
        <v>3811</v>
      </c>
      <c r="D204" t="s">
        <v>3815</v>
      </c>
      <c r="E204" t="s">
        <v>3816</v>
      </c>
      <c r="F204" t="s">
        <v>3347</v>
      </c>
      <c r="G204" t="s">
        <v>3817</v>
      </c>
    </row>
    <row r="205" spans="1:7" ht="11.25" customHeight="1">
      <c r="A205" s="1747" t="s">
        <v>3</v>
      </c>
      <c r="B205" t="s">
        <v>168</v>
      </c>
      <c r="C205" t="s">
        <v>3811</v>
      </c>
      <c r="D205" t="s">
        <v>3818</v>
      </c>
      <c r="E205" t="s">
        <v>3819</v>
      </c>
      <c r="F205" t="s">
        <v>3347</v>
      </c>
      <c r="G205" t="s">
        <v>3820</v>
      </c>
    </row>
    <row r="206" spans="1:7" ht="11.25" customHeight="1">
      <c r="A206" s="1747" t="s">
        <v>3</v>
      </c>
      <c r="B206" t="s">
        <v>168</v>
      </c>
      <c r="C206" t="s">
        <v>3811</v>
      </c>
      <c r="D206" t="s">
        <v>3821</v>
      </c>
      <c r="E206" t="s">
        <v>3822</v>
      </c>
      <c r="F206" t="s">
        <v>3347</v>
      </c>
      <c r="G206" t="s">
        <v>3823</v>
      </c>
    </row>
    <row r="207" spans="1:7" ht="11.25" customHeight="1">
      <c r="A207" s="1747" t="s">
        <v>3</v>
      </c>
      <c r="B207" t="s">
        <v>168</v>
      </c>
      <c r="C207" t="s">
        <v>3811</v>
      </c>
      <c r="D207" t="s">
        <v>3824</v>
      </c>
      <c r="E207" t="s">
        <v>3825</v>
      </c>
      <c r="F207" t="s">
        <v>3347</v>
      </c>
      <c r="G207" t="s">
        <v>3826</v>
      </c>
    </row>
    <row r="208" spans="1:7" ht="11.25" customHeight="1">
      <c r="A208" s="1747" t="s">
        <v>3</v>
      </c>
      <c r="B208" t="s">
        <v>168</v>
      </c>
      <c r="C208" t="s">
        <v>3811</v>
      </c>
      <c r="D208" t="s">
        <v>168</v>
      </c>
      <c r="E208" t="s">
        <v>3811</v>
      </c>
      <c r="F208" t="s">
        <v>3341</v>
      </c>
      <c r="G208" t="s">
        <v>3827</v>
      </c>
    </row>
    <row r="209" spans="1:7" ht="11.25" customHeight="1">
      <c r="A209" s="1747" t="s">
        <v>3</v>
      </c>
      <c r="B209" t="s">
        <v>168</v>
      </c>
      <c r="C209" t="s">
        <v>3811</v>
      </c>
      <c r="D209" t="s">
        <v>169</v>
      </c>
      <c r="E209" t="s">
        <v>170</v>
      </c>
      <c r="F209" t="s">
        <v>3344</v>
      </c>
      <c r="G209" t="s">
        <v>3828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3829</v>
      </c>
      <c r="B1" s="765" t="s">
        <v>3830</v>
      </c>
      <c r="C1" s="1085" t="s">
        <v>3831</v>
      </c>
      <c r="D1" s="765" t="s">
        <v>3832</v>
      </c>
      <c r="E1" s="765" t="s">
        <v>3833</v>
      </c>
      <c r="F1" s="1085" t="s">
        <v>3834</v>
      </c>
      <c r="G1" s="1085" t="s">
        <v>3835</v>
      </c>
      <c r="H1" s="1085" t="s">
        <v>3836</v>
      </c>
      <c r="I1" s="1085" t="s">
        <v>3837</v>
      </c>
    </row>
    <row r="2" spans="1:9" ht="11.25" customHeight="1">
      <c r="A2" s="1617" t="s">
        <v>218</v>
      </c>
      <c r="B2" s="1617" t="s">
        <v>3838</v>
      </c>
      <c r="C2" s="1617" t="s">
        <v>17</v>
      </c>
      <c r="D2" s="1617" t="s">
        <v>3839</v>
      </c>
      <c r="E2" s="1617" t="s">
        <v>777</v>
      </c>
      <c r="F2" s="1617" t="s">
        <v>17</v>
      </c>
      <c r="G2" s="1617" t="s">
        <v>17</v>
      </c>
      <c r="H2" s="1617" t="s">
        <v>17</v>
      </c>
      <c r="I2" s="1617" t="s">
        <v>17</v>
      </c>
    </row>
    <row r="3" spans="1:9" ht="11.25" customHeight="1">
      <c r="A3" s="1617" t="s">
        <v>95</v>
      </c>
      <c r="B3" s="1617" t="s">
        <v>3840</v>
      </c>
      <c r="C3" s="1617" t="s">
        <v>17</v>
      </c>
      <c r="D3" s="1617" t="s">
        <v>3839</v>
      </c>
      <c r="E3" s="1617" t="s">
        <v>777</v>
      </c>
      <c r="F3" s="1617" t="s">
        <v>17</v>
      </c>
      <c r="G3" s="1617" t="s">
        <v>17</v>
      </c>
      <c r="H3" s="1617" t="s">
        <v>17</v>
      </c>
      <c r="I3" s="1617" t="s">
        <v>17</v>
      </c>
    </row>
    <row r="4" spans="1:9" ht="11.25" customHeight="1">
      <c r="A4" s="1617" t="s">
        <v>81</v>
      </c>
      <c r="B4" s="1617" t="s">
        <v>3841</v>
      </c>
      <c r="C4" s="1617" t="s">
        <v>17</v>
      </c>
      <c r="D4" s="1617" t="s">
        <v>3842</v>
      </c>
      <c r="E4" s="1617" t="s">
        <v>3843</v>
      </c>
      <c r="F4" s="1617" t="s">
        <v>17</v>
      </c>
      <c r="G4" s="1617" t="s">
        <v>17</v>
      </c>
      <c r="H4" s="1617" t="s">
        <v>17</v>
      </c>
      <c r="I4" s="1617" t="s">
        <v>17</v>
      </c>
    </row>
    <row r="5" spans="1:9" ht="11.25" customHeight="1">
      <c r="A5" s="1617" t="s">
        <v>82</v>
      </c>
      <c r="B5" s="1617" t="s">
        <v>3844</v>
      </c>
      <c r="C5" s="1617" t="s">
        <v>17</v>
      </c>
      <c r="D5" s="1617" t="s">
        <v>774</v>
      </c>
      <c r="E5" s="1617" t="s">
        <v>783</v>
      </c>
      <c r="F5" s="1617" t="s">
        <v>17</v>
      </c>
      <c r="G5" s="1617" t="s">
        <v>17</v>
      </c>
      <c r="H5" s="1617" t="s">
        <v>17</v>
      </c>
      <c r="I5" s="1617" t="s">
        <v>17</v>
      </c>
    </row>
    <row r="6" spans="1:9" ht="11.25" customHeight="1">
      <c r="A6" s="1617" t="s">
        <v>109</v>
      </c>
      <c r="B6" s="1617" t="s">
        <v>3845</v>
      </c>
      <c r="C6" s="1617" t="s">
        <v>17</v>
      </c>
      <c r="D6" s="1617" t="s">
        <v>9</v>
      </c>
      <c r="E6" s="1617" t="s">
        <v>787</v>
      </c>
      <c r="F6" s="1617" t="s">
        <v>17</v>
      </c>
      <c r="G6" s="1617" t="s">
        <v>17</v>
      </c>
      <c r="H6" s="1617" t="s">
        <v>17</v>
      </c>
      <c r="I6" s="1617" t="s">
        <v>17</v>
      </c>
    </row>
    <row r="7" spans="1:9" ht="11.25" customHeight="1">
      <c r="A7" s="1617" t="s">
        <v>83</v>
      </c>
      <c r="B7" s="1617" t="s">
        <v>3846</v>
      </c>
      <c r="C7" s="1617" t="s">
        <v>17</v>
      </c>
      <c r="D7" s="1617" t="s">
        <v>3847</v>
      </c>
      <c r="E7" s="1617" t="s">
        <v>773</v>
      </c>
      <c r="F7" s="1617" t="s">
        <v>17</v>
      </c>
      <c r="G7" s="1617" t="s">
        <v>17</v>
      </c>
      <c r="H7" s="1617" t="s">
        <v>17</v>
      </c>
      <c r="I7" s="1617" t="s">
        <v>17</v>
      </c>
    </row>
    <row r="8" spans="1:9" ht="11.25" customHeight="1">
      <c r="A8" s="1617" t="s">
        <v>84</v>
      </c>
      <c r="B8" s="1617" t="s">
        <v>3848</v>
      </c>
      <c r="C8" s="1617" t="s">
        <v>17</v>
      </c>
      <c r="D8" s="1617" t="s">
        <v>3847</v>
      </c>
      <c r="E8" s="1617" t="s">
        <v>777</v>
      </c>
      <c r="F8" s="1617" t="s">
        <v>17</v>
      </c>
      <c r="G8" s="1617" t="s">
        <v>17</v>
      </c>
      <c r="H8" s="1617" t="s">
        <v>17</v>
      </c>
      <c r="I8" s="1617" t="s">
        <v>17</v>
      </c>
    </row>
    <row r="9" spans="1:9" ht="11.25" customHeight="1">
      <c r="A9" s="1617" t="s">
        <v>90</v>
      </c>
      <c r="B9" s="1617" t="s">
        <v>3849</v>
      </c>
      <c r="C9" s="1617" t="s">
        <v>17</v>
      </c>
      <c r="D9" s="1617" t="s">
        <v>3847</v>
      </c>
      <c r="E9" s="1617" t="s">
        <v>3850</v>
      </c>
      <c r="F9" s="1617" t="s">
        <v>17</v>
      </c>
      <c r="G9" s="1617" t="s">
        <v>17</v>
      </c>
      <c r="H9" s="1617" t="s">
        <v>17</v>
      </c>
      <c r="I9" s="1617" t="s">
        <v>17</v>
      </c>
    </row>
    <row r="10" spans="1:9" ht="11.25" customHeight="1">
      <c r="A10" s="1617" t="s">
        <v>128</v>
      </c>
      <c r="B10" s="1617" t="s">
        <v>3851</v>
      </c>
      <c r="C10" s="1617" t="s">
        <v>17</v>
      </c>
      <c r="D10" s="1617" t="s">
        <v>9</v>
      </c>
      <c r="E10" s="1617" t="s">
        <v>779</v>
      </c>
      <c r="F10" s="1617" t="s">
        <v>17</v>
      </c>
      <c r="G10" s="1617" t="s">
        <v>17</v>
      </c>
      <c r="H10" s="1617" t="s">
        <v>17</v>
      </c>
      <c r="I10" s="1617" t="s">
        <v>17</v>
      </c>
    </row>
    <row r="11" spans="1:9" ht="11.25" customHeight="1">
      <c r="A11" s="1617" t="s">
        <v>133</v>
      </c>
      <c r="B11" s="1617" t="s">
        <v>3852</v>
      </c>
      <c r="C11" s="1617" t="s">
        <v>17</v>
      </c>
      <c r="D11" s="1617" t="s">
        <v>9</v>
      </c>
      <c r="E11" s="1617" t="s">
        <v>787</v>
      </c>
      <c r="F11" s="1617" t="s">
        <v>17</v>
      </c>
      <c r="G11" s="1617" t="s">
        <v>17</v>
      </c>
      <c r="H11" s="1617" t="s">
        <v>17</v>
      </c>
      <c r="I11" s="1617" t="s">
        <v>17</v>
      </c>
    </row>
    <row r="12" spans="1:9" ht="11.25" customHeight="1">
      <c r="A12" s="1617" t="s">
        <v>138</v>
      </c>
      <c r="B12" s="1617" t="s">
        <v>3853</v>
      </c>
      <c r="C12" s="1617" t="s">
        <v>17</v>
      </c>
      <c r="D12" s="1617" t="s">
        <v>3854</v>
      </c>
      <c r="E12" s="1617" t="s">
        <v>3855</v>
      </c>
      <c r="F12" s="1617" t="s">
        <v>17</v>
      </c>
      <c r="G12" s="1617" t="s">
        <v>17</v>
      </c>
      <c r="H12" s="1617" t="s">
        <v>17</v>
      </c>
      <c r="I12" s="1617" t="s">
        <v>17</v>
      </c>
    </row>
    <row r="13" spans="1:9" ht="11.25" customHeight="1">
      <c r="A13" s="1617" t="s">
        <v>147</v>
      </c>
      <c r="B13" s="1617" t="s">
        <v>3856</v>
      </c>
      <c r="C13" s="1617" t="s">
        <v>17</v>
      </c>
      <c r="D13" s="1617" t="s">
        <v>3857</v>
      </c>
      <c r="E13" s="1617" t="s">
        <v>3855</v>
      </c>
      <c r="F13" s="1617" t="s">
        <v>17</v>
      </c>
      <c r="G13" s="1617" t="s">
        <v>17</v>
      </c>
      <c r="H13" s="1617" t="s">
        <v>17</v>
      </c>
      <c r="I13" s="1617" t="s">
        <v>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
  <sheetViews>
    <sheetView showGridLines="0" workbookViewId="0"/>
  </sheetViews>
  <sheetFormatPr defaultColWidth="9.140625" defaultRowHeight="11.25" customHeight="1"/>
  <cols>
    <col min="1" max="2" width="9.140625" style="120"/>
  </cols>
  <sheetData>
    <row r="1" spans="1:2" ht="11.25" customHeight="1">
      <c r="A1" s="120" t="s">
        <v>236</v>
      </c>
      <c r="B1" s="120" t="s">
        <v>3858</v>
      </c>
    </row>
    <row r="2" spans="1:2" ht="11.25" customHeight="1">
      <c r="A2" s="120" t="s">
        <v>89</v>
      </c>
      <c r="B2" s="120" t="s">
        <v>3859</v>
      </c>
    </row>
    <row r="3" spans="1:2" ht="11.25" customHeight="1">
      <c r="A3" s="120" t="s">
        <v>97</v>
      </c>
      <c r="B3" s="120" t="s">
        <v>3860</v>
      </c>
    </row>
    <row r="4" spans="1:2" ht="11.25" customHeight="1">
      <c r="A4" s="120" t="s">
        <v>100</v>
      </c>
      <c r="B4" s="120" t="s">
        <v>3861</v>
      </c>
    </row>
    <row r="5" spans="1:2" ht="11.25" customHeight="1">
      <c r="A5" s="120" t="s">
        <v>104</v>
      </c>
      <c r="B5" s="120" t="s">
        <v>3862</v>
      </c>
    </row>
    <row r="6" spans="1:2" ht="11.25" customHeight="1">
      <c r="A6" s="120" t="s">
        <v>110</v>
      </c>
      <c r="B6" s="120" t="s">
        <v>3863</v>
      </c>
    </row>
    <row r="7" spans="1:2" ht="11.25" customHeight="1">
      <c r="A7" s="120" t="s">
        <v>114</v>
      </c>
      <c r="B7" s="120" t="s">
        <v>3864</v>
      </c>
    </row>
    <row r="8" spans="1:2" ht="11.25" customHeight="1">
      <c r="A8" s="120" t="s">
        <v>119</v>
      </c>
      <c r="B8" s="120" t="s">
        <v>3865</v>
      </c>
    </row>
    <row r="9" spans="1:2" ht="11.25" customHeight="1">
      <c r="A9" s="120" t="s">
        <v>123</v>
      </c>
      <c r="B9" s="120" t="s">
        <v>3866</v>
      </c>
    </row>
    <row r="10" spans="1:2" ht="11.25" customHeight="1">
      <c r="A10" s="120" t="s">
        <v>129</v>
      </c>
      <c r="B10" s="120" t="s">
        <v>3867</v>
      </c>
    </row>
    <row r="11" spans="1:2" ht="11.25" customHeight="1">
      <c r="A11" s="120" t="s">
        <v>134</v>
      </c>
      <c r="B11" s="120" t="s">
        <v>3868</v>
      </c>
    </row>
    <row r="12" spans="1:2" ht="11.25" customHeight="1">
      <c r="A12" s="120" t="s">
        <v>139</v>
      </c>
      <c r="B12" s="120" t="s">
        <v>3869</v>
      </c>
    </row>
    <row r="13" spans="1:2" ht="11.25" customHeight="1">
      <c r="A13" s="120" t="s">
        <v>148</v>
      </c>
      <c r="B13" s="120" t="s">
        <v>3870</v>
      </c>
    </row>
    <row r="14" spans="1:2" ht="11.25" customHeight="1">
      <c r="A14" s="120" t="s">
        <v>149</v>
      </c>
      <c r="B14" s="120" t="s">
        <v>3871</v>
      </c>
    </row>
    <row r="15" spans="1:2" ht="11.25" customHeight="1">
      <c r="A15" s="120" t="s">
        <v>155</v>
      </c>
      <c r="B15" s="120" t="s">
        <v>3872</v>
      </c>
    </row>
    <row r="16" spans="1:2" ht="11.25" customHeight="1">
      <c r="A16" s="120" t="s">
        <v>161</v>
      </c>
      <c r="B16" s="120" t="s">
        <v>3873</v>
      </c>
    </row>
    <row r="17" spans="1:2" ht="11.25" customHeight="1">
      <c r="A17" s="120" t="s">
        <v>166</v>
      </c>
      <c r="B17" s="120" t="s">
        <v>3874</v>
      </c>
    </row>
    <row r="18" spans="1:2" ht="11.25" customHeight="1">
      <c r="A18" s="120" t="s">
        <v>172</v>
      </c>
      <c r="B18" s="120" t="s">
        <v>3875</v>
      </c>
    </row>
    <row r="19" spans="1:2" ht="11.25" customHeight="1">
      <c r="A19" s="120" t="s">
        <v>177</v>
      </c>
      <c r="B19" s="120" t="s">
        <v>3876</v>
      </c>
    </row>
    <row r="20" spans="1:2" ht="11.25" customHeight="1">
      <c r="A20" s="120" t="s">
        <v>183</v>
      </c>
      <c r="B20" s="120" t="s">
        <v>3877</v>
      </c>
    </row>
    <row r="21" spans="1:2" ht="11.25" customHeight="1">
      <c r="A21" s="120" t="s">
        <v>188</v>
      </c>
      <c r="B21" s="120" t="s">
        <v>3878</v>
      </c>
    </row>
    <row r="22" spans="1:2" ht="11.25" customHeight="1">
      <c r="A22" s="120" t="s">
        <v>193</v>
      </c>
      <c r="B22" s="120" t="s">
        <v>3879</v>
      </c>
    </row>
    <row r="23" spans="1:2" ht="11.25" customHeight="1">
      <c r="A23" s="120" t="s">
        <v>198</v>
      </c>
      <c r="B23" s="120" t="s">
        <v>3880</v>
      </c>
    </row>
    <row r="24" spans="1:2" ht="11.25" customHeight="1">
      <c r="A24" s="120" t="s">
        <v>203</v>
      </c>
      <c r="B24" s="120" t="s">
        <v>3881</v>
      </c>
    </row>
    <row r="25" spans="1:2" ht="11.25" customHeight="1">
      <c r="A25" s="120" t="s">
        <v>208</v>
      </c>
      <c r="B25" s="120" t="s">
        <v>3882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8" hidden="1" customWidth="1"/>
    <col min="2" max="2" width="9.140625" style="1561" hidden="1" customWidth="1"/>
    <col min="3" max="3" width="3" style="1739"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17"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3935" t="s">
        <v>581</v>
      </c>
      <c r="I1" s="23935"/>
      <c r="V1" s="1533" t="s">
        <v>1</v>
      </c>
    </row>
    <row r="2" spans="1:22" s="1561" customFormat="1" ht="14.25" hidden="1" customHeight="1">
      <c r="C2" s="1545"/>
      <c r="D2" s="24070" t="s">
        <v>218</v>
      </c>
      <c r="E2" s="24072"/>
      <c r="F2" s="1551"/>
      <c r="G2" s="1546" t="s">
        <v>218</v>
      </c>
      <c r="H2" s="1549"/>
      <c r="I2" s="1547"/>
      <c r="L2" s="1548"/>
      <c r="M2" s="1548"/>
      <c r="N2" s="1548"/>
      <c r="O2" s="1548" t="s">
        <v>611</v>
      </c>
      <c r="P2" s="1548"/>
      <c r="Q2" s="1548"/>
      <c r="R2" s="1550" t="s">
        <v>610</v>
      </c>
      <c r="S2" s="1550" t="s">
        <v>610</v>
      </c>
      <c r="T2" s="1548"/>
      <c r="U2" s="1548"/>
      <c r="V2" s="1544">
        <v>0</v>
      </c>
    </row>
    <row r="3" spans="1:22" s="1561" customFormat="1" ht="14.25" hidden="1" customHeight="1">
      <c r="C3" s="1545"/>
      <c r="D3" s="24071"/>
      <c r="E3" s="24073"/>
      <c r="F3" s="341"/>
      <c r="G3" s="799"/>
      <c r="H3" s="799" t="s">
        <v>612</v>
      </c>
      <c r="I3" s="249"/>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585</v>
      </c>
      <c r="I5" s="638"/>
      <c r="J5" s="638"/>
      <c r="L5" s="1540"/>
      <c r="M5" s="1540"/>
      <c r="N5" s="1540"/>
      <c r="O5" s="1540"/>
      <c r="P5" s="1540"/>
      <c r="Q5" s="1540"/>
      <c r="R5" s="1540"/>
      <c r="S5" s="1540"/>
      <c r="T5" s="1540"/>
      <c r="U5" s="1540"/>
      <c r="V5" s="1539">
        <v>5</v>
      </c>
    </row>
    <row r="6" spans="1:22" ht="29.25" customHeight="1">
      <c r="C6" s="1442"/>
      <c r="D6" s="24069" t="s">
        <v>613</v>
      </c>
      <c r="E6" s="24069"/>
      <c r="F6" s="24069"/>
      <c r="G6" s="24069"/>
      <c r="H6" s="24069"/>
      <c r="I6" s="24069"/>
      <c r="J6" s="427"/>
      <c r="K6" s="1541"/>
      <c r="V6" s="1533">
        <v>28</v>
      </c>
    </row>
    <row r="7" spans="1:22" ht="18" customHeight="1">
      <c r="C7" s="1442"/>
      <c r="D7" s="24042" t="str">
        <f>IF(org=0,"Не определено",org)</f>
        <v>ООО "Смоленскрегионтеплоэнерго"</v>
      </c>
      <c r="E7" s="24042"/>
      <c r="F7" s="24042"/>
      <c r="G7" s="24042"/>
      <c r="H7" s="24042"/>
      <c r="I7" s="24042"/>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4055" t="s">
        <v>529</v>
      </c>
      <c r="E10" s="24067"/>
      <c r="F10" s="24067"/>
      <c r="G10" s="24067"/>
      <c r="H10" s="24067"/>
      <c r="I10" s="24067"/>
      <c r="J10" s="24009" t="s">
        <v>530</v>
      </c>
      <c r="V10" s="1533">
        <v>14</v>
      </c>
    </row>
    <row r="11" spans="1:22" ht="27.4" customHeight="1">
      <c r="C11" s="1442"/>
      <c r="D11" s="23947" t="s">
        <v>79</v>
      </c>
      <c r="E11" s="24009" t="s">
        <v>214</v>
      </c>
      <c r="F11" s="24023" t="s">
        <v>79</v>
      </c>
      <c r="G11" s="24024"/>
      <c r="H11" s="24022" t="s">
        <v>614</v>
      </c>
      <c r="I11" s="24022" t="s">
        <v>615</v>
      </c>
      <c r="J11" s="24009"/>
      <c r="V11" s="1533">
        <v>26</v>
      </c>
    </row>
    <row r="12" spans="1:22" ht="14.65" customHeight="1">
      <c r="C12" s="1442"/>
      <c r="D12" s="23947"/>
      <c r="E12" s="24009"/>
      <c r="F12" s="24028"/>
      <c r="G12" s="24029"/>
      <c r="H12" s="24074"/>
      <c r="I12" s="24074"/>
      <c r="J12" s="24009"/>
      <c r="V12" s="1533">
        <v>14</v>
      </c>
    </row>
    <row r="13" spans="1:22" s="1567" customFormat="1" ht="11.25" hidden="1" customHeight="1">
      <c r="C13" s="434"/>
      <c r="D13" s="435" t="s">
        <v>605</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4070" t="s">
        <v>218</v>
      </c>
      <c r="E14" s="24072"/>
      <c r="F14" s="1543"/>
      <c r="G14" s="1542" t="s">
        <v>218</v>
      </c>
      <c r="H14" s="1549"/>
      <c r="I14" s="1547"/>
      <c r="J14" s="23996" t="s">
        <v>616</v>
      </c>
      <c r="K14" s="1533"/>
      <c r="R14" s="436" t="s">
        <v>610</v>
      </c>
      <c r="S14" s="436" t="s">
        <v>610</v>
      </c>
      <c r="V14" s="1533">
        <v>14</v>
      </c>
    </row>
    <row r="15" spans="1:22" ht="14.65" customHeight="1">
      <c r="A15" s="1533"/>
      <c r="C15" s="1442"/>
      <c r="D15" s="24071"/>
      <c r="E15" s="24073"/>
      <c r="F15" s="341"/>
      <c r="G15" s="799"/>
      <c r="H15" s="799" t="s">
        <v>612</v>
      </c>
      <c r="I15" s="249"/>
      <c r="J15" s="23997"/>
      <c r="K15" s="1533"/>
      <c r="R15" s="436"/>
      <c r="S15" s="436"/>
      <c r="V15" s="1533">
        <v>14</v>
      </c>
    </row>
    <row r="16" spans="1:22" ht="14.65" customHeight="1">
      <c r="A16" s="1533"/>
      <c r="C16" s="1442"/>
      <c r="D16" s="341"/>
      <c r="E16" s="799" t="s">
        <v>227</v>
      </c>
      <c r="F16" s="249"/>
      <c r="G16" s="249"/>
      <c r="H16" s="342"/>
      <c r="I16" s="342"/>
      <c r="J16" s="23998"/>
      <c r="K16" s="1533"/>
      <c r="V16" s="1533">
        <v>14</v>
      </c>
    </row>
    <row r="17" spans="1:22" ht="14.65" customHeight="1">
      <c r="K17" s="1533"/>
      <c r="V17" s="1533">
        <v>14</v>
      </c>
    </row>
    <row r="18" spans="1:22" ht="22.5" hidden="1" customHeight="1">
      <c r="A18" s="1534" t="s">
        <v>73</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3883</v>
      </c>
      <c r="B1" s="765" t="s">
        <v>3884</v>
      </c>
    </row>
    <row r="2" spans="1:2" ht="11.25" customHeight="1">
      <c r="A2" s="765">
        <v>4213775</v>
      </c>
      <c r="B2" s="765" t="s">
        <v>1469</v>
      </c>
    </row>
    <row r="3" spans="1:2" ht="11.25" customHeight="1">
      <c r="A3" s="765">
        <v>4213784</v>
      </c>
      <c r="B3" s="765" t="s">
        <v>1503</v>
      </c>
    </row>
    <row r="4" spans="1:2" ht="11.25" customHeight="1">
      <c r="A4" s="765">
        <v>4213781</v>
      </c>
      <c r="B4" s="765" t="s">
        <v>1496</v>
      </c>
    </row>
    <row r="5" spans="1:2" ht="11.25" customHeight="1">
      <c r="A5" s="765">
        <v>4213776</v>
      </c>
      <c r="B5" s="765" t="s">
        <v>266</v>
      </c>
    </row>
    <row r="6" spans="1:2" ht="11.25" customHeight="1">
      <c r="A6" s="765">
        <v>4213777</v>
      </c>
      <c r="B6" s="765" t="s">
        <v>272</v>
      </c>
    </row>
    <row r="7" spans="1:2" ht="11.25" customHeight="1">
      <c r="A7" s="765">
        <v>4213778</v>
      </c>
      <c r="B7" s="765" t="s">
        <v>278</v>
      </c>
    </row>
    <row r="8" spans="1:2" ht="11.25" customHeight="1">
      <c r="A8" s="765">
        <v>4213780</v>
      </c>
      <c r="B8" s="765" t="s">
        <v>284</v>
      </c>
    </row>
    <row r="9" spans="1:2" ht="11.25" customHeight="1">
      <c r="A9" s="765">
        <v>4213779</v>
      </c>
      <c r="B9" s="765" t="s">
        <v>1636</v>
      </c>
    </row>
    <row r="10" spans="1:2" ht="11.25" customHeight="1">
      <c r="A10" s="765">
        <v>4213783</v>
      </c>
      <c r="B10" s="765" t="s">
        <v>1651</v>
      </c>
    </row>
    <row r="11" spans="1:2" ht="11.25" customHeight="1">
      <c r="A11" s="765">
        <v>4213782</v>
      </c>
      <c r="B11" s="765" t="s">
        <v>290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3883</v>
      </c>
      <c r="B1" s="765" t="s">
        <v>3885</v>
      </c>
    </row>
    <row r="2" spans="1:2" ht="11.25" customHeight="1">
      <c r="A2" s="765" t="s">
        <v>3886</v>
      </c>
      <c r="B2" s="765" t="s">
        <v>1747</v>
      </c>
    </row>
    <row r="3" spans="1:2" ht="11.25" customHeight="1">
      <c r="A3" s="765" t="s">
        <v>3887</v>
      </c>
      <c r="B3" s="765" t="s">
        <v>1756</v>
      </c>
    </row>
    <row r="4" spans="1:2" ht="11.25" customHeight="1">
      <c r="A4" s="765" t="s">
        <v>3888</v>
      </c>
      <c r="B4" s="765" t="s">
        <v>1764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83"/>
  <sheetViews>
    <sheetView showGridLines="0" workbookViewId="0"/>
  </sheetViews>
  <sheetFormatPr defaultRowHeight="11.25" customHeight="1"/>
  <sheetData>
    <row r="1" spans="1:7" ht="11.25" customHeight="1">
      <c r="A1" s="309" t="s">
        <v>3329</v>
      </c>
      <c r="B1" s="309" t="s">
        <v>3330</v>
      </c>
      <c r="C1" s="309" t="s">
        <v>3331</v>
      </c>
      <c r="D1" s="309" t="s">
        <v>3332</v>
      </c>
      <c r="E1" t="s">
        <v>3333</v>
      </c>
      <c r="F1" t="s">
        <v>3334</v>
      </c>
      <c r="G1" t="s">
        <v>3335</v>
      </c>
    </row>
    <row r="2" spans="1:7" ht="11.25" customHeight="1">
      <c r="A2" t="s">
        <v>3</v>
      </c>
      <c r="B2" t="s">
        <v>3339</v>
      </c>
      <c r="C2" t="s">
        <v>3340</v>
      </c>
      <c r="D2" t="s">
        <v>3339</v>
      </c>
      <c r="E2" t="s">
        <v>3340</v>
      </c>
      <c r="F2" t="s">
        <v>3341</v>
      </c>
      <c r="G2" t="s">
        <v>218</v>
      </c>
    </row>
    <row r="3" spans="1:7" ht="11.25" customHeight="1">
      <c r="A3" t="s">
        <v>3</v>
      </c>
      <c r="B3" t="s">
        <v>3339</v>
      </c>
      <c r="C3" t="s">
        <v>3340</v>
      </c>
      <c r="D3" t="s">
        <v>3342</v>
      </c>
      <c r="E3" t="s">
        <v>3343</v>
      </c>
      <c r="F3" t="s">
        <v>3344</v>
      </c>
      <c r="G3" t="s">
        <v>95</v>
      </c>
    </row>
    <row r="4" spans="1:7" ht="11.25" customHeight="1">
      <c r="A4" t="s">
        <v>3</v>
      </c>
      <c r="B4" t="s">
        <v>3339</v>
      </c>
      <c r="C4" t="s">
        <v>3340</v>
      </c>
      <c r="D4" t="s">
        <v>3345</v>
      </c>
      <c r="E4" t="s">
        <v>3346</v>
      </c>
      <c r="F4" t="s">
        <v>3347</v>
      </c>
      <c r="G4" t="s">
        <v>81</v>
      </c>
    </row>
    <row r="5" spans="1:7" ht="11.25" customHeight="1">
      <c r="A5" t="s">
        <v>3</v>
      </c>
      <c r="B5" t="s">
        <v>3339</v>
      </c>
      <c r="C5" t="s">
        <v>3340</v>
      </c>
      <c r="D5" t="s">
        <v>3348</v>
      </c>
      <c r="E5" t="s">
        <v>3349</v>
      </c>
      <c r="F5" t="s">
        <v>3347</v>
      </c>
      <c r="G5" t="s">
        <v>82</v>
      </c>
    </row>
    <row r="6" spans="1:7" ht="11.25" customHeight="1">
      <c r="A6" t="s">
        <v>3</v>
      </c>
      <c r="B6" t="s">
        <v>3339</v>
      </c>
      <c r="C6" t="s">
        <v>3340</v>
      </c>
      <c r="D6" t="s">
        <v>3350</v>
      </c>
      <c r="E6" t="s">
        <v>3351</v>
      </c>
      <c r="F6" t="s">
        <v>3347</v>
      </c>
      <c r="G6" t="s">
        <v>109</v>
      </c>
    </row>
    <row r="7" spans="1:7" ht="11.25" customHeight="1">
      <c r="A7" t="s">
        <v>3</v>
      </c>
      <c r="B7" t="s">
        <v>91</v>
      </c>
      <c r="C7" t="s">
        <v>3354</v>
      </c>
      <c r="D7" t="s">
        <v>98</v>
      </c>
      <c r="E7" t="s">
        <v>99</v>
      </c>
      <c r="F7" t="s">
        <v>3347</v>
      </c>
      <c r="G7" t="s">
        <v>83</v>
      </c>
    </row>
    <row r="8" spans="1:7" ht="11.25" customHeight="1">
      <c r="A8" t="s">
        <v>3</v>
      </c>
      <c r="B8" t="s">
        <v>91</v>
      </c>
      <c r="C8" t="s">
        <v>3354</v>
      </c>
      <c r="D8" t="s">
        <v>91</v>
      </c>
      <c r="E8" t="s">
        <v>3354</v>
      </c>
      <c r="F8" t="s">
        <v>3341</v>
      </c>
      <c r="G8" t="s">
        <v>84</v>
      </c>
    </row>
    <row r="9" spans="1:7" ht="11.25" customHeight="1">
      <c r="A9" t="s">
        <v>3</v>
      </c>
      <c r="B9" t="s">
        <v>91</v>
      </c>
      <c r="C9" t="s">
        <v>3354</v>
      </c>
      <c r="D9" t="s">
        <v>92</v>
      </c>
      <c r="E9" t="s">
        <v>93</v>
      </c>
      <c r="F9" t="s">
        <v>3344</v>
      </c>
      <c r="G9" t="s">
        <v>90</v>
      </c>
    </row>
    <row r="10" spans="1:7" ht="11.25" customHeight="1">
      <c r="A10" t="s">
        <v>3</v>
      </c>
      <c r="B10" t="s">
        <v>91</v>
      </c>
      <c r="C10" t="s">
        <v>3354</v>
      </c>
      <c r="D10" t="s">
        <v>3355</v>
      </c>
      <c r="E10" t="s">
        <v>3356</v>
      </c>
      <c r="F10" t="s">
        <v>3347</v>
      </c>
      <c r="G10" t="s">
        <v>128</v>
      </c>
    </row>
    <row r="11" spans="1:7" ht="11.25" customHeight="1">
      <c r="A11" t="s">
        <v>3</v>
      </c>
      <c r="B11" t="s">
        <v>91</v>
      </c>
      <c r="C11" t="s">
        <v>3354</v>
      </c>
      <c r="D11" t="s">
        <v>3357</v>
      </c>
      <c r="E11" t="s">
        <v>3358</v>
      </c>
      <c r="F11" t="s">
        <v>3347</v>
      </c>
      <c r="G11" t="s">
        <v>133</v>
      </c>
    </row>
    <row r="12" spans="1:7" ht="11.25" customHeight="1">
      <c r="A12" t="s">
        <v>3</v>
      </c>
      <c r="B12" t="s">
        <v>91</v>
      </c>
      <c r="C12" t="s">
        <v>3354</v>
      </c>
      <c r="D12" t="s">
        <v>3359</v>
      </c>
      <c r="E12" t="s">
        <v>3360</v>
      </c>
      <c r="F12" t="s">
        <v>3347</v>
      </c>
      <c r="G12" t="s">
        <v>138</v>
      </c>
    </row>
    <row r="13" spans="1:7" ht="11.25" customHeight="1">
      <c r="A13" t="s">
        <v>3</v>
      </c>
      <c r="B13" t="s">
        <v>91</v>
      </c>
      <c r="C13" t="s">
        <v>3354</v>
      </c>
      <c r="D13" t="s">
        <v>3361</v>
      </c>
      <c r="E13" t="s">
        <v>3362</v>
      </c>
      <c r="F13" t="s">
        <v>3347</v>
      </c>
      <c r="G13" t="s">
        <v>147</v>
      </c>
    </row>
    <row r="14" spans="1:7" ht="11.25" customHeight="1">
      <c r="A14" t="s">
        <v>3</v>
      </c>
      <c r="B14" t="s">
        <v>91</v>
      </c>
      <c r="C14" t="s">
        <v>3354</v>
      </c>
      <c r="D14" t="s">
        <v>102</v>
      </c>
      <c r="E14" t="s">
        <v>103</v>
      </c>
      <c r="F14" t="s">
        <v>3347</v>
      </c>
      <c r="G14" t="s">
        <v>101</v>
      </c>
    </row>
    <row r="15" spans="1:7" ht="11.25" customHeight="1">
      <c r="A15" t="s">
        <v>3</v>
      </c>
      <c r="B15" t="s">
        <v>91</v>
      </c>
      <c r="C15" t="s">
        <v>3354</v>
      </c>
      <c r="D15" t="s">
        <v>3363</v>
      </c>
      <c r="E15" t="s">
        <v>3364</v>
      </c>
      <c r="F15" t="s">
        <v>3347</v>
      </c>
      <c r="G15" t="s">
        <v>154</v>
      </c>
    </row>
    <row r="16" spans="1:7" ht="11.25" customHeight="1">
      <c r="A16" t="s">
        <v>3</v>
      </c>
      <c r="B16" t="s">
        <v>106</v>
      </c>
      <c r="C16" t="s">
        <v>3367</v>
      </c>
      <c r="D16" t="s">
        <v>106</v>
      </c>
      <c r="E16" t="s">
        <v>3367</v>
      </c>
      <c r="F16" t="s">
        <v>3341</v>
      </c>
      <c r="G16" t="s">
        <v>160</v>
      </c>
    </row>
    <row r="17" spans="1:7" ht="11.25" customHeight="1">
      <c r="A17" t="s">
        <v>3</v>
      </c>
      <c r="B17" t="s">
        <v>106</v>
      </c>
      <c r="C17" t="s">
        <v>3367</v>
      </c>
      <c r="D17" t="s">
        <v>107</v>
      </c>
      <c r="E17" t="s">
        <v>108</v>
      </c>
      <c r="F17" t="s">
        <v>3344</v>
      </c>
      <c r="G17" t="s">
        <v>105</v>
      </c>
    </row>
    <row r="18" spans="1:7" ht="11.25" customHeight="1">
      <c r="A18" t="s">
        <v>3</v>
      </c>
      <c r="B18" t="s">
        <v>106</v>
      </c>
      <c r="C18" t="s">
        <v>3367</v>
      </c>
      <c r="D18" t="s">
        <v>3368</v>
      </c>
      <c r="E18" t="s">
        <v>3369</v>
      </c>
      <c r="F18" t="s">
        <v>3347</v>
      </c>
      <c r="G18" t="s">
        <v>171</v>
      </c>
    </row>
    <row r="19" spans="1:7" ht="11.25" customHeight="1">
      <c r="A19" t="s">
        <v>3</v>
      </c>
      <c r="B19" t="s">
        <v>106</v>
      </c>
      <c r="C19" t="s">
        <v>3367</v>
      </c>
      <c r="D19" t="s">
        <v>112</v>
      </c>
      <c r="E19" t="s">
        <v>113</v>
      </c>
      <c r="F19" t="s">
        <v>3347</v>
      </c>
      <c r="G19" t="s">
        <v>111</v>
      </c>
    </row>
    <row r="20" spans="1:7" ht="11.25" customHeight="1">
      <c r="A20" t="s">
        <v>3</v>
      </c>
      <c r="B20" t="s">
        <v>106</v>
      </c>
      <c r="C20" t="s">
        <v>3367</v>
      </c>
      <c r="D20" t="s">
        <v>3370</v>
      </c>
      <c r="E20" t="s">
        <v>3371</v>
      </c>
      <c r="F20" t="s">
        <v>3347</v>
      </c>
      <c r="G20" t="s">
        <v>182</v>
      </c>
    </row>
    <row r="21" spans="1:7" ht="11.25" customHeight="1">
      <c r="A21" t="s">
        <v>3</v>
      </c>
      <c r="B21" t="s">
        <v>3374</v>
      </c>
      <c r="C21" t="s">
        <v>3375</v>
      </c>
      <c r="D21" t="s">
        <v>3376</v>
      </c>
      <c r="E21" t="s">
        <v>3377</v>
      </c>
      <c r="F21" t="s">
        <v>3347</v>
      </c>
      <c r="G21" t="s">
        <v>187</v>
      </c>
    </row>
    <row r="22" spans="1:7" ht="11.25" customHeight="1">
      <c r="A22" t="s">
        <v>3</v>
      </c>
      <c r="B22" t="s">
        <v>3374</v>
      </c>
      <c r="C22" t="s">
        <v>3375</v>
      </c>
      <c r="D22" t="s">
        <v>3374</v>
      </c>
      <c r="E22" t="s">
        <v>3375</v>
      </c>
      <c r="F22" t="s">
        <v>3341</v>
      </c>
      <c r="G22" t="s">
        <v>192</v>
      </c>
    </row>
    <row r="23" spans="1:7" ht="11.25" customHeight="1">
      <c r="A23" t="s">
        <v>3</v>
      </c>
      <c r="B23" t="s">
        <v>3374</v>
      </c>
      <c r="C23" t="s">
        <v>3375</v>
      </c>
      <c r="D23" t="s">
        <v>3378</v>
      </c>
      <c r="E23" t="s">
        <v>3379</v>
      </c>
      <c r="F23" t="s">
        <v>3347</v>
      </c>
      <c r="G23" t="s">
        <v>197</v>
      </c>
    </row>
    <row r="24" spans="1:7" ht="11.25" customHeight="1">
      <c r="A24" t="s">
        <v>3</v>
      </c>
      <c r="B24" t="s">
        <v>3374</v>
      </c>
      <c r="C24" t="s">
        <v>3375</v>
      </c>
      <c r="D24" t="s">
        <v>3380</v>
      </c>
      <c r="E24" t="s">
        <v>3381</v>
      </c>
      <c r="F24" t="s">
        <v>3347</v>
      </c>
      <c r="G24" t="s">
        <v>202</v>
      </c>
    </row>
    <row r="25" spans="1:7" ht="11.25" customHeight="1">
      <c r="A25" t="s">
        <v>3</v>
      </c>
      <c r="B25" t="s">
        <v>3382</v>
      </c>
      <c r="C25" t="s">
        <v>3383</v>
      </c>
      <c r="D25" t="s">
        <v>3382</v>
      </c>
      <c r="E25" t="s">
        <v>3383</v>
      </c>
      <c r="F25" t="s">
        <v>3384</v>
      </c>
      <c r="G25" t="s">
        <v>207</v>
      </c>
    </row>
    <row r="26" spans="1:7" ht="11.25" customHeight="1">
      <c r="A26" t="s">
        <v>3</v>
      </c>
      <c r="B26" t="s">
        <v>3385</v>
      </c>
      <c r="C26" t="s">
        <v>3386</v>
      </c>
      <c r="D26" t="s">
        <v>3385</v>
      </c>
      <c r="E26" t="s">
        <v>3386</v>
      </c>
      <c r="F26" t="s">
        <v>3384</v>
      </c>
      <c r="G26" t="s">
        <v>1796</v>
      </c>
    </row>
    <row r="27" spans="1:7" ht="11.25" customHeight="1">
      <c r="A27" t="s">
        <v>3</v>
      </c>
      <c r="B27" t="s">
        <v>3389</v>
      </c>
      <c r="C27" t="s">
        <v>3390</v>
      </c>
      <c r="D27" t="s">
        <v>3391</v>
      </c>
      <c r="E27" t="s">
        <v>3392</v>
      </c>
      <c r="F27" t="s">
        <v>3347</v>
      </c>
      <c r="G27" t="s">
        <v>1801</v>
      </c>
    </row>
    <row r="28" spans="1:7" ht="11.25" customHeight="1">
      <c r="A28" t="s">
        <v>3</v>
      </c>
      <c r="B28" t="s">
        <v>3389</v>
      </c>
      <c r="C28" t="s">
        <v>3390</v>
      </c>
      <c r="D28" t="s">
        <v>3389</v>
      </c>
      <c r="E28" t="s">
        <v>3390</v>
      </c>
      <c r="F28" t="s">
        <v>3341</v>
      </c>
      <c r="G28" t="s">
        <v>1809</v>
      </c>
    </row>
    <row r="29" spans="1:7" ht="11.25" customHeight="1">
      <c r="A29" t="s">
        <v>3</v>
      </c>
      <c r="B29" t="s">
        <v>3389</v>
      </c>
      <c r="C29" t="s">
        <v>3390</v>
      </c>
      <c r="D29" t="s">
        <v>3393</v>
      </c>
      <c r="E29" t="s">
        <v>3394</v>
      </c>
      <c r="F29" t="s">
        <v>3344</v>
      </c>
      <c r="G29" t="s">
        <v>1811</v>
      </c>
    </row>
    <row r="30" spans="1:7" ht="11.25" customHeight="1">
      <c r="A30" t="s">
        <v>3</v>
      </c>
      <c r="B30" t="s">
        <v>3389</v>
      </c>
      <c r="C30" t="s">
        <v>3390</v>
      </c>
      <c r="D30" t="s">
        <v>3395</v>
      </c>
      <c r="E30" t="s">
        <v>3396</v>
      </c>
      <c r="F30" t="s">
        <v>3347</v>
      </c>
      <c r="G30" t="s">
        <v>1814</v>
      </c>
    </row>
    <row r="31" spans="1:7" ht="11.25" customHeight="1">
      <c r="A31" t="s">
        <v>3</v>
      </c>
      <c r="B31" t="s">
        <v>3389</v>
      </c>
      <c r="C31" t="s">
        <v>3390</v>
      </c>
      <c r="D31" t="s">
        <v>3397</v>
      </c>
      <c r="E31" t="s">
        <v>3398</v>
      </c>
      <c r="F31" t="s">
        <v>3399</v>
      </c>
      <c r="G31" t="s">
        <v>1819</v>
      </c>
    </row>
    <row r="32" spans="1:7" ht="11.25" customHeight="1">
      <c r="A32" t="s">
        <v>3</v>
      </c>
      <c r="B32" t="s">
        <v>3389</v>
      </c>
      <c r="C32" t="s">
        <v>3390</v>
      </c>
      <c r="D32" t="s">
        <v>3400</v>
      </c>
      <c r="E32" t="s">
        <v>3401</v>
      </c>
      <c r="F32" t="s">
        <v>3347</v>
      </c>
      <c r="G32" t="s">
        <v>1821</v>
      </c>
    </row>
    <row r="33" spans="1:7" ht="11.25" customHeight="1">
      <c r="A33" t="s">
        <v>3</v>
      </c>
      <c r="B33" t="s">
        <v>3389</v>
      </c>
      <c r="C33" t="s">
        <v>3390</v>
      </c>
      <c r="D33" t="s">
        <v>3402</v>
      </c>
      <c r="E33" t="s">
        <v>3403</v>
      </c>
      <c r="F33" t="s">
        <v>3347</v>
      </c>
      <c r="G33" t="s">
        <v>1823</v>
      </c>
    </row>
    <row r="34" spans="1:7" ht="11.25" customHeight="1">
      <c r="A34" t="s">
        <v>3</v>
      </c>
      <c r="B34" t="s">
        <v>174</v>
      </c>
      <c r="C34" t="s">
        <v>3404</v>
      </c>
      <c r="D34" t="s">
        <v>3405</v>
      </c>
      <c r="E34" t="s">
        <v>3406</v>
      </c>
      <c r="F34" t="s">
        <v>3347</v>
      </c>
      <c r="G34" t="s">
        <v>1825</v>
      </c>
    </row>
    <row r="35" spans="1:7" ht="11.25" customHeight="1">
      <c r="A35" t="s">
        <v>3</v>
      </c>
      <c r="B35" t="s">
        <v>174</v>
      </c>
      <c r="C35" t="s">
        <v>3404</v>
      </c>
      <c r="D35" t="s">
        <v>3407</v>
      </c>
      <c r="E35" t="s">
        <v>3408</v>
      </c>
      <c r="F35" t="s">
        <v>3399</v>
      </c>
      <c r="G35" t="s">
        <v>1830</v>
      </c>
    </row>
    <row r="36" spans="1:7" ht="11.25" customHeight="1">
      <c r="A36" t="s">
        <v>3</v>
      </c>
      <c r="B36" t="s">
        <v>174</v>
      </c>
      <c r="C36" t="s">
        <v>3404</v>
      </c>
      <c r="D36" t="s">
        <v>174</v>
      </c>
      <c r="E36" t="s">
        <v>3404</v>
      </c>
      <c r="F36" t="s">
        <v>3341</v>
      </c>
      <c r="G36" t="s">
        <v>1835</v>
      </c>
    </row>
    <row r="37" spans="1:7" ht="11.25" customHeight="1">
      <c r="A37" t="s">
        <v>3</v>
      </c>
      <c r="B37" t="s">
        <v>174</v>
      </c>
      <c r="C37" t="s">
        <v>3404</v>
      </c>
      <c r="D37" t="s">
        <v>3409</v>
      </c>
      <c r="E37" t="s">
        <v>3410</v>
      </c>
      <c r="F37" t="s">
        <v>3344</v>
      </c>
      <c r="G37" t="s">
        <v>1839</v>
      </c>
    </row>
    <row r="38" spans="1:7" ht="11.25" customHeight="1">
      <c r="A38" t="s">
        <v>3</v>
      </c>
      <c r="B38" t="s">
        <v>174</v>
      </c>
      <c r="C38" t="s">
        <v>3404</v>
      </c>
      <c r="D38" t="s">
        <v>175</v>
      </c>
      <c r="E38" t="s">
        <v>176</v>
      </c>
      <c r="F38" t="s">
        <v>3347</v>
      </c>
      <c r="G38" t="s">
        <v>173</v>
      </c>
    </row>
    <row r="39" spans="1:7" ht="11.25" customHeight="1">
      <c r="A39" t="s">
        <v>3</v>
      </c>
      <c r="B39" t="s">
        <v>174</v>
      </c>
      <c r="C39" t="s">
        <v>3404</v>
      </c>
      <c r="D39" t="s">
        <v>3411</v>
      </c>
      <c r="E39" t="s">
        <v>3412</v>
      </c>
      <c r="F39" t="s">
        <v>3347</v>
      </c>
      <c r="G39" t="s">
        <v>199</v>
      </c>
    </row>
    <row r="40" spans="1:7" ht="11.25" customHeight="1">
      <c r="A40" t="s">
        <v>3</v>
      </c>
      <c r="B40" t="s">
        <v>3415</v>
      </c>
      <c r="C40" t="s">
        <v>3416</v>
      </c>
      <c r="D40" t="s">
        <v>3417</v>
      </c>
      <c r="E40" t="s">
        <v>3418</v>
      </c>
      <c r="F40" t="s">
        <v>3347</v>
      </c>
      <c r="G40" t="s">
        <v>1856</v>
      </c>
    </row>
    <row r="41" spans="1:7" ht="11.25" customHeight="1">
      <c r="A41" t="s">
        <v>3</v>
      </c>
      <c r="B41" t="s">
        <v>3415</v>
      </c>
      <c r="C41" t="s">
        <v>3416</v>
      </c>
      <c r="D41" t="s">
        <v>3415</v>
      </c>
      <c r="E41" t="s">
        <v>3416</v>
      </c>
      <c r="F41" t="s">
        <v>3341</v>
      </c>
      <c r="G41" t="s">
        <v>1860</v>
      </c>
    </row>
    <row r="42" spans="1:7" ht="11.25" customHeight="1">
      <c r="A42" t="s">
        <v>3</v>
      </c>
      <c r="B42" t="s">
        <v>3415</v>
      </c>
      <c r="C42" t="s">
        <v>3416</v>
      </c>
      <c r="D42" t="s">
        <v>3419</v>
      </c>
      <c r="E42" t="s">
        <v>3420</v>
      </c>
      <c r="F42" t="s">
        <v>3344</v>
      </c>
      <c r="G42" t="s">
        <v>1863</v>
      </c>
    </row>
    <row r="43" spans="1:7" ht="11.25" customHeight="1">
      <c r="A43" t="s">
        <v>3</v>
      </c>
      <c r="B43" t="s">
        <v>3415</v>
      </c>
      <c r="C43" t="s">
        <v>3416</v>
      </c>
      <c r="D43" t="s">
        <v>3421</v>
      </c>
      <c r="E43" t="s">
        <v>3422</v>
      </c>
      <c r="F43" t="s">
        <v>3399</v>
      </c>
      <c r="G43" t="s">
        <v>1870</v>
      </c>
    </row>
    <row r="44" spans="1:7" ht="11.25" customHeight="1">
      <c r="A44" t="s">
        <v>3</v>
      </c>
      <c r="B44" t="s">
        <v>3415</v>
      </c>
      <c r="C44" t="s">
        <v>3416</v>
      </c>
      <c r="D44" t="s">
        <v>3423</v>
      </c>
      <c r="E44" t="s">
        <v>3424</v>
      </c>
      <c r="F44" t="s">
        <v>3347</v>
      </c>
      <c r="G44" t="s">
        <v>1879</v>
      </c>
    </row>
    <row r="45" spans="1:7" ht="11.25" customHeight="1">
      <c r="A45" t="s">
        <v>3</v>
      </c>
      <c r="B45" t="s">
        <v>3415</v>
      </c>
      <c r="C45" t="s">
        <v>3416</v>
      </c>
      <c r="D45" t="s">
        <v>3425</v>
      </c>
      <c r="E45" t="s">
        <v>3426</v>
      </c>
      <c r="F45" t="s">
        <v>3347</v>
      </c>
      <c r="G45" t="s">
        <v>1884</v>
      </c>
    </row>
    <row r="46" spans="1:7" ht="11.25" customHeight="1">
      <c r="A46" t="s">
        <v>3</v>
      </c>
      <c r="B46" t="s">
        <v>151</v>
      </c>
      <c r="C46" t="s">
        <v>3429</v>
      </c>
      <c r="D46" t="s">
        <v>3430</v>
      </c>
      <c r="E46" t="s">
        <v>3431</v>
      </c>
      <c r="F46" t="s">
        <v>3347</v>
      </c>
      <c r="G46" t="s">
        <v>1888</v>
      </c>
    </row>
    <row r="47" spans="1:7" ht="11.25" customHeight="1">
      <c r="A47" t="s">
        <v>3</v>
      </c>
      <c r="B47" t="s">
        <v>151</v>
      </c>
      <c r="C47" t="s">
        <v>3429</v>
      </c>
      <c r="D47" t="s">
        <v>151</v>
      </c>
      <c r="E47" t="s">
        <v>3429</v>
      </c>
      <c r="F47" t="s">
        <v>3341</v>
      </c>
      <c r="G47" t="s">
        <v>1894</v>
      </c>
    </row>
    <row r="48" spans="1:7" ht="11.25" customHeight="1">
      <c r="A48" t="s">
        <v>3</v>
      </c>
      <c r="B48" t="s">
        <v>151</v>
      </c>
      <c r="C48" t="s">
        <v>3429</v>
      </c>
      <c r="D48" t="s">
        <v>152</v>
      </c>
      <c r="E48" t="s">
        <v>153</v>
      </c>
      <c r="F48" t="s">
        <v>3344</v>
      </c>
      <c r="G48" t="s">
        <v>150</v>
      </c>
    </row>
    <row r="49" spans="1:7" ht="11.25" customHeight="1">
      <c r="A49" t="s">
        <v>3</v>
      </c>
      <c r="B49" t="s">
        <v>151</v>
      </c>
      <c r="C49" t="s">
        <v>3429</v>
      </c>
      <c r="D49" t="s">
        <v>3432</v>
      </c>
      <c r="E49" t="s">
        <v>3433</v>
      </c>
      <c r="F49" t="s">
        <v>3347</v>
      </c>
      <c r="G49" t="s">
        <v>1901</v>
      </c>
    </row>
    <row r="50" spans="1:7" ht="11.25" customHeight="1">
      <c r="A50" t="s">
        <v>3</v>
      </c>
      <c r="B50" t="s">
        <v>151</v>
      </c>
      <c r="C50" t="s">
        <v>3429</v>
      </c>
      <c r="D50" t="s">
        <v>3434</v>
      </c>
      <c r="E50" t="s">
        <v>3435</v>
      </c>
      <c r="F50" t="s">
        <v>3347</v>
      </c>
      <c r="G50" t="s">
        <v>1905</v>
      </c>
    </row>
    <row r="51" spans="1:7" ht="11.25" customHeight="1">
      <c r="A51" t="s">
        <v>3</v>
      </c>
      <c r="B51" t="s">
        <v>3438</v>
      </c>
      <c r="C51" t="s">
        <v>3439</v>
      </c>
      <c r="D51" t="s">
        <v>3440</v>
      </c>
      <c r="E51" t="s">
        <v>3441</v>
      </c>
      <c r="F51" t="s">
        <v>3347</v>
      </c>
      <c r="G51" t="s">
        <v>1909</v>
      </c>
    </row>
    <row r="52" spans="1:7" ht="11.25" customHeight="1">
      <c r="A52" t="s">
        <v>3</v>
      </c>
      <c r="B52" t="s">
        <v>3438</v>
      </c>
      <c r="C52" t="s">
        <v>3439</v>
      </c>
      <c r="D52" t="s">
        <v>3438</v>
      </c>
      <c r="E52" t="s">
        <v>3439</v>
      </c>
      <c r="F52" t="s">
        <v>3341</v>
      </c>
      <c r="G52" t="s">
        <v>1913</v>
      </c>
    </row>
    <row r="53" spans="1:7" ht="11.25" customHeight="1">
      <c r="A53" t="s">
        <v>3</v>
      </c>
      <c r="B53" t="s">
        <v>3438</v>
      </c>
      <c r="C53" t="s">
        <v>3439</v>
      </c>
      <c r="D53" t="s">
        <v>3443</v>
      </c>
      <c r="E53" t="s">
        <v>3444</v>
      </c>
      <c r="F53" t="s">
        <v>3347</v>
      </c>
      <c r="G53" t="s">
        <v>1915</v>
      </c>
    </row>
    <row r="54" spans="1:7" ht="11.25" customHeight="1">
      <c r="A54" t="s">
        <v>3</v>
      </c>
      <c r="B54" t="s">
        <v>3438</v>
      </c>
      <c r="C54" t="s">
        <v>3439</v>
      </c>
      <c r="D54" t="s">
        <v>3446</v>
      </c>
      <c r="E54" t="s">
        <v>3447</v>
      </c>
      <c r="F54" t="s">
        <v>3347</v>
      </c>
      <c r="G54" t="s">
        <v>1918</v>
      </c>
    </row>
    <row r="55" spans="1:7" ht="11.25" customHeight="1">
      <c r="A55" t="s">
        <v>3</v>
      </c>
      <c r="B55" t="s">
        <v>3438</v>
      </c>
      <c r="C55" t="s">
        <v>3439</v>
      </c>
      <c r="D55" t="s">
        <v>3449</v>
      </c>
      <c r="E55" t="s">
        <v>3450</v>
      </c>
      <c r="F55" t="s">
        <v>3347</v>
      </c>
      <c r="G55" t="s">
        <v>1923</v>
      </c>
    </row>
    <row r="56" spans="1:7" ht="11.25" customHeight="1">
      <c r="A56" t="s">
        <v>3</v>
      </c>
      <c r="B56" t="s">
        <v>3455</v>
      </c>
      <c r="C56" t="s">
        <v>3456</v>
      </c>
      <c r="D56" t="s">
        <v>3457</v>
      </c>
      <c r="E56" t="s">
        <v>3458</v>
      </c>
      <c r="F56" t="s">
        <v>3347</v>
      </c>
      <c r="G56" t="s">
        <v>1926</v>
      </c>
    </row>
    <row r="57" spans="1:7" ht="11.25" customHeight="1">
      <c r="A57" t="s">
        <v>3</v>
      </c>
      <c r="B57" t="s">
        <v>3455</v>
      </c>
      <c r="C57" t="s">
        <v>3456</v>
      </c>
      <c r="D57" t="s">
        <v>3455</v>
      </c>
      <c r="E57" t="s">
        <v>3456</v>
      </c>
      <c r="F57" t="s">
        <v>3341</v>
      </c>
      <c r="G57" t="s">
        <v>1929</v>
      </c>
    </row>
    <row r="58" spans="1:7" ht="11.25" customHeight="1">
      <c r="A58" t="s">
        <v>3</v>
      </c>
      <c r="B58" t="s">
        <v>3455</v>
      </c>
      <c r="C58" t="s">
        <v>3456</v>
      </c>
      <c r="D58" t="s">
        <v>3460</v>
      </c>
      <c r="E58" t="s">
        <v>3461</v>
      </c>
      <c r="F58" t="s">
        <v>3399</v>
      </c>
      <c r="G58" t="s">
        <v>1932</v>
      </c>
    </row>
    <row r="59" spans="1:7" ht="11.25" customHeight="1">
      <c r="A59" t="s">
        <v>3</v>
      </c>
      <c r="B59" t="s">
        <v>3455</v>
      </c>
      <c r="C59" t="s">
        <v>3456</v>
      </c>
      <c r="D59" t="s">
        <v>3463</v>
      </c>
      <c r="E59" t="s">
        <v>3464</v>
      </c>
      <c r="F59" t="s">
        <v>3347</v>
      </c>
      <c r="G59" t="s">
        <v>1936</v>
      </c>
    </row>
    <row r="60" spans="1:7" ht="11.25" customHeight="1">
      <c r="A60" t="s">
        <v>3</v>
      </c>
      <c r="B60" t="s">
        <v>3455</v>
      </c>
      <c r="C60" t="s">
        <v>3456</v>
      </c>
      <c r="D60" t="s">
        <v>3465</v>
      </c>
      <c r="E60" t="s">
        <v>3466</v>
      </c>
      <c r="F60" t="s">
        <v>3347</v>
      </c>
      <c r="G60" t="s">
        <v>1939</v>
      </c>
    </row>
    <row r="61" spans="1:7" ht="11.25" customHeight="1">
      <c r="A61" t="s">
        <v>3</v>
      </c>
      <c r="B61" t="s">
        <v>3468</v>
      </c>
      <c r="C61" t="s">
        <v>3469</v>
      </c>
      <c r="D61" t="s">
        <v>3470</v>
      </c>
      <c r="E61" t="s">
        <v>3471</v>
      </c>
      <c r="F61" t="s">
        <v>3347</v>
      </c>
      <c r="G61" t="s">
        <v>3442</v>
      </c>
    </row>
    <row r="62" spans="1:7" ht="11.25" customHeight="1">
      <c r="A62" t="s">
        <v>3</v>
      </c>
      <c r="B62" t="s">
        <v>3468</v>
      </c>
      <c r="C62" t="s">
        <v>3469</v>
      </c>
      <c r="D62" t="s">
        <v>3468</v>
      </c>
      <c r="E62" t="s">
        <v>3469</v>
      </c>
      <c r="F62" t="s">
        <v>3341</v>
      </c>
      <c r="G62" t="s">
        <v>3445</v>
      </c>
    </row>
    <row r="63" spans="1:7" ht="11.25" customHeight="1">
      <c r="A63" t="s">
        <v>3</v>
      </c>
      <c r="B63" t="s">
        <v>3468</v>
      </c>
      <c r="C63" t="s">
        <v>3469</v>
      </c>
      <c r="D63" t="s">
        <v>3474</v>
      </c>
      <c r="E63" t="s">
        <v>3475</v>
      </c>
      <c r="F63" t="s">
        <v>3399</v>
      </c>
      <c r="G63" t="s">
        <v>3448</v>
      </c>
    </row>
    <row r="64" spans="1:7" ht="11.25" customHeight="1">
      <c r="A64" t="s">
        <v>3</v>
      </c>
      <c r="B64" t="s">
        <v>3468</v>
      </c>
      <c r="C64" t="s">
        <v>3469</v>
      </c>
      <c r="D64" t="s">
        <v>3477</v>
      </c>
      <c r="E64" t="s">
        <v>3478</v>
      </c>
      <c r="F64" t="s">
        <v>3347</v>
      </c>
      <c r="G64" t="s">
        <v>3451</v>
      </c>
    </row>
    <row r="65" spans="1:7" ht="11.25" customHeight="1">
      <c r="A65" t="s">
        <v>3</v>
      </c>
      <c r="B65" t="s">
        <v>3468</v>
      </c>
      <c r="C65" t="s">
        <v>3469</v>
      </c>
      <c r="D65" t="s">
        <v>3480</v>
      </c>
      <c r="E65" t="s">
        <v>3481</v>
      </c>
      <c r="F65" t="s">
        <v>3347</v>
      </c>
      <c r="G65" t="s">
        <v>3454</v>
      </c>
    </row>
    <row r="66" spans="1:7" ht="11.25" customHeight="1">
      <c r="A66" t="s">
        <v>3</v>
      </c>
      <c r="B66" t="s">
        <v>3486</v>
      </c>
      <c r="C66" t="s">
        <v>3487</v>
      </c>
      <c r="D66" t="s">
        <v>3488</v>
      </c>
      <c r="E66" t="s">
        <v>3489</v>
      </c>
      <c r="F66" t="s">
        <v>3347</v>
      </c>
      <c r="G66" t="s">
        <v>3459</v>
      </c>
    </row>
    <row r="67" spans="1:7" ht="11.25" customHeight="1">
      <c r="A67" t="s">
        <v>3</v>
      </c>
      <c r="B67" t="s">
        <v>3486</v>
      </c>
      <c r="C67" t="s">
        <v>3487</v>
      </c>
      <c r="D67" t="s">
        <v>3491</v>
      </c>
      <c r="E67" t="s">
        <v>3492</v>
      </c>
      <c r="F67" t="s">
        <v>3347</v>
      </c>
      <c r="G67" t="s">
        <v>2277</v>
      </c>
    </row>
    <row r="68" spans="1:7" ht="11.25" customHeight="1">
      <c r="A68" t="s">
        <v>3</v>
      </c>
      <c r="B68" t="s">
        <v>3486</v>
      </c>
      <c r="C68" t="s">
        <v>3487</v>
      </c>
      <c r="D68" t="s">
        <v>3494</v>
      </c>
      <c r="E68" t="s">
        <v>3495</v>
      </c>
      <c r="F68" t="s">
        <v>3347</v>
      </c>
      <c r="G68" t="s">
        <v>3462</v>
      </c>
    </row>
    <row r="69" spans="1:7" ht="11.25" customHeight="1">
      <c r="A69" t="s">
        <v>3</v>
      </c>
      <c r="B69" t="s">
        <v>3486</v>
      </c>
      <c r="C69" t="s">
        <v>3487</v>
      </c>
      <c r="D69" t="s">
        <v>3497</v>
      </c>
      <c r="E69" t="s">
        <v>3498</v>
      </c>
      <c r="F69" t="s">
        <v>3399</v>
      </c>
      <c r="G69" t="s">
        <v>2480</v>
      </c>
    </row>
    <row r="70" spans="1:7" ht="11.25" customHeight="1">
      <c r="A70" t="s">
        <v>3</v>
      </c>
      <c r="B70" t="s">
        <v>3486</v>
      </c>
      <c r="C70" t="s">
        <v>3487</v>
      </c>
      <c r="D70" t="s">
        <v>3486</v>
      </c>
      <c r="E70" t="s">
        <v>3487</v>
      </c>
      <c r="F70" t="s">
        <v>3341</v>
      </c>
      <c r="G70" t="s">
        <v>3467</v>
      </c>
    </row>
    <row r="71" spans="1:7" ht="11.25" customHeight="1">
      <c r="A71" t="s">
        <v>3</v>
      </c>
      <c r="B71" t="s">
        <v>3486</v>
      </c>
      <c r="C71" t="s">
        <v>3487</v>
      </c>
      <c r="D71" t="s">
        <v>3500</v>
      </c>
      <c r="E71" t="s">
        <v>3501</v>
      </c>
      <c r="F71" t="s">
        <v>3347</v>
      </c>
      <c r="G71" t="s">
        <v>204</v>
      </c>
    </row>
    <row r="72" spans="1:7" ht="11.25" customHeight="1">
      <c r="A72" t="s">
        <v>3</v>
      </c>
      <c r="B72" t="s">
        <v>3486</v>
      </c>
      <c r="C72" t="s">
        <v>3487</v>
      </c>
      <c r="D72" t="s">
        <v>3502</v>
      </c>
      <c r="E72" t="s">
        <v>3503</v>
      </c>
      <c r="F72" t="s">
        <v>3347</v>
      </c>
      <c r="G72" t="s">
        <v>3472</v>
      </c>
    </row>
    <row r="73" spans="1:7" ht="11.25" customHeight="1">
      <c r="A73" t="s">
        <v>3</v>
      </c>
      <c r="B73" t="s">
        <v>3486</v>
      </c>
      <c r="C73" t="s">
        <v>3487</v>
      </c>
      <c r="D73" t="s">
        <v>3504</v>
      </c>
      <c r="E73" t="s">
        <v>3505</v>
      </c>
      <c r="F73" t="s">
        <v>3347</v>
      </c>
      <c r="G73" t="s">
        <v>3473</v>
      </c>
    </row>
    <row r="74" spans="1:7" ht="11.25" customHeight="1">
      <c r="A74" t="s">
        <v>3</v>
      </c>
      <c r="B74" t="s">
        <v>3510</v>
      </c>
      <c r="C74" t="s">
        <v>3511</v>
      </c>
      <c r="D74" t="s">
        <v>3512</v>
      </c>
      <c r="E74" t="s">
        <v>3513</v>
      </c>
      <c r="F74" t="s">
        <v>3347</v>
      </c>
      <c r="G74" t="s">
        <v>3476</v>
      </c>
    </row>
    <row r="75" spans="1:7" ht="11.25" customHeight="1">
      <c r="A75" t="s">
        <v>3</v>
      </c>
      <c r="B75" t="s">
        <v>3510</v>
      </c>
      <c r="C75" t="s">
        <v>3511</v>
      </c>
      <c r="D75" t="s">
        <v>3515</v>
      </c>
      <c r="E75" t="s">
        <v>3516</v>
      </c>
      <c r="F75" t="s">
        <v>3347</v>
      </c>
      <c r="G75" t="s">
        <v>3479</v>
      </c>
    </row>
    <row r="76" spans="1:7" ht="11.25" customHeight="1">
      <c r="A76" t="s">
        <v>3</v>
      </c>
      <c r="B76" t="s">
        <v>3510</v>
      </c>
      <c r="C76" t="s">
        <v>3511</v>
      </c>
      <c r="D76" t="s">
        <v>3518</v>
      </c>
      <c r="E76" t="s">
        <v>3519</v>
      </c>
      <c r="F76" t="s">
        <v>3347</v>
      </c>
      <c r="G76" t="s">
        <v>3482</v>
      </c>
    </row>
    <row r="77" spans="1:7" ht="11.25" customHeight="1">
      <c r="A77" t="s">
        <v>3</v>
      </c>
      <c r="B77" t="s">
        <v>3510</v>
      </c>
      <c r="C77" t="s">
        <v>3511</v>
      </c>
      <c r="D77" t="s">
        <v>3510</v>
      </c>
      <c r="E77" t="s">
        <v>3511</v>
      </c>
      <c r="F77" t="s">
        <v>3341</v>
      </c>
      <c r="G77" t="s">
        <v>3485</v>
      </c>
    </row>
    <row r="78" spans="1:7" ht="11.25" customHeight="1">
      <c r="A78" t="s">
        <v>3</v>
      </c>
      <c r="B78" t="s">
        <v>3510</v>
      </c>
      <c r="C78" t="s">
        <v>3511</v>
      </c>
      <c r="D78" t="s">
        <v>3522</v>
      </c>
      <c r="E78" t="s">
        <v>3523</v>
      </c>
      <c r="F78" t="s">
        <v>3347</v>
      </c>
      <c r="G78" t="s">
        <v>3490</v>
      </c>
    </row>
    <row r="79" spans="1:7" ht="11.25" customHeight="1">
      <c r="A79" t="s">
        <v>3</v>
      </c>
      <c r="B79" t="s">
        <v>3510</v>
      </c>
      <c r="C79" t="s">
        <v>3511</v>
      </c>
      <c r="D79" t="s">
        <v>3525</v>
      </c>
      <c r="E79" t="s">
        <v>3526</v>
      </c>
      <c r="F79" t="s">
        <v>3347</v>
      </c>
      <c r="G79" t="s">
        <v>3493</v>
      </c>
    </row>
    <row r="80" spans="1:7" ht="11.25" customHeight="1">
      <c r="A80" t="s">
        <v>3</v>
      </c>
      <c r="B80" t="s">
        <v>125</v>
      </c>
      <c r="C80" t="s">
        <v>3530</v>
      </c>
      <c r="D80" t="s">
        <v>3531</v>
      </c>
      <c r="E80" t="s">
        <v>3532</v>
      </c>
      <c r="F80" t="s">
        <v>3347</v>
      </c>
      <c r="G80" t="s">
        <v>3496</v>
      </c>
    </row>
    <row r="81" spans="1:7" ht="11.25" customHeight="1">
      <c r="A81" t="s">
        <v>3</v>
      </c>
      <c r="B81" t="s">
        <v>125</v>
      </c>
      <c r="C81" t="s">
        <v>3530</v>
      </c>
      <c r="D81" t="s">
        <v>131</v>
      </c>
      <c r="E81" t="s">
        <v>132</v>
      </c>
      <c r="F81" t="s">
        <v>3347</v>
      </c>
      <c r="G81" t="s">
        <v>130</v>
      </c>
    </row>
    <row r="82" spans="1:7" ht="11.25" customHeight="1">
      <c r="A82" t="s">
        <v>3</v>
      </c>
      <c r="B82" t="s">
        <v>125</v>
      </c>
      <c r="C82" t="s">
        <v>3530</v>
      </c>
      <c r="D82" t="s">
        <v>125</v>
      </c>
      <c r="E82" t="s">
        <v>3530</v>
      </c>
      <c r="F82" t="s">
        <v>3341</v>
      </c>
      <c r="G82" t="s">
        <v>3499</v>
      </c>
    </row>
    <row r="83" spans="1:7" ht="11.25" customHeight="1">
      <c r="A83" t="s">
        <v>3</v>
      </c>
      <c r="B83" t="s">
        <v>125</v>
      </c>
      <c r="C83" t="s">
        <v>3530</v>
      </c>
      <c r="D83" t="s">
        <v>126</v>
      </c>
      <c r="E83" t="s">
        <v>127</v>
      </c>
      <c r="F83" t="s">
        <v>3344</v>
      </c>
      <c r="G83" t="s">
        <v>124</v>
      </c>
    </row>
    <row r="84" spans="1:7" ht="11.25" customHeight="1">
      <c r="A84" t="s">
        <v>3</v>
      </c>
      <c r="B84" t="s">
        <v>125</v>
      </c>
      <c r="C84" t="s">
        <v>3530</v>
      </c>
      <c r="D84" t="s">
        <v>136</v>
      </c>
      <c r="E84" t="s">
        <v>137</v>
      </c>
      <c r="F84" t="s">
        <v>3347</v>
      </c>
      <c r="G84" t="s">
        <v>135</v>
      </c>
    </row>
    <row r="85" spans="1:7" ht="11.25" customHeight="1">
      <c r="A85" t="s">
        <v>3</v>
      </c>
      <c r="B85" t="s">
        <v>125</v>
      </c>
      <c r="C85" t="s">
        <v>3530</v>
      </c>
      <c r="D85" t="s">
        <v>3537</v>
      </c>
      <c r="E85" t="s">
        <v>3538</v>
      </c>
      <c r="F85" t="s">
        <v>3347</v>
      </c>
      <c r="G85" t="s">
        <v>3506</v>
      </c>
    </row>
    <row r="86" spans="1:7" ht="11.25" customHeight="1">
      <c r="A86" t="s">
        <v>3</v>
      </c>
      <c r="B86" t="s">
        <v>125</v>
      </c>
      <c r="C86" t="s">
        <v>3530</v>
      </c>
      <c r="D86" t="s">
        <v>3540</v>
      </c>
      <c r="E86" t="s">
        <v>3541</v>
      </c>
      <c r="F86" t="s">
        <v>3347</v>
      </c>
      <c r="G86" t="s">
        <v>3509</v>
      </c>
    </row>
    <row r="87" spans="1:7" ht="11.25" customHeight="1">
      <c r="A87" t="s">
        <v>3</v>
      </c>
      <c r="B87" t="s">
        <v>116</v>
      </c>
      <c r="C87" t="s">
        <v>3546</v>
      </c>
      <c r="D87" t="s">
        <v>3547</v>
      </c>
      <c r="E87" t="s">
        <v>3548</v>
      </c>
      <c r="F87" t="s">
        <v>3347</v>
      </c>
      <c r="G87" t="s">
        <v>3514</v>
      </c>
    </row>
    <row r="88" spans="1:7" ht="11.25" customHeight="1">
      <c r="A88" t="s">
        <v>3</v>
      </c>
      <c r="B88" t="s">
        <v>116</v>
      </c>
      <c r="C88" t="s">
        <v>3546</v>
      </c>
      <c r="D88" t="s">
        <v>3550</v>
      </c>
      <c r="E88" t="s">
        <v>3551</v>
      </c>
      <c r="F88" t="s">
        <v>3347</v>
      </c>
      <c r="G88" t="s">
        <v>3517</v>
      </c>
    </row>
    <row r="89" spans="1:7" ht="11.25" customHeight="1">
      <c r="A89" t="s">
        <v>3</v>
      </c>
      <c r="B89" t="s">
        <v>116</v>
      </c>
      <c r="C89" t="s">
        <v>3546</v>
      </c>
      <c r="D89" t="s">
        <v>3553</v>
      </c>
      <c r="E89" t="s">
        <v>3554</v>
      </c>
      <c r="F89" t="s">
        <v>3347</v>
      </c>
      <c r="G89" t="s">
        <v>3520</v>
      </c>
    </row>
    <row r="90" spans="1:7" ht="11.25" customHeight="1">
      <c r="A90" t="s">
        <v>3</v>
      </c>
      <c r="B90" t="s">
        <v>116</v>
      </c>
      <c r="C90" t="s">
        <v>3546</v>
      </c>
      <c r="D90" t="s">
        <v>3556</v>
      </c>
      <c r="E90" t="s">
        <v>3557</v>
      </c>
      <c r="F90" t="s">
        <v>3347</v>
      </c>
      <c r="G90" t="s">
        <v>3521</v>
      </c>
    </row>
    <row r="91" spans="1:7" ht="11.25" customHeight="1">
      <c r="A91" t="s">
        <v>3</v>
      </c>
      <c r="B91" t="s">
        <v>116</v>
      </c>
      <c r="C91" t="s">
        <v>3546</v>
      </c>
      <c r="D91" t="s">
        <v>3559</v>
      </c>
      <c r="E91" t="s">
        <v>3560</v>
      </c>
      <c r="F91" t="s">
        <v>3347</v>
      </c>
      <c r="G91" t="s">
        <v>3524</v>
      </c>
    </row>
    <row r="92" spans="1:7" ht="11.25" customHeight="1">
      <c r="A92" t="s">
        <v>3</v>
      </c>
      <c r="B92" t="s">
        <v>116</v>
      </c>
      <c r="C92" t="s">
        <v>3546</v>
      </c>
      <c r="D92" t="s">
        <v>121</v>
      </c>
      <c r="E92" t="s">
        <v>122</v>
      </c>
      <c r="F92" t="s">
        <v>3347</v>
      </c>
      <c r="G92" t="s">
        <v>120</v>
      </c>
    </row>
    <row r="93" spans="1:7" ht="11.25" customHeight="1">
      <c r="A93" t="s">
        <v>3</v>
      </c>
      <c r="B93" t="s">
        <v>116</v>
      </c>
      <c r="C93" t="s">
        <v>3546</v>
      </c>
      <c r="D93" t="s">
        <v>3562</v>
      </c>
      <c r="E93" t="s">
        <v>3563</v>
      </c>
      <c r="F93" t="s">
        <v>3347</v>
      </c>
      <c r="G93" t="s">
        <v>3529</v>
      </c>
    </row>
    <row r="94" spans="1:7" ht="11.25" customHeight="1">
      <c r="A94" t="s">
        <v>3</v>
      </c>
      <c r="B94" t="s">
        <v>116</v>
      </c>
      <c r="C94" t="s">
        <v>3546</v>
      </c>
      <c r="D94" t="s">
        <v>3565</v>
      </c>
      <c r="E94" t="s">
        <v>3566</v>
      </c>
      <c r="F94" t="s">
        <v>3347</v>
      </c>
      <c r="G94" t="s">
        <v>3533</v>
      </c>
    </row>
    <row r="95" spans="1:7" ht="11.25" customHeight="1">
      <c r="A95" t="s">
        <v>3</v>
      </c>
      <c r="B95" t="s">
        <v>116</v>
      </c>
      <c r="C95" t="s">
        <v>3546</v>
      </c>
      <c r="D95" t="s">
        <v>116</v>
      </c>
      <c r="E95" t="s">
        <v>3546</v>
      </c>
      <c r="F95" t="s">
        <v>3341</v>
      </c>
      <c r="G95" t="s">
        <v>3534</v>
      </c>
    </row>
    <row r="96" spans="1:7" ht="11.25" customHeight="1">
      <c r="A96" t="s">
        <v>3</v>
      </c>
      <c r="B96" t="s">
        <v>116</v>
      </c>
      <c r="C96" t="s">
        <v>3546</v>
      </c>
      <c r="D96" t="s">
        <v>117</v>
      </c>
      <c r="E96" t="s">
        <v>118</v>
      </c>
      <c r="F96" t="s">
        <v>3344</v>
      </c>
      <c r="G96" t="s">
        <v>115</v>
      </c>
    </row>
    <row r="97" spans="1:7" ht="11.25" customHeight="1">
      <c r="A97" t="s">
        <v>3</v>
      </c>
      <c r="B97" t="s">
        <v>116</v>
      </c>
      <c r="C97" t="s">
        <v>3546</v>
      </c>
      <c r="D97" t="s">
        <v>3570</v>
      </c>
      <c r="E97" t="s">
        <v>3571</v>
      </c>
      <c r="F97" t="s">
        <v>3347</v>
      </c>
      <c r="G97" t="s">
        <v>3535</v>
      </c>
    </row>
    <row r="98" spans="1:7" ht="11.25" customHeight="1">
      <c r="A98" t="s">
        <v>3</v>
      </c>
      <c r="B98" t="s">
        <v>3576</v>
      </c>
      <c r="C98" t="s">
        <v>3577</v>
      </c>
      <c r="D98" t="s">
        <v>3578</v>
      </c>
      <c r="E98" t="s">
        <v>3579</v>
      </c>
      <c r="F98" t="s">
        <v>3399</v>
      </c>
      <c r="G98" t="s">
        <v>3536</v>
      </c>
    </row>
    <row r="99" spans="1:7" ht="11.25" customHeight="1">
      <c r="A99" t="s">
        <v>3</v>
      </c>
      <c r="B99" t="s">
        <v>3576</v>
      </c>
      <c r="C99" t="s">
        <v>3577</v>
      </c>
      <c r="D99" t="s">
        <v>3581</v>
      </c>
      <c r="E99" t="s">
        <v>3582</v>
      </c>
      <c r="F99" t="s">
        <v>3347</v>
      </c>
      <c r="G99" t="s">
        <v>3539</v>
      </c>
    </row>
    <row r="100" spans="1:7" ht="11.25" customHeight="1">
      <c r="A100" t="s">
        <v>3</v>
      </c>
      <c r="B100" t="s">
        <v>3576</v>
      </c>
      <c r="C100" t="s">
        <v>3577</v>
      </c>
      <c r="D100" t="s">
        <v>3584</v>
      </c>
      <c r="E100" t="s">
        <v>3585</v>
      </c>
      <c r="F100" t="s">
        <v>3347</v>
      </c>
      <c r="G100" t="s">
        <v>3542</v>
      </c>
    </row>
    <row r="101" spans="1:7" ht="11.25" customHeight="1">
      <c r="A101" t="s">
        <v>3</v>
      </c>
      <c r="B101" t="s">
        <v>3576</v>
      </c>
      <c r="C101" t="s">
        <v>3577</v>
      </c>
      <c r="D101" t="s">
        <v>3586</v>
      </c>
      <c r="E101" t="s">
        <v>3587</v>
      </c>
      <c r="F101" t="s">
        <v>3347</v>
      </c>
      <c r="G101" t="s">
        <v>3545</v>
      </c>
    </row>
    <row r="102" spans="1:7" ht="11.25" customHeight="1">
      <c r="A102" t="s">
        <v>3</v>
      </c>
      <c r="B102" t="s">
        <v>3576</v>
      </c>
      <c r="C102" t="s">
        <v>3577</v>
      </c>
      <c r="D102" t="s">
        <v>3576</v>
      </c>
      <c r="E102" t="s">
        <v>3577</v>
      </c>
      <c r="F102" t="s">
        <v>3341</v>
      </c>
      <c r="G102" t="s">
        <v>3549</v>
      </c>
    </row>
    <row r="103" spans="1:7" ht="11.25" customHeight="1">
      <c r="A103" t="s">
        <v>3</v>
      </c>
      <c r="B103" t="s">
        <v>3576</v>
      </c>
      <c r="C103" t="s">
        <v>3577</v>
      </c>
      <c r="D103" t="s">
        <v>3590</v>
      </c>
      <c r="E103" t="s">
        <v>3591</v>
      </c>
      <c r="F103" t="s">
        <v>3344</v>
      </c>
      <c r="G103" t="s">
        <v>3552</v>
      </c>
    </row>
    <row r="104" spans="1:7" ht="11.25" customHeight="1">
      <c r="A104" t="s">
        <v>3</v>
      </c>
      <c r="B104" t="s">
        <v>3576</v>
      </c>
      <c r="C104" t="s">
        <v>3577</v>
      </c>
      <c r="D104" t="s">
        <v>3593</v>
      </c>
      <c r="E104" t="s">
        <v>3594</v>
      </c>
      <c r="F104" t="s">
        <v>3347</v>
      </c>
      <c r="G104" t="s">
        <v>3555</v>
      </c>
    </row>
    <row r="105" spans="1:7" ht="11.25" customHeight="1">
      <c r="A105" t="s">
        <v>3</v>
      </c>
      <c r="B105" t="s">
        <v>141</v>
      </c>
      <c r="C105" t="s">
        <v>3599</v>
      </c>
      <c r="D105" t="s">
        <v>3600</v>
      </c>
      <c r="E105" t="s">
        <v>3601</v>
      </c>
      <c r="F105" t="s">
        <v>3347</v>
      </c>
      <c r="G105" t="s">
        <v>3558</v>
      </c>
    </row>
    <row r="106" spans="1:7" ht="11.25" customHeight="1">
      <c r="A106" t="s">
        <v>3</v>
      </c>
      <c r="B106" t="s">
        <v>141</v>
      </c>
      <c r="C106" t="s">
        <v>3599</v>
      </c>
      <c r="D106" t="s">
        <v>145</v>
      </c>
      <c r="E106" t="s">
        <v>146</v>
      </c>
      <c r="F106" t="s">
        <v>3347</v>
      </c>
      <c r="G106" t="s">
        <v>144</v>
      </c>
    </row>
    <row r="107" spans="1:7" ht="11.25" customHeight="1">
      <c r="A107" t="s">
        <v>3</v>
      </c>
      <c r="B107" t="s">
        <v>141</v>
      </c>
      <c r="C107" t="s">
        <v>3599</v>
      </c>
      <c r="D107" t="s">
        <v>3604</v>
      </c>
      <c r="E107" t="s">
        <v>3605</v>
      </c>
      <c r="F107" t="s">
        <v>3347</v>
      </c>
      <c r="G107" t="s">
        <v>3561</v>
      </c>
    </row>
    <row r="108" spans="1:7" ht="11.25" customHeight="1">
      <c r="A108" t="s">
        <v>3</v>
      </c>
      <c r="B108" t="s">
        <v>141</v>
      </c>
      <c r="C108" t="s">
        <v>3599</v>
      </c>
      <c r="D108" t="s">
        <v>3607</v>
      </c>
      <c r="E108" t="s">
        <v>3608</v>
      </c>
      <c r="F108" t="s">
        <v>3347</v>
      </c>
      <c r="G108" t="s">
        <v>3564</v>
      </c>
    </row>
    <row r="109" spans="1:7" ht="11.25" customHeight="1">
      <c r="A109" t="s">
        <v>3</v>
      </c>
      <c r="B109" t="s">
        <v>141</v>
      </c>
      <c r="C109" t="s">
        <v>3599</v>
      </c>
      <c r="D109" t="s">
        <v>3609</v>
      </c>
      <c r="E109" t="s">
        <v>3610</v>
      </c>
      <c r="F109" t="s">
        <v>3347</v>
      </c>
      <c r="G109" t="s">
        <v>3567</v>
      </c>
    </row>
    <row r="110" spans="1:7" ht="11.25" customHeight="1">
      <c r="A110" t="s">
        <v>3</v>
      </c>
      <c r="B110" t="s">
        <v>141</v>
      </c>
      <c r="C110" t="s">
        <v>3599</v>
      </c>
      <c r="D110" t="s">
        <v>3612</v>
      </c>
      <c r="E110" t="s">
        <v>3613</v>
      </c>
      <c r="F110" t="s">
        <v>3347</v>
      </c>
      <c r="G110" t="s">
        <v>3568</v>
      </c>
    </row>
    <row r="111" spans="1:7" ht="11.25" customHeight="1">
      <c r="A111" t="s">
        <v>3</v>
      </c>
      <c r="B111" t="s">
        <v>141</v>
      </c>
      <c r="C111" t="s">
        <v>3599</v>
      </c>
      <c r="D111" t="s">
        <v>3614</v>
      </c>
      <c r="E111" t="s">
        <v>3615</v>
      </c>
      <c r="F111" t="s">
        <v>3347</v>
      </c>
      <c r="G111" t="s">
        <v>3569</v>
      </c>
    </row>
    <row r="112" spans="1:7" ht="11.25" customHeight="1">
      <c r="A112" t="s">
        <v>3</v>
      </c>
      <c r="B112" t="s">
        <v>141</v>
      </c>
      <c r="C112" t="s">
        <v>3599</v>
      </c>
      <c r="D112" t="s">
        <v>3617</v>
      </c>
      <c r="E112" t="s">
        <v>3618</v>
      </c>
      <c r="F112" t="s">
        <v>3347</v>
      </c>
      <c r="G112" t="s">
        <v>3572</v>
      </c>
    </row>
    <row r="113" spans="1:7" ht="11.25" customHeight="1">
      <c r="A113" t="s">
        <v>3</v>
      </c>
      <c r="B113" t="s">
        <v>141</v>
      </c>
      <c r="C113" t="s">
        <v>3599</v>
      </c>
      <c r="D113" t="s">
        <v>3620</v>
      </c>
      <c r="E113" t="s">
        <v>3621</v>
      </c>
      <c r="F113" t="s">
        <v>3347</v>
      </c>
      <c r="G113" t="s">
        <v>3575</v>
      </c>
    </row>
    <row r="114" spans="1:7" ht="11.25" customHeight="1">
      <c r="A114" t="s">
        <v>3</v>
      </c>
      <c r="B114" t="s">
        <v>141</v>
      </c>
      <c r="C114" t="s">
        <v>3599</v>
      </c>
      <c r="D114" t="s">
        <v>3623</v>
      </c>
      <c r="E114" t="s">
        <v>3624</v>
      </c>
      <c r="F114" t="s">
        <v>3347</v>
      </c>
      <c r="G114" t="s">
        <v>3580</v>
      </c>
    </row>
    <row r="115" spans="1:7" ht="11.25" customHeight="1">
      <c r="A115" t="s">
        <v>3</v>
      </c>
      <c r="B115" t="s">
        <v>141</v>
      </c>
      <c r="C115" t="s">
        <v>3599</v>
      </c>
      <c r="D115" t="s">
        <v>3626</v>
      </c>
      <c r="E115" t="s">
        <v>3627</v>
      </c>
      <c r="F115" t="s">
        <v>3347</v>
      </c>
      <c r="G115" t="s">
        <v>3583</v>
      </c>
    </row>
    <row r="116" spans="1:7" ht="11.25" customHeight="1">
      <c r="A116" t="s">
        <v>3</v>
      </c>
      <c r="B116" t="s">
        <v>141</v>
      </c>
      <c r="C116" t="s">
        <v>3599</v>
      </c>
      <c r="D116" t="s">
        <v>141</v>
      </c>
      <c r="E116" t="s">
        <v>3599</v>
      </c>
      <c r="F116" t="s">
        <v>3341</v>
      </c>
      <c r="G116" t="s">
        <v>3588</v>
      </c>
    </row>
    <row r="117" spans="1:7" ht="11.25" customHeight="1">
      <c r="A117" t="s">
        <v>3</v>
      </c>
      <c r="B117" t="s">
        <v>141</v>
      </c>
      <c r="C117" t="s">
        <v>3599</v>
      </c>
      <c r="D117" t="s">
        <v>3630</v>
      </c>
      <c r="E117" t="s">
        <v>3631</v>
      </c>
      <c r="F117" t="s">
        <v>3347</v>
      </c>
      <c r="G117" t="s">
        <v>3589</v>
      </c>
    </row>
    <row r="118" spans="1:7" ht="11.25" customHeight="1">
      <c r="A118" t="s">
        <v>3</v>
      </c>
      <c r="B118" t="s">
        <v>179</v>
      </c>
      <c r="C118" t="s">
        <v>3636</v>
      </c>
      <c r="D118" t="s">
        <v>3637</v>
      </c>
      <c r="E118" t="s">
        <v>3638</v>
      </c>
      <c r="F118" t="s">
        <v>3347</v>
      </c>
      <c r="G118" t="s">
        <v>3592</v>
      </c>
    </row>
    <row r="119" spans="1:7" ht="11.25" customHeight="1">
      <c r="A119" t="s">
        <v>3</v>
      </c>
      <c r="B119" t="s">
        <v>179</v>
      </c>
      <c r="C119" t="s">
        <v>3636</v>
      </c>
      <c r="D119" t="s">
        <v>3639</v>
      </c>
      <c r="E119" t="s">
        <v>3640</v>
      </c>
      <c r="F119" t="s">
        <v>3347</v>
      </c>
      <c r="G119" t="s">
        <v>3595</v>
      </c>
    </row>
    <row r="120" spans="1:7" ht="11.25" customHeight="1">
      <c r="A120" t="s">
        <v>3</v>
      </c>
      <c r="B120" t="s">
        <v>179</v>
      </c>
      <c r="C120" t="s">
        <v>3636</v>
      </c>
      <c r="D120" t="s">
        <v>3642</v>
      </c>
      <c r="E120" t="s">
        <v>3643</v>
      </c>
      <c r="F120" t="s">
        <v>3347</v>
      </c>
      <c r="G120" t="s">
        <v>3598</v>
      </c>
    </row>
    <row r="121" spans="1:7" ht="11.25" customHeight="1">
      <c r="A121" t="s">
        <v>3</v>
      </c>
      <c r="B121" t="s">
        <v>179</v>
      </c>
      <c r="C121" t="s">
        <v>3636</v>
      </c>
      <c r="D121" t="s">
        <v>3645</v>
      </c>
      <c r="E121" t="s">
        <v>3646</v>
      </c>
      <c r="F121" t="s">
        <v>3347</v>
      </c>
      <c r="G121" t="s">
        <v>3602</v>
      </c>
    </row>
    <row r="122" spans="1:7" ht="11.25" customHeight="1">
      <c r="A122" t="s">
        <v>3</v>
      </c>
      <c r="B122" t="s">
        <v>179</v>
      </c>
      <c r="C122" t="s">
        <v>3636</v>
      </c>
      <c r="D122" t="s">
        <v>3648</v>
      </c>
      <c r="E122" t="s">
        <v>3649</v>
      </c>
      <c r="F122" t="s">
        <v>3347</v>
      </c>
      <c r="G122" t="s">
        <v>3603</v>
      </c>
    </row>
    <row r="123" spans="1:7" ht="11.25" customHeight="1">
      <c r="A123" t="s">
        <v>3</v>
      </c>
      <c r="B123" t="s">
        <v>179</v>
      </c>
      <c r="C123" t="s">
        <v>3636</v>
      </c>
      <c r="D123" t="s">
        <v>3651</v>
      </c>
      <c r="E123" t="s">
        <v>3652</v>
      </c>
      <c r="F123" t="s">
        <v>3347</v>
      </c>
      <c r="G123" t="s">
        <v>3606</v>
      </c>
    </row>
    <row r="124" spans="1:7" ht="11.25" customHeight="1">
      <c r="A124" t="s">
        <v>3</v>
      </c>
      <c r="B124" t="s">
        <v>179</v>
      </c>
      <c r="C124" t="s">
        <v>3636</v>
      </c>
      <c r="D124" t="s">
        <v>180</v>
      </c>
      <c r="E124" t="s">
        <v>181</v>
      </c>
      <c r="F124" t="s">
        <v>3347</v>
      </c>
      <c r="G124" t="s">
        <v>178</v>
      </c>
    </row>
    <row r="125" spans="1:7" ht="11.25" customHeight="1">
      <c r="A125" t="s">
        <v>3</v>
      </c>
      <c r="B125" t="s">
        <v>179</v>
      </c>
      <c r="C125" t="s">
        <v>3636</v>
      </c>
      <c r="D125" t="s">
        <v>3655</v>
      </c>
      <c r="E125" t="s">
        <v>3656</v>
      </c>
      <c r="F125" t="s">
        <v>3347</v>
      </c>
      <c r="G125" t="s">
        <v>3611</v>
      </c>
    </row>
    <row r="126" spans="1:7" ht="11.25" customHeight="1">
      <c r="A126" t="s">
        <v>3</v>
      </c>
      <c r="B126" t="s">
        <v>179</v>
      </c>
      <c r="C126" t="s">
        <v>3636</v>
      </c>
      <c r="D126" t="s">
        <v>195</v>
      </c>
      <c r="E126" t="s">
        <v>196</v>
      </c>
      <c r="F126" t="s">
        <v>3347</v>
      </c>
      <c r="G126" t="s">
        <v>194</v>
      </c>
    </row>
    <row r="127" spans="1:7" ht="11.25" customHeight="1">
      <c r="A127" t="s">
        <v>3</v>
      </c>
      <c r="B127" t="s">
        <v>179</v>
      </c>
      <c r="C127" t="s">
        <v>3636</v>
      </c>
      <c r="D127" t="s">
        <v>3658</v>
      </c>
      <c r="E127" t="s">
        <v>3659</v>
      </c>
      <c r="F127" t="s">
        <v>3347</v>
      </c>
      <c r="G127" t="s">
        <v>3616</v>
      </c>
    </row>
    <row r="128" spans="1:7" ht="11.25" customHeight="1">
      <c r="A128" t="s">
        <v>3</v>
      </c>
      <c r="B128" t="s">
        <v>179</v>
      </c>
      <c r="C128" t="s">
        <v>3636</v>
      </c>
      <c r="D128" t="s">
        <v>3661</v>
      </c>
      <c r="E128" t="s">
        <v>3662</v>
      </c>
      <c r="F128" t="s">
        <v>3347</v>
      </c>
      <c r="G128" t="s">
        <v>3619</v>
      </c>
    </row>
    <row r="129" spans="1:7" ht="11.25" customHeight="1">
      <c r="A129" t="s">
        <v>3</v>
      </c>
      <c r="B129" t="s">
        <v>179</v>
      </c>
      <c r="C129" t="s">
        <v>3636</v>
      </c>
      <c r="D129" t="s">
        <v>3664</v>
      </c>
      <c r="E129" t="s">
        <v>3665</v>
      </c>
      <c r="F129" t="s">
        <v>3347</v>
      </c>
      <c r="G129" t="s">
        <v>3622</v>
      </c>
    </row>
    <row r="130" spans="1:7" ht="11.25" customHeight="1">
      <c r="A130" t="s">
        <v>3</v>
      </c>
      <c r="B130" t="s">
        <v>179</v>
      </c>
      <c r="C130" t="s">
        <v>3636</v>
      </c>
      <c r="D130" t="s">
        <v>3667</v>
      </c>
      <c r="E130" t="s">
        <v>3668</v>
      </c>
      <c r="F130" t="s">
        <v>3347</v>
      </c>
      <c r="G130" t="s">
        <v>3625</v>
      </c>
    </row>
    <row r="131" spans="1:7" ht="11.25" customHeight="1">
      <c r="A131" t="s">
        <v>3</v>
      </c>
      <c r="B131" t="s">
        <v>179</v>
      </c>
      <c r="C131" t="s">
        <v>3636</v>
      </c>
      <c r="D131" t="s">
        <v>3670</v>
      </c>
      <c r="E131" t="s">
        <v>3671</v>
      </c>
      <c r="F131" t="s">
        <v>3347</v>
      </c>
      <c r="G131" t="s">
        <v>3628</v>
      </c>
    </row>
    <row r="132" spans="1:7" ht="11.25" customHeight="1">
      <c r="A132" t="s">
        <v>3</v>
      </c>
      <c r="B132" t="s">
        <v>179</v>
      </c>
      <c r="C132" t="s">
        <v>3636</v>
      </c>
      <c r="D132" t="s">
        <v>3673</v>
      </c>
      <c r="E132" t="s">
        <v>3674</v>
      </c>
      <c r="F132" t="s">
        <v>3347</v>
      </c>
      <c r="G132" t="s">
        <v>3629</v>
      </c>
    </row>
    <row r="133" spans="1:7" ht="11.25" customHeight="1">
      <c r="A133" t="s">
        <v>3</v>
      </c>
      <c r="B133" t="s">
        <v>179</v>
      </c>
      <c r="C133" t="s">
        <v>3636</v>
      </c>
      <c r="D133" t="s">
        <v>185</v>
      </c>
      <c r="E133" t="s">
        <v>186</v>
      </c>
      <c r="F133" t="s">
        <v>3347</v>
      </c>
      <c r="G133" t="s">
        <v>184</v>
      </c>
    </row>
    <row r="134" spans="1:7" ht="11.25" customHeight="1">
      <c r="A134" t="s">
        <v>3</v>
      </c>
      <c r="B134" t="s">
        <v>179</v>
      </c>
      <c r="C134" t="s">
        <v>3636</v>
      </c>
      <c r="D134" t="s">
        <v>179</v>
      </c>
      <c r="E134" t="s">
        <v>3636</v>
      </c>
      <c r="F134" t="s">
        <v>3341</v>
      </c>
      <c r="G134" t="s">
        <v>3632</v>
      </c>
    </row>
    <row r="135" spans="1:7" ht="11.25" customHeight="1">
      <c r="A135" t="s">
        <v>3</v>
      </c>
      <c r="B135" t="s">
        <v>179</v>
      </c>
      <c r="C135" t="s">
        <v>3636</v>
      </c>
      <c r="D135" t="s">
        <v>3678</v>
      </c>
      <c r="E135" t="s">
        <v>3679</v>
      </c>
      <c r="F135" t="s">
        <v>3347</v>
      </c>
      <c r="G135" t="s">
        <v>3635</v>
      </c>
    </row>
    <row r="136" spans="1:7" ht="11.25" customHeight="1">
      <c r="A136" t="s">
        <v>3</v>
      </c>
      <c r="B136" t="s">
        <v>179</v>
      </c>
      <c r="C136" t="s">
        <v>3636</v>
      </c>
      <c r="D136" t="s">
        <v>190</v>
      </c>
      <c r="E136" t="s">
        <v>191</v>
      </c>
      <c r="F136" t="s">
        <v>3347</v>
      </c>
      <c r="G136" t="s">
        <v>189</v>
      </c>
    </row>
    <row r="137" spans="1:7" ht="11.25" customHeight="1">
      <c r="A137" t="s">
        <v>3</v>
      </c>
      <c r="B137" t="s">
        <v>179</v>
      </c>
      <c r="C137" t="s">
        <v>3636</v>
      </c>
      <c r="D137" t="s">
        <v>3682</v>
      </c>
      <c r="E137" t="s">
        <v>3683</v>
      </c>
      <c r="F137" t="s">
        <v>3347</v>
      </c>
      <c r="G137" t="s">
        <v>3641</v>
      </c>
    </row>
    <row r="138" spans="1:7" ht="11.25" customHeight="1">
      <c r="A138" t="s">
        <v>3</v>
      </c>
      <c r="B138" t="s">
        <v>157</v>
      </c>
      <c r="C138" t="s">
        <v>3688</v>
      </c>
      <c r="D138" t="s">
        <v>3689</v>
      </c>
      <c r="E138" t="s">
        <v>3690</v>
      </c>
      <c r="F138" t="s">
        <v>3347</v>
      </c>
      <c r="G138" t="s">
        <v>3644</v>
      </c>
    </row>
    <row r="139" spans="1:7" ht="11.25" customHeight="1">
      <c r="A139" t="s">
        <v>3</v>
      </c>
      <c r="B139" t="s">
        <v>157</v>
      </c>
      <c r="C139" t="s">
        <v>3688</v>
      </c>
      <c r="D139" t="s">
        <v>3692</v>
      </c>
      <c r="E139" t="s">
        <v>3693</v>
      </c>
      <c r="F139" t="s">
        <v>3347</v>
      </c>
      <c r="G139" t="s">
        <v>3647</v>
      </c>
    </row>
    <row r="140" spans="1:7" ht="11.25" customHeight="1">
      <c r="A140" t="s">
        <v>3</v>
      </c>
      <c r="B140" t="s">
        <v>157</v>
      </c>
      <c r="C140" t="s">
        <v>3688</v>
      </c>
      <c r="D140" t="s">
        <v>3695</v>
      </c>
      <c r="E140" t="s">
        <v>3696</v>
      </c>
      <c r="F140" t="s">
        <v>3347</v>
      </c>
      <c r="G140" t="s">
        <v>3650</v>
      </c>
    </row>
    <row r="141" spans="1:7" ht="11.25" customHeight="1">
      <c r="A141" t="s">
        <v>3</v>
      </c>
      <c r="B141" t="s">
        <v>157</v>
      </c>
      <c r="C141" t="s">
        <v>3688</v>
      </c>
      <c r="D141" t="s">
        <v>3370</v>
      </c>
      <c r="E141" t="s">
        <v>3698</v>
      </c>
      <c r="F141" t="s">
        <v>3347</v>
      </c>
      <c r="G141" t="s">
        <v>3653</v>
      </c>
    </row>
    <row r="142" spans="1:7" ht="11.25" customHeight="1">
      <c r="A142" t="s">
        <v>3</v>
      </c>
      <c r="B142" t="s">
        <v>157</v>
      </c>
      <c r="C142" t="s">
        <v>3688</v>
      </c>
      <c r="D142" t="s">
        <v>157</v>
      </c>
      <c r="E142" t="s">
        <v>3688</v>
      </c>
      <c r="F142" t="s">
        <v>3341</v>
      </c>
      <c r="G142" t="s">
        <v>3654</v>
      </c>
    </row>
    <row r="143" spans="1:7" ht="11.25" customHeight="1">
      <c r="A143" t="s">
        <v>3</v>
      </c>
      <c r="B143" t="s">
        <v>157</v>
      </c>
      <c r="C143" t="s">
        <v>3688</v>
      </c>
      <c r="D143" t="s">
        <v>158</v>
      </c>
      <c r="E143" t="s">
        <v>159</v>
      </c>
      <c r="F143" t="s">
        <v>3344</v>
      </c>
      <c r="G143" t="s">
        <v>156</v>
      </c>
    </row>
    <row r="144" spans="1:7" ht="11.25" customHeight="1">
      <c r="A144" t="s">
        <v>3</v>
      </c>
      <c r="B144" t="s">
        <v>3705</v>
      </c>
      <c r="C144" t="s">
        <v>3706</v>
      </c>
      <c r="D144" t="s">
        <v>3707</v>
      </c>
      <c r="E144" t="s">
        <v>3708</v>
      </c>
      <c r="F144" t="s">
        <v>3347</v>
      </c>
      <c r="G144" t="s">
        <v>3657</v>
      </c>
    </row>
    <row r="145" spans="1:7" ht="11.25" customHeight="1">
      <c r="A145" t="s">
        <v>3</v>
      </c>
      <c r="B145" t="s">
        <v>3705</v>
      </c>
      <c r="C145" t="s">
        <v>3706</v>
      </c>
      <c r="D145" t="s">
        <v>3710</v>
      </c>
      <c r="E145" t="s">
        <v>3711</v>
      </c>
      <c r="F145" t="s">
        <v>3347</v>
      </c>
      <c r="G145" t="s">
        <v>3660</v>
      </c>
    </row>
    <row r="146" spans="1:7" ht="11.25" customHeight="1">
      <c r="A146" t="s">
        <v>3</v>
      </c>
      <c r="B146" t="s">
        <v>3705</v>
      </c>
      <c r="C146" t="s">
        <v>3706</v>
      </c>
      <c r="D146" t="s">
        <v>3713</v>
      </c>
      <c r="E146" t="s">
        <v>3714</v>
      </c>
      <c r="F146" t="s">
        <v>3347</v>
      </c>
      <c r="G146" t="s">
        <v>3663</v>
      </c>
    </row>
    <row r="147" spans="1:7" ht="11.25" customHeight="1">
      <c r="A147" t="s">
        <v>3</v>
      </c>
      <c r="B147" t="s">
        <v>3705</v>
      </c>
      <c r="C147" t="s">
        <v>3706</v>
      </c>
      <c r="D147" t="s">
        <v>3705</v>
      </c>
      <c r="E147" t="s">
        <v>3706</v>
      </c>
      <c r="F147" t="s">
        <v>3341</v>
      </c>
      <c r="G147" t="s">
        <v>3666</v>
      </c>
    </row>
    <row r="148" spans="1:7" ht="11.25" customHeight="1">
      <c r="A148" t="s">
        <v>3</v>
      </c>
      <c r="B148" t="s">
        <v>3705</v>
      </c>
      <c r="C148" t="s">
        <v>3706</v>
      </c>
      <c r="D148" t="s">
        <v>3716</v>
      </c>
      <c r="E148" t="s">
        <v>3717</v>
      </c>
      <c r="F148" t="s">
        <v>3347</v>
      </c>
      <c r="G148" t="s">
        <v>3669</v>
      </c>
    </row>
    <row r="149" spans="1:7" ht="11.25" customHeight="1">
      <c r="A149" t="s">
        <v>3</v>
      </c>
      <c r="B149" t="s">
        <v>3722</v>
      </c>
      <c r="C149" t="s">
        <v>3723</v>
      </c>
      <c r="D149" t="s">
        <v>3724</v>
      </c>
      <c r="E149" t="s">
        <v>3725</v>
      </c>
      <c r="F149" t="s">
        <v>3347</v>
      </c>
      <c r="G149" t="s">
        <v>3672</v>
      </c>
    </row>
    <row r="150" spans="1:7" ht="11.25" customHeight="1">
      <c r="A150" t="s">
        <v>3</v>
      </c>
      <c r="B150" t="s">
        <v>3722</v>
      </c>
      <c r="C150" t="s">
        <v>3723</v>
      </c>
      <c r="D150" t="s">
        <v>3727</v>
      </c>
      <c r="E150" t="s">
        <v>3728</v>
      </c>
      <c r="F150" t="s">
        <v>3347</v>
      </c>
      <c r="G150" t="s">
        <v>3675</v>
      </c>
    </row>
    <row r="151" spans="1:7" ht="11.25" customHeight="1">
      <c r="A151" t="s">
        <v>3</v>
      </c>
      <c r="B151" t="s">
        <v>3722</v>
      </c>
      <c r="C151" t="s">
        <v>3723</v>
      </c>
      <c r="D151" t="s">
        <v>3722</v>
      </c>
      <c r="E151" t="s">
        <v>3723</v>
      </c>
      <c r="F151" t="s">
        <v>3341</v>
      </c>
      <c r="G151" t="s">
        <v>3676</v>
      </c>
    </row>
    <row r="152" spans="1:7" ht="11.25" customHeight="1">
      <c r="A152" t="s">
        <v>3</v>
      </c>
      <c r="B152" t="s">
        <v>3722</v>
      </c>
      <c r="C152" t="s">
        <v>3723</v>
      </c>
      <c r="D152" t="s">
        <v>3731</v>
      </c>
      <c r="E152" t="s">
        <v>3732</v>
      </c>
      <c r="F152" t="s">
        <v>3347</v>
      </c>
      <c r="G152" t="s">
        <v>3677</v>
      </c>
    </row>
    <row r="153" spans="1:7" ht="11.25" customHeight="1">
      <c r="A153" t="s">
        <v>3</v>
      </c>
      <c r="B153" t="s">
        <v>3737</v>
      </c>
      <c r="C153" t="s">
        <v>3738</v>
      </c>
      <c r="D153" t="s">
        <v>3739</v>
      </c>
      <c r="E153" t="s">
        <v>3740</v>
      </c>
      <c r="F153" t="s">
        <v>3347</v>
      </c>
      <c r="G153" t="s">
        <v>3680</v>
      </c>
    </row>
    <row r="154" spans="1:7" ht="11.25" customHeight="1">
      <c r="A154" t="s">
        <v>3</v>
      </c>
      <c r="B154" t="s">
        <v>3737</v>
      </c>
      <c r="C154" t="s">
        <v>3738</v>
      </c>
      <c r="D154" t="s">
        <v>3742</v>
      </c>
      <c r="E154" t="s">
        <v>3743</v>
      </c>
      <c r="F154" t="s">
        <v>3347</v>
      </c>
      <c r="G154" t="s">
        <v>3681</v>
      </c>
    </row>
    <row r="155" spans="1:7" ht="11.25" customHeight="1">
      <c r="A155" t="s">
        <v>3</v>
      </c>
      <c r="B155" t="s">
        <v>3737</v>
      </c>
      <c r="C155" t="s">
        <v>3738</v>
      </c>
      <c r="D155" t="s">
        <v>3745</v>
      </c>
      <c r="E155" t="s">
        <v>3746</v>
      </c>
      <c r="F155" t="s">
        <v>3347</v>
      </c>
      <c r="G155" t="s">
        <v>3684</v>
      </c>
    </row>
    <row r="156" spans="1:7" ht="11.25" customHeight="1">
      <c r="A156" t="s">
        <v>3</v>
      </c>
      <c r="B156" t="s">
        <v>3737</v>
      </c>
      <c r="C156" t="s">
        <v>3738</v>
      </c>
      <c r="D156" t="s">
        <v>3748</v>
      </c>
      <c r="E156" t="s">
        <v>3749</v>
      </c>
      <c r="F156" t="s">
        <v>3347</v>
      </c>
      <c r="G156" t="s">
        <v>3687</v>
      </c>
    </row>
    <row r="157" spans="1:7" ht="11.25" customHeight="1">
      <c r="A157" t="s">
        <v>3</v>
      </c>
      <c r="B157" t="s">
        <v>3737</v>
      </c>
      <c r="C157" t="s">
        <v>3738</v>
      </c>
      <c r="D157" t="s">
        <v>3751</v>
      </c>
      <c r="E157" t="s">
        <v>3752</v>
      </c>
      <c r="F157" t="s">
        <v>3347</v>
      </c>
      <c r="G157" t="s">
        <v>3691</v>
      </c>
    </row>
    <row r="158" spans="1:7" ht="11.25" customHeight="1">
      <c r="A158" t="s">
        <v>3</v>
      </c>
      <c r="B158" t="s">
        <v>3737</v>
      </c>
      <c r="C158" t="s">
        <v>3738</v>
      </c>
      <c r="D158" t="s">
        <v>3737</v>
      </c>
      <c r="E158" t="s">
        <v>3738</v>
      </c>
      <c r="F158" t="s">
        <v>3341</v>
      </c>
      <c r="G158" t="s">
        <v>3694</v>
      </c>
    </row>
    <row r="159" spans="1:7" ht="11.25" customHeight="1">
      <c r="A159" t="s">
        <v>3</v>
      </c>
      <c r="B159" t="s">
        <v>3737</v>
      </c>
      <c r="C159" t="s">
        <v>3738</v>
      </c>
      <c r="D159" t="s">
        <v>3755</v>
      </c>
      <c r="E159" t="s">
        <v>3756</v>
      </c>
      <c r="F159" t="s">
        <v>3399</v>
      </c>
      <c r="G159" t="s">
        <v>3697</v>
      </c>
    </row>
    <row r="160" spans="1:7" ht="11.25" customHeight="1">
      <c r="A160" t="s">
        <v>3</v>
      </c>
      <c r="B160" t="s">
        <v>3737</v>
      </c>
      <c r="C160" t="s">
        <v>3738</v>
      </c>
      <c r="D160" t="s">
        <v>3758</v>
      </c>
      <c r="E160" t="s">
        <v>3759</v>
      </c>
      <c r="F160" t="s">
        <v>3347</v>
      </c>
      <c r="G160" t="s">
        <v>3699</v>
      </c>
    </row>
    <row r="161" spans="1:7" ht="11.25" customHeight="1">
      <c r="A161" t="s">
        <v>3</v>
      </c>
      <c r="B161" t="s">
        <v>163</v>
      </c>
      <c r="C161" t="s">
        <v>3763</v>
      </c>
      <c r="D161" t="s">
        <v>3764</v>
      </c>
      <c r="E161" t="s">
        <v>3765</v>
      </c>
      <c r="F161" t="s">
        <v>3347</v>
      </c>
      <c r="G161" t="s">
        <v>3700</v>
      </c>
    </row>
    <row r="162" spans="1:7" ht="11.25" customHeight="1">
      <c r="A162" t="s">
        <v>3</v>
      </c>
      <c r="B162" t="s">
        <v>163</v>
      </c>
      <c r="C162" t="s">
        <v>3763</v>
      </c>
      <c r="D162" t="s">
        <v>3767</v>
      </c>
      <c r="E162" t="s">
        <v>3768</v>
      </c>
      <c r="F162" t="s">
        <v>3347</v>
      </c>
      <c r="G162" t="s">
        <v>3701</v>
      </c>
    </row>
    <row r="163" spans="1:7" ht="11.25" customHeight="1">
      <c r="A163" t="s">
        <v>3</v>
      </c>
      <c r="B163" t="s">
        <v>163</v>
      </c>
      <c r="C163" t="s">
        <v>3763</v>
      </c>
      <c r="D163" t="s">
        <v>3770</v>
      </c>
      <c r="E163" t="s">
        <v>3771</v>
      </c>
      <c r="F163" t="s">
        <v>3347</v>
      </c>
      <c r="G163" t="s">
        <v>3704</v>
      </c>
    </row>
    <row r="164" spans="1:7" ht="11.25" customHeight="1">
      <c r="A164" t="s">
        <v>3</v>
      </c>
      <c r="B164" t="s">
        <v>163</v>
      </c>
      <c r="C164" t="s">
        <v>3763</v>
      </c>
      <c r="D164" t="s">
        <v>3773</v>
      </c>
      <c r="E164" t="s">
        <v>3774</v>
      </c>
      <c r="F164" t="s">
        <v>3347</v>
      </c>
      <c r="G164" t="s">
        <v>3709</v>
      </c>
    </row>
    <row r="165" spans="1:7" ht="11.25" customHeight="1">
      <c r="A165" t="s">
        <v>3</v>
      </c>
      <c r="B165" t="s">
        <v>163</v>
      </c>
      <c r="C165" t="s">
        <v>3763</v>
      </c>
      <c r="D165" t="s">
        <v>3776</v>
      </c>
      <c r="E165" t="s">
        <v>3777</v>
      </c>
      <c r="F165" t="s">
        <v>3347</v>
      </c>
      <c r="G165" t="s">
        <v>3712</v>
      </c>
    </row>
    <row r="166" spans="1:7" ht="11.25" customHeight="1">
      <c r="A166" t="s">
        <v>3</v>
      </c>
      <c r="B166" t="s">
        <v>163</v>
      </c>
      <c r="C166" t="s">
        <v>3763</v>
      </c>
      <c r="D166" t="s">
        <v>163</v>
      </c>
      <c r="E166" t="s">
        <v>3763</v>
      </c>
      <c r="F166" t="s">
        <v>3341</v>
      </c>
      <c r="G166" t="s">
        <v>3715</v>
      </c>
    </row>
    <row r="167" spans="1:7" ht="11.25" customHeight="1">
      <c r="A167" t="s">
        <v>3</v>
      </c>
      <c r="B167" t="s">
        <v>163</v>
      </c>
      <c r="C167" t="s">
        <v>3763</v>
      </c>
      <c r="D167" t="s">
        <v>164</v>
      </c>
      <c r="E167" t="s">
        <v>165</v>
      </c>
      <c r="F167" t="s">
        <v>3399</v>
      </c>
      <c r="G167" t="s">
        <v>162</v>
      </c>
    </row>
    <row r="168" spans="1:7" ht="11.25" customHeight="1">
      <c r="A168" t="s">
        <v>3</v>
      </c>
      <c r="B168" t="s">
        <v>3781</v>
      </c>
      <c r="C168" t="s">
        <v>3782</v>
      </c>
      <c r="D168" t="s">
        <v>3783</v>
      </c>
      <c r="E168" t="s">
        <v>3784</v>
      </c>
      <c r="F168" t="s">
        <v>3347</v>
      </c>
      <c r="G168" t="s">
        <v>3718</v>
      </c>
    </row>
    <row r="169" spans="1:7" ht="11.25" customHeight="1">
      <c r="A169" t="s">
        <v>3</v>
      </c>
      <c r="B169" t="s">
        <v>3781</v>
      </c>
      <c r="C169" t="s">
        <v>3782</v>
      </c>
      <c r="D169" t="s">
        <v>3786</v>
      </c>
      <c r="E169" t="s">
        <v>3787</v>
      </c>
      <c r="F169" t="s">
        <v>3347</v>
      </c>
      <c r="G169" t="s">
        <v>3721</v>
      </c>
    </row>
    <row r="170" spans="1:7" ht="11.25" customHeight="1">
      <c r="A170" t="s">
        <v>3</v>
      </c>
      <c r="B170" t="s">
        <v>3781</v>
      </c>
      <c r="C170" t="s">
        <v>3782</v>
      </c>
      <c r="D170" t="s">
        <v>3789</v>
      </c>
      <c r="E170" t="s">
        <v>3790</v>
      </c>
      <c r="F170" t="s">
        <v>3347</v>
      </c>
      <c r="G170" t="s">
        <v>3726</v>
      </c>
    </row>
    <row r="171" spans="1:7" ht="11.25" customHeight="1">
      <c r="A171" t="s">
        <v>3</v>
      </c>
      <c r="B171" t="s">
        <v>3781</v>
      </c>
      <c r="C171" t="s">
        <v>3782</v>
      </c>
      <c r="D171" t="s">
        <v>3792</v>
      </c>
      <c r="E171" t="s">
        <v>3793</v>
      </c>
      <c r="F171" t="s">
        <v>3347</v>
      </c>
      <c r="G171" t="s">
        <v>3729</v>
      </c>
    </row>
    <row r="172" spans="1:7" ht="11.25" customHeight="1">
      <c r="A172" t="s">
        <v>3</v>
      </c>
      <c r="B172" t="s">
        <v>3781</v>
      </c>
      <c r="C172" t="s">
        <v>3782</v>
      </c>
      <c r="D172" t="s">
        <v>3795</v>
      </c>
      <c r="E172" t="s">
        <v>3796</v>
      </c>
      <c r="F172" t="s">
        <v>3347</v>
      </c>
      <c r="G172" t="s">
        <v>3730</v>
      </c>
    </row>
    <row r="173" spans="1:7" ht="11.25" customHeight="1">
      <c r="A173" t="s">
        <v>3</v>
      </c>
      <c r="B173" t="s">
        <v>3781</v>
      </c>
      <c r="C173" t="s">
        <v>3782</v>
      </c>
      <c r="D173" t="s">
        <v>3798</v>
      </c>
      <c r="E173" t="s">
        <v>3799</v>
      </c>
      <c r="F173" t="s">
        <v>3347</v>
      </c>
      <c r="G173" t="s">
        <v>3733</v>
      </c>
    </row>
    <row r="174" spans="1:7" ht="11.25" customHeight="1">
      <c r="A174" t="s">
        <v>3</v>
      </c>
      <c r="B174" t="s">
        <v>3781</v>
      </c>
      <c r="C174" t="s">
        <v>3782</v>
      </c>
      <c r="D174" t="s">
        <v>3801</v>
      </c>
      <c r="E174" t="s">
        <v>3802</v>
      </c>
      <c r="F174" t="s">
        <v>3347</v>
      </c>
      <c r="G174" t="s">
        <v>3736</v>
      </c>
    </row>
    <row r="175" spans="1:7" ht="11.25" customHeight="1">
      <c r="A175" t="s">
        <v>3</v>
      </c>
      <c r="B175" t="s">
        <v>3781</v>
      </c>
      <c r="C175" t="s">
        <v>3782</v>
      </c>
      <c r="D175" t="s">
        <v>3781</v>
      </c>
      <c r="E175" t="s">
        <v>3782</v>
      </c>
      <c r="F175" t="s">
        <v>3341</v>
      </c>
      <c r="G175" t="s">
        <v>3741</v>
      </c>
    </row>
    <row r="176" spans="1:7" ht="11.25" customHeight="1">
      <c r="A176" t="s">
        <v>3</v>
      </c>
      <c r="B176" t="s">
        <v>3781</v>
      </c>
      <c r="C176" t="s">
        <v>3782</v>
      </c>
      <c r="D176" t="s">
        <v>3805</v>
      </c>
      <c r="E176" t="s">
        <v>3806</v>
      </c>
      <c r="F176" t="s">
        <v>3399</v>
      </c>
      <c r="G176" t="s">
        <v>3744</v>
      </c>
    </row>
    <row r="177" spans="1:7" ht="11.25" customHeight="1">
      <c r="A177" t="s">
        <v>3</v>
      </c>
      <c r="B177" t="s">
        <v>168</v>
      </c>
      <c r="C177" t="s">
        <v>3811</v>
      </c>
      <c r="D177" t="s">
        <v>3812</v>
      </c>
      <c r="E177" t="s">
        <v>3813</v>
      </c>
      <c r="F177" t="s">
        <v>3347</v>
      </c>
      <c r="G177" t="s">
        <v>3747</v>
      </c>
    </row>
    <row r="178" spans="1:7" ht="11.25" customHeight="1">
      <c r="A178" t="s">
        <v>3</v>
      </c>
      <c r="B178" t="s">
        <v>168</v>
      </c>
      <c r="C178" t="s">
        <v>3811</v>
      </c>
      <c r="D178" t="s">
        <v>3815</v>
      </c>
      <c r="E178" t="s">
        <v>3816</v>
      </c>
      <c r="F178" t="s">
        <v>3347</v>
      </c>
      <c r="G178" t="s">
        <v>3750</v>
      </c>
    </row>
    <row r="179" spans="1:7" ht="11.25" customHeight="1">
      <c r="A179" t="s">
        <v>3</v>
      </c>
      <c r="B179" t="s">
        <v>168</v>
      </c>
      <c r="C179" t="s">
        <v>3811</v>
      </c>
      <c r="D179" t="s">
        <v>3818</v>
      </c>
      <c r="E179" t="s">
        <v>3819</v>
      </c>
      <c r="F179" t="s">
        <v>3347</v>
      </c>
      <c r="G179" t="s">
        <v>3753</v>
      </c>
    </row>
    <row r="180" spans="1:7" ht="11.25" customHeight="1">
      <c r="A180" t="s">
        <v>3</v>
      </c>
      <c r="B180" t="s">
        <v>168</v>
      </c>
      <c r="C180" t="s">
        <v>3811</v>
      </c>
      <c r="D180" t="s">
        <v>3821</v>
      </c>
      <c r="E180" t="s">
        <v>3822</v>
      </c>
      <c r="F180" t="s">
        <v>3347</v>
      </c>
      <c r="G180" t="s">
        <v>3754</v>
      </c>
    </row>
    <row r="181" spans="1:7" ht="11.25" customHeight="1">
      <c r="A181" t="s">
        <v>3</v>
      </c>
      <c r="B181" t="s">
        <v>168</v>
      </c>
      <c r="C181" t="s">
        <v>3811</v>
      </c>
      <c r="D181" t="s">
        <v>3824</v>
      </c>
      <c r="E181" t="s">
        <v>3825</v>
      </c>
      <c r="F181" t="s">
        <v>3347</v>
      </c>
      <c r="G181" t="s">
        <v>3757</v>
      </c>
    </row>
    <row r="182" spans="1:7" ht="11.25" customHeight="1">
      <c r="A182" t="s">
        <v>3</v>
      </c>
      <c r="B182" t="s">
        <v>168</v>
      </c>
      <c r="C182" t="s">
        <v>3811</v>
      </c>
      <c r="D182" t="s">
        <v>168</v>
      </c>
      <c r="E182" t="s">
        <v>3811</v>
      </c>
      <c r="F182" t="s">
        <v>3341</v>
      </c>
      <c r="G182" t="s">
        <v>3760</v>
      </c>
    </row>
    <row r="183" spans="1:7" ht="11.25" customHeight="1">
      <c r="A183" t="s">
        <v>3</v>
      </c>
      <c r="B183" t="s">
        <v>168</v>
      </c>
      <c r="C183" t="s">
        <v>3811</v>
      </c>
      <c r="D183" t="s">
        <v>169</v>
      </c>
      <c r="E183" t="s">
        <v>170</v>
      </c>
      <c r="F183" t="s">
        <v>3344</v>
      </c>
      <c r="G183" t="s">
        <v>167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3889</v>
      </c>
      <c r="B1" s="765" t="s">
        <v>3890</v>
      </c>
      <c r="C1" s="765" t="s">
        <v>1413</v>
      </c>
    </row>
    <row r="2" spans="1:3" ht="11.25" customHeight="1">
      <c r="A2" s="765">
        <v>4189678</v>
      </c>
      <c r="B2" s="765" t="s">
        <v>3891</v>
      </c>
      <c r="C2" s="765" t="s">
        <v>3892</v>
      </c>
    </row>
    <row r="3" spans="1:3" ht="11.25" customHeight="1">
      <c r="A3" s="765">
        <v>4190415</v>
      </c>
      <c r="B3" s="765" t="s">
        <v>3893</v>
      </c>
      <c r="C3" s="765" t="s">
        <v>3892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3894</v>
      </c>
      <c r="B1" s="100" t="s">
        <v>3895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3896</v>
      </c>
      <c r="B1" t="b">
        <v>1</v>
      </c>
    </row>
    <row r="2" spans="1:2" ht="11.25" customHeight="1">
      <c r="A2" t="s">
        <v>3897</v>
      </c>
      <c r="B2" t="b">
        <v>0</v>
      </c>
    </row>
    <row r="3" spans="1:2" ht="11.25" customHeight="1">
      <c r="A3" t="s">
        <v>3898</v>
      </c>
      <c r="B3" t="b">
        <v>0</v>
      </c>
    </row>
    <row r="4" spans="1:2" ht="11.25" customHeight="1">
      <c r="A4" t="s">
        <v>3899</v>
      </c>
      <c r="B4" t="b">
        <v>0</v>
      </c>
    </row>
    <row r="5" spans="1:2" ht="11.25" customHeight="1">
      <c r="A5" t="s">
        <v>3900</v>
      </c>
      <c r="B5" t="b">
        <v>0</v>
      </c>
    </row>
    <row r="6" spans="1:2" ht="11.25" customHeight="1">
      <c r="A6" t="s">
        <v>3901</v>
      </c>
      <c r="B6" t="b">
        <v>1</v>
      </c>
    </row>
    <row r="7" spans="1:2" ht="11.25" customHeight="1">
      <c r="A7" t="s">
        <v>3902</v>
      </c>
      <c r="B7" t="b">
        <v>0</v>
      </c>
    </row>
    <row r="8" spans="1:2" ht="11.25" customHeight="1">
      <c r="A8" t="s">
        <v>3903</v>
      </c>
      <c r="B8" t="b">
        <v>0</v>
      </c>
    </row>
    <row r="9" spans="1:2" ht="11.25" customHeight="1">
      <c r="A9" t="s">
        <v>3904</v>
      </c>
      <c r="B9" t="b">
        <v>1</v>
      </c>
    </row>
    <row r="10" spans="1:2" ht="11.25" customHeight="1">
      <c r="A10" t="s">
        <v>3905</v>
      </c>
      <c r="B10" t="b">
        <v>0</v>
      </c>
    </row>
    <row r="11" spans="1:2" ht="11.25" customHeight="1">
      <c r="A11" t="s">
        <v>3906</v>
      </c>
      <c r="B11" t="b">
        <v>0</v>
      </c>
    </row>
    <row r="12" spans="1:2" ht="11.25" customHeight="1">
      <c r="A12" t="s">
        <v>3907</v>
      </c>
      <c r="B12" t="b">
        <v>0</v>
      </c>
    </row>
    <row r="13" spans="1:2" ht="11.25" customHeight="1">
      <c r="A13" t="s">
        <v>3908</v>
      </c>
      <c r="B13" t="b">
        <v>0</v>
      </c>
    </row>
    <row r="14" spans="1:2" ht="11.25" customHeight="1">
      <c r="A14" t="s">
        <v>3909</v>
      </c>
      <c r="B14" t="b">
        <v>0</v>
      </c>
    </row>
    <row r="15" spans="1:2" ht="11.25" customHeight="1">
      <c r="A15" t="s">
        <v>3910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397"/>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47" customWidth="1"/>
    <col min="2" max="2" width="21.140625" style="1747" customWidth="1"/>
  </cols>
  <sheetData>
    <row r="1" spans="1:2" ht="11.25" customHeight="1">
      <c r="A1" s="6" t="s">
        <v>3911</v>
      </c>
      <c r="B1" s="6" t="s">
        <v>3912</v>
      </c>
    </row>
    <row r="2" spans="1:2" ht="11.25" customHeight="1">
      <c r="A2" s="3" t="s">
        <v>3913</v>
      </c>
      <c r="B2" s="3" t="s">
        <v>3914</v>
      </c>
    </row>
    <row r="3" spans="1:2" ht="11.25" customHeight="1">
      <c r="A3" s="3" t="s">
        <v>3915</v>
      </c>
      <c r="B3" s="3" t="s">
        <v>3916</v>
      </c>
    </row>
    <row r="4" spans="1:2" ht="11.25" customHeight="1">
      <c r="A4" s="3" t="s">
        <v>3917</v>
      </c>
      <c r="B4" s="3" t="s">
        <v>3918</v>
      </c>
    </row>
    <row r="5" spans="1:2" ht="11.25" customHeight="1">
      <c r="A5" s="3" t="s">
        <v>3919</v>
      </c>
      <c r="B5" s="3" t="s">
        <v>3920</v>
      </c>
    </row>
    <row r="6" spans="1:2" ht="11.25" customHeight="1">
      <c r="A6" s="3" t="s">
        <v>3921</v>
      </c>
      <c r="B6" s="3" t="s">
        <v>3922</v>
      </c>
    </row>
    <row r="7" spans="1:2" ht="11.25" customHeight="1">
      <c r="A7" s="3" t="s">
        <v>3923</v>
      </c>
      <c r="B7" s="3" t="s">
        <v>3924</v>
      </c>
    </row>
    <row r="8" spans="1:2" ht="11.25" customHeight="1">
      <c r="A8" s="3" t="s">
        <v>3925</v>
      </c>
      <c r="B8" s="3" t="s">
        <v>3926</v>
      </c>
    </row>
    <row r="9" spans="1:2" ht="11.25" customHeight="1">
      <c r="A9" s="3" t="s">
        <v>3927</v>
      </c>
      <c r="B9" s="3" t="s">
        <v>3928</v>
      </c>
    </row>
    <row r="10" spans="1:2" ht="11.25" customHeight="1">
      <c r="A10" s="3" t="s">
        <v>3929</v>
      </c>
      <c r="B10" s="3" t="s">
        <v>3930</v>
      </c>
    </row>
    <row r="11" spans="1:2" ht="11.25" customHeight="1">
      <c r="A11" s="3" t="s">
        <v>3931</v>
      </c>
      <c r="B11" s="3" t="s">
        <v>3932</v>
      </c>
    </row>
    <row r="12" spans="1:2" ht="11.25" customHeight="1">
      <c r="A12" s="3" t="s">
        <v>3933</v>
      </c>
      <c r="B12" s="3" t="s">
        <v>3934</v>
      </c>
    </row>
    <row r="13" spans="1:2" ht="11.25" customHeight="1">
      <c r="A13" s="3" t="s">
        <v>3935</v>
      </c>
      <c r="B13" s="3" t="s">
        <v>3936</v>
      </c>
    </row>
    <row r="14" spans="1:2" ht="11.25" customHeight="1">
      <c r="A14" s="3" t="s">
        <v>3937</v>
      </c>
      <c r="B14" s="3" t="s">
        <v>3938</v>
      </c>
    </row>
    <row r="15" spans="1:2" ht="11.25" customHeight="1">
      <c r="A15" s="3" t="s">
        <v>3939</v>
      </c>
      <c r="B15" s="3" t="s">
        <v>3940</v>
      </c>
    </row>
    <row r="16" spans="1:2" ht="11.25" customHeight="1">
      <c r="A16" s="3" t="s">
        <v>3941</v>
      </c>
      <c r="B16" s="3" t="s">
        <v>3942</v>
      </c>
    </row>
    <row r="17" spans="1:2" ht="11.25" customHeight="1">
      <c r="A17" s="3" t="s">
        <v>3943</v>
      </c>
      <c r="B17" s="3" t="s">
        <v>3944</v>
      </c>
    </row>
    <row r="18" spans="1:2" ht="11.25" customHeight="1">
      <c r="A18" s="3" t="s">
        <v>3945</v>
      </c>
      <c r="B18" s="3" t="s">
        <v>3946</v>
      </c>
    </row>
    <row r="19" spans="1:2" ht="11.25" customHeight="1">
      <c r="A19" s="3" t="s">
        <v>3947</v>
      </c>
      <c r="B19" s="3" t="s">
        <v>3948</v>
      </c>
    </row>
    <row r="20" spans="1:2" ht="11.25" customHeight="1">
      <c r="A20" s="3" t="s">
        <v>3949</v>
      </c>
      <c r="B20" s="3" t="s">
        <v>3950</v>
      </c>
    </row>
    <row r="21" spans="1:2" ht="11.25" customHeight="1">
      <c r="A21" s="3" t="s">
        <v>3951</v>
      </c>
      <c r="B21" s="3" t="s">
        <v>3952</v>
      </c>
    </row>
    <row r="22" spans="1:2" ht="11.25" customHeight="1">
      <c r="A22" s="3" t="s">
        <v>3953</v>
      </c>
      <c r="B22" s="3" t="s">
        <v>3954</v>
      </c>
    </row>
    <row r="23" spans="1:2" ht="11.25" customHeight="1">
      <c r="A23" s="3" t="s">
        <v>3955</v>
      </c>
      <c r="B23" s="3" t="s">
        <v>3956</v>
      </c>
    </row>
    <row r="24" spans="1:2" ht="11.25" customHeight="1">
      <c r="A24" s="3" t="s">
        <v>3957</v>
      </c>
      <c r="B24" s="3" t="s">
        <v>3958</v>
      </c>
    </row>
    <row r="25" spans="1:2" ht="11.25" customHeight="1">
      <c r="A25" s="3" t="s">
        <v>3959</v>
      </c>
      <c r="B25" s="3" t="s">
        <v>3960</v>
      </c>
    </row>
    <row r="26" spans="1:2" ht="11.25" customHeight="1">
      <c r="A26" s="3" t="s">
        <v>3961</v>
      </c>
      <c r="B26" s="3" t="s">
        <v>3962</v>
      </c>
    </row>
    <row r="27" spans="1:2" ht="11.25" customHeight="1">
      <c r="A27" s="3" t="s">
        <v>3963</v>
      </c>
      <c r="B27" s="3" t="s">
        <v>3964</v>
      </c>
    </row>
    <row r="28" spans="1:2" ht="11.25" customHeight="1">
      <c r="A28" s="3" t="s">
        <v>3965</v>
      </c>
      <c r="B28" s="3" t="s">
        <v>3966</v>
      </c>
    </row>
    <row r="29" spans="1:2" ht="11.25" customHeight="1">
      <c r="A29" s="3" t="s">
        <v>3967</v>
      </c>
      <c r="B29" s="3" t="s">
        <v>3968</v>
      </c>
    </row>
    <row r="30" spans="1:2" ht="11.25" customHeight="1">
      <c r="A30" s="3" t="s">
        <v>3969</v>
      </c>
      <c r="B30" s="3" t="s">
        <v>3970</v>
      </c>
    </row>
    <row r="31" spans="1:2" ht="11.25" customHeight="1">
      <c r="A31" s="3" t="s">
        <v>3971</v>
      </c>
      <c r="B31" s="3" t="s">
        <v>3972</v>
      </c>
    </row>
    <row r="32" spans="1:2" ht="11.25" customHeight="1">
      <c r="A32" s="3" t="s">
        <v>3973</v>
      </c>
      <c r="B32" s="3" t="s">
        <v>3974</v>
      </c>
    </row>
    <row r="33" spans="1:2" ht="11.25" customHeight="1">
      <c r="A33" s="3" t="s">
        <v>3975</v>
      </c>
      <c r="B33" s="3" t="s">
        <v>3976</v>
      </c>
    </row>
    <row r="34" spans="1:2" ht="11.25" customHeight="1">
      <c r="A34" s="3" t="s">
        <v>3977</v>
      </c>
      <c r="B34" s="3" t="s">
        <v>3978</v>
      </c>
    </row>
    <row r="35" spans="1:2" ht="11.25" customHeight="1">
      <c r="A35" s="3" t="s">
        <v>3979</v>
      </c>
      <c r="B35" s="3" t="s">
        <v>3980</v>
      </c>
    </row>
    <row r="36" spans="1:2" ht="11.25" customHeight="1">
      <c r="A36" s="3" t="s">
        <v>3981</v>
      </c>
      <c r="B36" s="3" t="s">
        <v>3982</v>
      </c>
    </row>
    <row r="37" spans="1:2" ht="11.25" customHeight="1">
      <c r="A37" s="3" t="s">
        <v>3983</v>
      </c>
      <c r="B37" s="3" t="s">
        <v>3984</v>
      </c>
    </row>
    <row r="38" spans="1:2" ht="11.25" customHeight="1">
      <c r="A38" s="3" t="s">
        <v>3985</v>
      </c>
      <c r="B38" s="3" t="s">
        <v>3986</v>
      </c>
    </row>
    <row r="39" spans="1:2" ht="11.25" customHeight="1">
      <c r="A39" s="3" t="s">
        <v>3987</v>
      </c>
      <c r="B39" s="3" t="s">
        <v>3988</v>
      </c>
    </row>
    <row r="40" spans="1:2" ht="11.25" customHeight="1">
      <c r="A40" s="3" t="s">
        <v>3989</v>
      </c>
      <c r="B40" s="3" t="s">
        <v>3990</v>
      </c>
    </row>
    <row r="41" spans="1:2" ht="11.25" customHeight="1">
      <c r="A41" s="3" t="s">
        <v>3991</v>
      </c>
      <c r="B41" s="3" t="s">
        <v>3992</v>
      </c>
    </row>
    <row r="42" spans="1:2" ht="11.25" customHeight="1">
      <c r="A42" s="3" t="s">
        <v>3993</v>
      </c>
      <c r="B42" s="3" t="s">
        <v>3994</v>
      </c>
    </row>
    <row r="43" spans="1:2" ht="11.25" customHeight="1">
      <c r="A43" s="3" t="s">
        <v>3995</v>
      </c>
      <c r="B43" s="3" t="s">
        <v>3996</v>
      </c>
    </row>
    <row r="44" spans="1:2" ht="11.25" customHeight="1">
      <c r="A44" s="3" t="s">
        <v>3997</v>
      </c>
      <c r="B44" s="3" t="s">
        <v>3998</v>
      </c>
    </row>
    <row r="45" spans="1:2" ht="11.25" customHeight="1">
      <c r="A45" s="3" t="s">
        <v>3999</v>
      </c>
      <c r="B45" s="3" t="s">
        <v>4000</v>
      </c>
    </row>
    <row r="46" spans="1:2" ht="11.25" customHeight="1">
      <c r="A46" s="3" t="s">
        <v>4001</v>
      </c>
      <c r="B46" s="3" t="s">
        <v>4002</v>
      </c>
    </row>
    <row r="47" spans="1:2" ht="11.25" customHeight="1">
      <c r="A47" s="3" t="s">
        <v>4003</v>
      </c>
      <c r="B47" s="3" t="s">
        <v>4004</v>
      </c>
    </row>
    <row r="48" spans="1:2" ht="11.25" customHeight="1">
      <c r="A48" s="3" t="s">
        <v>4005</v>
      </c>
      <c r="B48" s="3" t="s">
        <v>4006</v>
      </c>
    </row>
    <row r="49" spans="1:2" ht="11.25" customHeight="1">
      <c r="A49" s="3" t="s">
        <v>4007</v>
      </c>
      <c r="B49" s="3" t="s">
        <v>4008</v>
      </c>
    </row>
    <row r="50" spans="1:2" ht="11.25" customHeight="1">
      <c r="A50" s="3" t="s">
        <v>4009</v>
      </c>
      <c r="B50" s="3" t="s">
        <v>4010</v>
      </c>
    </row>
    <row r="51" spans="1:2" ht="11.25" customHeight="1">
      <c r="A51" s="3" t="s">
        <v>4011</v>
      </c>
      <c r="B51" s="3" t="s">
        <v>4012</v>
      </c>
    </row>
    <row r="52" spans="1:2" ht="11.25" customHeight="1">
      <c r="A52" s="3" t="s">
        <v>4013</v>
      </c>
      <c r="B52" s="3" t="s">
        <v>4014</v>
      </c>
    </row>
    <row r="53" spans="1:2" ht="11.25" customHeight="1">
      <c r="A53" s="3" t="s">
        <v>4015</v>
      </c>
      <c r="B53" s="3" t="s">
        <v>4016</v>
      </c>
    </row>
    <row r="54" spans="1:2" ht="11.25" customHeight="1">
      <c r="A54" s="3" t="s">
        <v>4017</v>
      </c>
      <c r="B54" s="3" t="s">
        <v>4018</v>
      </c>
    </row>
    <row r="55" spans="1:2" ht="11.25" customHeight="1">
      <c r="A55" s="3" t="s">
        <v>4019</v>
      </c>
      <c r="B55" s="3" t="s">
        <v>4020</v>
      </c>
    </row>
    <row r="56" spans="1:2" ht="11.25" customHeight="1">
      <c r="A56" s="3" t="s">
        <v>4021</v>
      </c>
      <c r="B56" s="3" t="s">
        <v>4022</v>
      </c>
    </row>
    <row r="57" spans="1:2" ht="11.25" customHeight="1">
      <c r="A57" s="3" t="s">
        <v>4023</v>
      </c>
      <c r="B57" s="3" t="s">
        <v>4024</v>
      </c>
    </row>
    <row r="58" spans="1:2" ht="11.25" customHeight="1">
      <c r="A58" s="3" t="s">
        <v>4025</v>
      </c>
      <c r="B58" s="3" t="s">
        <v>4026</v>
      </c>
    </row>
    <row r="59" spans="1:2" ht="11.25" customHeight="1">
      <c r="A59" s="3" t="s">
        <v>4027</v>
      </c>
      <c r="B59" s="3" t="s">
        <v>4028</v>
      </c>
    </row>
    <row r="60" spans="1:2" ht="11.25" customHeight="1">
      <c r="A60" s="3" t="s">
        <v>4029</v>
      </c>
      <c r="B60" s="3" t="s">
        <v>4030</v>
      </c>
    </row>
    <row r="61" spans="1:2" ht="11.25" customHeight="1">
      <c r="A61" s="3"/>
      <c r="B61" s="3" t="s">
        <v>4031</v>
      </c>
    </row>
    <row r="62" spans="1:2" ht="11.25" customHeight="1">
      <c r="A62" s="3"/>
      <c r="B62" s="3" t="s">
        <v>4032</v>
      </c>
    </row>
    <row r="63" spans="1:2" ht="11.25" customHeight="1">
      <c r="A63" s="3"/>
      <c r="B63" s="3" t="s">
        <v>4033</v>
      </c>
    </row>
    <row r="64" spans="1:2" ht="11.25" customHeight="1">
      <c r="A64" s="3"/>
      <c r="B64" s="3" t="s">
        <v>4034</v>
      </c>
    </row>
    <row r="65" spans="1:2" ht="11.25" customHeight="1">
      <c r="A65" s="3"/>
      <c r="B65" s="3" t="s">
        <v>4035</v>
      </c>
    </row>
    <row r="66" spans="1:2" ht="11.25" customHeight="1">
      <c r="A66" s="3"/>
      <c r="B66" s="3" t="s">
        <v>4036</v>
      </c>
    </row>
    <row r="67" spans="1:2" ht="11.25" customHeight="1">
      <c r="A67" s="3"/>
      <c r="B67" s="3" t="s">
        <v>4037</v>
      </c>
    </row>
    <row r="68" spans="1:2" ht="11.25" customHeight="1">
      <c r="A68" s="3"/>
      <c r="B68" s="3" t="s">
        <v>4038</v>
      </c>
    </row>
    <row r="69" spans="1:2" ht="11.25" customHeight="1">
      <c r="A69" s="3"/>
      <c r="B69" s="3" t="s">
        <v>4039</v>
      </c>
    </row>
    <row r="70" spans="1:2" ht="11.25" customHeight="1">
      <c r="A70" s="3"/>
      <c r="B70" s="3" t="s">
        <v>4040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47" customWidth="1"/>
    <col min="2" max="2" width="90.7109375" style="1747" customWidth="1"/>
    <col min="3" max="4" width="9.140625" style="1747"/>
  </cols>
  <sheetData>
    <row r="1" spans="2:4" ht="11.25" customHeight="1">
      <c r="B1" s="32" t="s">
        <v>4041</v>
      </c>
    </row>
    <row r="2" spans="2:4" ht="90" customHeight="1">
      <c r="B2" s="33" t="s">
        <v>4042</v>
      </c>
    </row>
    <row r="3" spans="2:4" ht="67.5" customHeight="1">
      <c r="B3" s="33" t="s">
        <v>4043</v>
      </c>
    </row>
    <row r="4" spans="2:4" ht="33.75" customHeight="1">
      <c r="B4" s="33" t="s">
        <v>4044</v>
      </c>
    </row>
    <row r="5" spans="2:4" ht="11.25" customHeight="1">
      <c r="B5" s="33" t="s">
        <v>4045</v>
      </c>
    </row>
    <row r="6" spans="2:4" ht="22.5" customHeight="1">
      <c r="B6" s="33" t="s">
        <v>4046</v>
      </c>
    </row>
    <row r="7" spans="2:4" ht="22.5" customHeight="1">
      <c r="B7" s="33" t="s">
        <v>4047</v>
      </c>
    </row>
    <row r="8" spans="2:4" ht="22.5" customHeight="1">
      <c r="B8" s="33" t="s">
        <v>4048</v>
      </c>
    </row>
    <row r="9" spans="2:4" ht="22.5" customHeight="1">
      <c r="B9" s="33" t="s">
        <v>4049</v>
      </c>
    </row>
    <row r="10" spans="2:4" ht="56.25" customHeight="1">
      <c r="B10" s="33" t="s">
        <v>4050</v>
      </c>
    </row>
    <row r="11" spans="2:4" ht="12.75" customHeight="1">
      <c r="B11" s="96" t="s">
        <v>4051</v>
      </c>
    </row>
    <row r="12" spans="2:4" ht="11.25" customHeight="1">
      <c r="B12" s="32" t="s">
        <v>4052</v>
      </c>
    </row>
    <row r="13" spans="2:4" ht="22.5" customHeight="1">
      <c r="B13" s="33" t="s">
        <v>4053</v>
      </c>
    </row>
    <row r="14" spans="2:4" ht="67.5" customHeight="1">
      <c r="B14" s="33" t="s">
        <v>4054</v>
      </c>
    </row>
    <row r="15" spans="2:4" ht="22.5" customHeight="1">
      <c r="B15" s="33" t="s">
        <v>4055</v>
      </c>
    </row>
    <row r="16" spans="2:4" ht="11.25" customHeight="1">
      <c r="B16" s="32" t="s">
        <v>4056</v>
      </c>
      <c r="D16" s="39"/>
    </row>
    <row r="17" spans="1:2" ht="33.75" customHeight="1">
      <c r="B17" s="33" t="s">
        <v>4057</v>
      </c>
    </row>
    <row r="18" spans="1:2" ht="33.75" customHeight="1">
      <c r="B18" s="33" t="s">
        <v>4058</v>
      </c>
    </row>
    <row r="19" spans="1:2" ht="11.25" customHeight="1">
      <c r="B19" s="33" t="s">
        <v>4059</v>
      </c>
    </row>
    <row r="20" spans="1:2" ht="33.75" customHeight="1">
      <c r="B20" s="33" t="s">
        <v>4060</v>
      </c>
    </row>
    <row r="21" spans="1:2" ht="11.25" customHeight="1">
      <c r="B21" s="32" t="s">
        <v>4061</v>
      </c>
    </row>
    <row r="22" spans="1:2" ht="11.25" customHeight="1">
      <c r="B22" s="33" t="s">
        <v>4062</v>
      </c>
    </row>
    <row r="24" spans="1:2" ht="22.5" customHeight="1">
      <c r="B24" s="98" t="s">
        <v>4063</v>
      </c>
    </row>
    <row r="26" spans="1:2" ht="11.25" customHeight="1">
      <c r="B26" s="32" t="s">
        <v>4064</v>
      </c>
    </row>
    <row r="27" spans="1:2" ht="22.5" customHeight="1">
      <c r="B27" s="97" t="s">
        <v>625</v>
      </c>
    </row>
    <row r="28" spans="1:2" ht="56.25" customHeight="1">
      <c r="B28" s="97" t="s">
        <v>4065</v>
      </c>
    </row>
    <row r="29" spans="1:2" ht="11.25" customHeight="1">
      <c r="B29" s="147" t="s">
        <v>4066</v>
      </c>
    </row>
    <row r="30" spans="1:2" ht="22.5" customHeight="1">
      <c r="B30" s="97" t="s">
        <v>4067</v>
      </c>
    </row>
    <row r="32" spans="1:2" ht="11.25" customHeight="1">
      <c r="A32" s="125"/>
      <c r="B32" s="126" t="s">
        <v>4068</v>
      </c>
    </row>
    <row r="33" spans="1:2" ht="14.25" customHeight="1">
      <c r="A33" s="127">
        <v>1</v>
      </c>
      <c r="B33" s="128" t="s">
        <v>4069</v>
      </c>
    </row>
    <row r="34" spans="1:2" ht="14.25" customHeight="1">
      <c r="A34" s="127">
        <v>2</v>
      </c>
      <c r="B34" s="128" t="s">
        <v>4070</v>
      </c>
    </row>
    <row r="35" spans="1:2" ht="11.25" customHeight="1">
      <c r="B35" s="126" t="s">
        <v>4071</v>
      </c>
    </row>
    <row r="36" spans="1:2" ht="11.25" customHeight="1">
      <c r="B36" s="128" t="s">
        <v>4072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8" hidden="1" customWidth="1"/>
    <col min="2" max="3" width="9.140625" style="1561" hidden="1" customWidth="1"/>
    <col min="4" max="4" width="3" style="1739"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17" customWidth="1"/>
    <col min="14" max="22" width="10" style="1561" customWidth="1"/>
    <col min="23" max="23" width="10.5703125" style="1561" hidden="1"/>
  </cols>
  <sheetData>
    <row r="1" spans="1:23" s="1568" customFormat="1" ht="5.25" hidden="1" customHeight="1">
      <c r="C1" s="447"/>
      <c r="D1" s="430"/>
      <c r="F1" s="447"/>
      <c r="G1" s="425" t="s">
        <v>74</v>
      </c>
      <c r="H1" s="425" t="s">
        <v>75</v>
      </c>
      <c r="I1" s="425" t="s">
        <v>76</v>
      </c>
      <c r="P1" s="425" t="s">
        <v>74</v>
      </c>
      <c r="Q1" s="425" t="s">
        <v>75</v>
      </c>
      <c r="R1" s="425" t="s">
        <v>76</v>
      </c>
      <c r="W1" s="425" t="s">
        <v>1</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3940" t="s">
        <v>617</v>
      </c>
      <c r="F4" s="23940"/>
      <c r="G4" s="23941"/>
      <c r="H4" s="23941"/>
      <c r="I4" s="23942"/>
      <c r="J4" s="427"/>
      <c r="K4" s="389"/>
      <c r="L4" s="389"/>
      <c r="W4" s="383">
        <v>22</v>
      </c>
    </row>
    <row r="5" spans="1:23" s="1561" customFormat="1" ht="18" customHeight="1">
      <c r="A5" s="693"/>
      <c r="D5" s="752"/>
      <c r="E5" s="24064" t="str">
        <f>IF(org=0,"Не определено",org)</f>
        <v>ООО "Смоленскрегионтеплоэнерго"</v>
      </c>
      <c r="F5" s="24064"/>
      <c r="G5" s="24065"/>
      <c r="H5" s="24065"/>
      <c r="I5" s="24066"/>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4049" t="s">
        <v>529</v>
      </c>
      <c r="F7" s="24049"/>
      <c r="G7" s="24050"/>
      <c r="H7" s="24050"/>
      <c r="I7" s="24050"/>
      <c r="J7" s="24050"/>
      <c r="K7" s="24050"/>
      <c r="L7" s="24009" t="s">
        <v>530</v>
      </c>
      <c r="W7" s="383">
        <v>14</v>
      </c>
    </row>
    <row r="8" spans="1:23" ht="48.2" customHeight="1">
      <c r="D8" s="386"/>
      <c r="E8" s="409" t="s">
        <v>79</v>
      </c>
      <c r="F8" s="753"/>
      <c r="G8" s="401" t="s">
        <v>77</v>
      </c>
      <c r="H8" s="401" t="s">
        <v>78</v>
      </c>
      <c r="I8" s="350" t="s">
        <v>76</v>
      </c>
      <c r="J8" s="350" t="s">
        <v>618</v>
      </c>
      <c r="K8" s="350" t="s">
        <v>619</v>
      </c>
      <c r="L8" s="2400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4062" t="s">
        <v>620</v>
      </c>
      <c r="M10" s="443"/>
      <c r="N10" s="441"/>
      <c r="O10" s="441"/>
      <c r="P10" s="441"/>
      <c r="Q10" s="441"/>
      <c r="R10" s="441"/>
      <c r="S10" s="441"/>
      <c r="T10" s="441"/>
      <c r="U10" s="441"/>
      <c r="V10" s="441"/>
      <c r="W10" s="383">
        <v>0</v>
      </c>
    </row>
    <row r="11" spans="1:23" ht="15" hidden="1" customHeight="1">
      <c r="A11" s="23931"/>
      <c r="B11" s="440"/>
      <c r="C11" s="440"/>
      <c r="D11" s="795"/>
      <c r="E11" s="449"/>
      <c r="F11" s="449"/>
      <c r="G11" s="449"/>
      <c r="H11" s="449"/>
      <c r="I11" s="450"/>
      <c r="J11" s="451"/>
      <c r="K11" s="649"/>
      <c r="L11" s="24075"/>
      <c r="M11" s="447"/>
      <c r="N11" s="447"/>
      <c r="O11" s="447"/>
      <c r="P11" s="452"/>
      <c r="Q11" s="452"/>
      <c r="R11" s="453"/>
      <c r="S11" s="447"/>
      <c r="T11" s="447"/>
      <c r="U11" s="447"/>
      <c r="V11" s="447"/>
      <c r="W11" s="383">
        <v>0</v>
      </c>
    </row>
    <row r="12" spans="1:23" s="1538" customFormat="1" ht="15" customHeight="1">
      <c r="A12" s="23931"/>
      <c r="B12" s="440"/>
      <c r="C12" s="440"/>
      <c r="D12" s="796"/>
      <c r="E12" s="753">
        <v>1</v>
      </c>
      <c r="F12" s="794">
        <v>23</v>
      </c>
      <c r="G12" s="793"/>
      <c r="H12" s="723"/>
      <c r="I12" s="721"/>
      <c r="J12" s="456" t="s">
        <v>59</v>
      </c>
      <c r="K12" s="1090" t="s">
        <v>17</v>
      </c>
      <c r="L12" s="24075"/>
      <c r="M12" s="447"/>
      <c r="N12" s="447"/>
      <c r="O12" s="447"/>
      <c r="P12" s="452" t="s">
        <v>621</v>
      </c>
      <c r="Q12" s="452" t="s">
        <v>622</v>
      </c>
      <c r="R12" s="453" t="s">
        <v>623</v>
      </c>
      <c r="S12" s="447" t="s">
        <v>624</v>
      </c>
      <c r="T12" s="447"/>
      <c r="U12" s="447"/>
      <c r="V12" s="447"/>
      <c r="W12" s="416">
        <v>14</v>
      </c>
    </row>
    <row r="13" spans="1:23" ht="15.75" customHeight="1">
      <c r="A13" s="23931"/>
      <c r="B13" s="441"/>
      <c r="D13" s="442"/>
      <c r="E13" s="341"/>
      <c r="F13" s="465"/>
      <c r="G13" s="352" t="s">
        <v>94</v>
      </c>
      <c r="H13" s="340"/>
      <c r="I13" s="340"/>
      <c r="J13" s="340"/>
      <c r="K13" s="339"/>
      <c r="L13" s="24063"/>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73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88</vt:i4>
      </vt:variant>
      <vt:variant>
        <vt:lpstr>Именованные диапазоны</vt:lpstr>
      </vt:variant>
      <vt:variant>
        <vt:i4>2279</vt:i4>
      </vt:variant>
    </vt:vector>
  </HeadingPairs>
  <TitlesOfParts>
    <vt:vector size="2367" baseType="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pt_cs_5</vt:lpstr>
      <vt:lpstr>pt_cs_50</vt:lpstr>
      <vt:lpstr>pt_cs_51</vt:lpstr>
      <vt:lpstr>pt_cs_52</vt:lpstr>
      <vt:lpstr>pt_cs_53</vt:lpstr>
      <vt:lpstr>pt_cs_54</vt:lpstr>
      <vt:lpstr>pt_cs_55</vt:lpstr>
      <vt:lpstr>pt_cs_56</vt:lpstr>
      <vt:lpstr>pt_cs_57</vt:lpstr>
      <vt:lpstr>pt_cs_58</vt:lpstr>
      <vt:lpstr>pt_cs_59</vt:lpstr>
      <vt:lpstr>pt_cs_6</vt:lpstr>
      <vt:lpstr>pt_cs_60</vt:lpstr>
      <vt:lpstr>pt_cs_61</vt:lpstr>
      <vt:lpstr>pt_cs_62</vt:lpstr>
      <vt:lpstr>pt_cs_63</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pt_ter_47</vt:lpstr>
      <vt:lpstr>pt_ter_48</vt:lpstr>
      <vt:lpstr>pt_ter_49</vt:lpstr>
      <vt:lpstr>pt_ter_5</vt:lpstr>
      <vt:lpstr>pt_ter_50</vt:lpstr>
      <vt:lpstr>pt_ter_51</vt:lpstr>
      <vt:lpstr>pt_ter_52</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ter_511111111</vt:lpstr>
      <vt:lpstr>ter_5111111111</vt:lpstr>
      <vt:lpstr>ter_51111111111</vt:lpstr>
      <vt:lpstr>ter_511111111111</vt:lpstr>
      <vt:lpstr>ter_5111111111111</vt:lpstr>
      <vt:lpstr>ter_51111111111111</vt:lpstr>
      <vt:lpstr>ter_511111111111111</vt:lpstr>
      <vt:lpstr>ter_5111111111111111</vt:lpstr>
      <vt:lpstr>ter_51111111111111111</vt:lpstr>
      <vt:lpstr>ter_511111111111111111</vt:lpstr>
      <vt:lpstr>ter_5111111111111111111</vt:lpstr>
      <vt:lpstr>ter_51111111111111111111</vt:lpstr>
      <vt:lpstr>ter_511111111111111111111</vt:lpstr>
      <vt:lpstr>ter_5111111111111111111111</vt:lpstr>
      <vt:lpstr>ter_51111111111111111111111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Рожкова</cp:lastModifiedBy>
  <cp:lastPrinted>2013-08-29T08:11:20Z</cp:lastPrinted>
  <dcterms:created xsi:type="dcterms:W3CDTF">2004-05-21T07:18:45Z</dcterms:created>
  <dcterms:modified xsi:type="dcterms:W3CDTF">2026-06-24T06:54:59Z</dcterms:modified>
</cp:coreProperties>
</file>